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4.xml" ContentType="application/vnd.openxmlformats-officedocument.drawing+xml"/>
  <Override PartName="/xl/comments10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omments12.xml" ContentType="application/vnd.openxmlformats-officedocument.spreadsheetml.comments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omments13.xml" ContentType="application/vnd.openxmlformats-officedocument.spreadsheetml.comments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14.xml" ContentType="application/vnd.openxmlformats-officedocument.spreadsheetml.comments+xml"/>
  <Override PartName="/xl/charts/chart15.xml" ContentType="application/vnd.openxmlformats-officedocument.drawingml.chart+xml"/>
  <Override PartName="/xl/comments15.xml" ContentType="application/vnd.openxmlformats-officedocument.spreadsheetml.comments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omments16.xml" ContentType="application/vnd.openxmlformats-officedocument.spreadsheetml.comments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drawings/drawing11.xml" ContentType="application/vnd.openxmlformats-officedocument.drawing+xml"/>
  <Override PartName="/xl/comments21.xml" ContentType="application/vnd.openxmlformats-officedocument.spreadsheetml.comments+xml"/>
  <Override PartName="/xl/charts/chart20.xml" ContentType="application/vnd.openxmlformats-officedocument.drawingml.chart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WCVI\ESCAPEMENT\Data\"/>
    </mc:Choice>
  </mc:AlternateContent>
  <xr:revisionPtr revIDLastSave="0" documentId="13_ncr:1_{94E8554A-08A2-495A-AE71-6AFDF3421394}" xr6:coauthVersionLast="47" xr6:coauthVersionMax="47" xr10:uidLastSave="{00000000-0000-0000-0000-000000000000}"/>
  <bookViews>
    <workbookView xWindow="-120" yWindow="-120" windowWidth="38640" windowHeight="21240" tabRatio="849" firstSheet="1" activeTab="20" xr2:uid="{00000000-000D-0000-FFFF-FFFF00000000}"/>
  </bookViews>
  <sheets>
    <sheet name="Read Me" sheetId="20" r:id="rId1"/>
    <sheet name="No. Surveys" sheetId="21" r:id="rId2"/>
    <sheet name="Sarita" sheetId="1" r:id="rId3"/>
    <sheet name="Nahmint" sheetId="2" r:id="rId4"/>
    <sheet name="Bedwell" sheetId="3" r:id="rId5"/>
    <sheet name="Moyeha" sheetId="4" r:id="rId6"/>
    <sheet name="Megin" sheetId="5" r:id="rId7"/>
    <sheet name="Tranquil" sheetId="6" r:id="rId8"/>
    <sheet name="Cypre" sheetId="7" r:id="rId9"/>
    <sheet name="Burman" sheetId="8" r:id="rId10"/>
    <sheet name="Gold" sheetId="30" r:id="rId11"/>
    <sheet name="Tahsis" sheetId="9" r:id="rId12"/>
    <sheet name="Leiner" sheetId="10" r:id="rId13"/>
    <sheet name="Zeballos" sheetId="11" r:id="rId14"/>
    <sheet name="Kaouk" sheetId="12" r:id="rId15"/>
    <sheet name="Artlish" sheetId="13" r:id="rId16"/>
    <sheet name="Tahsish" sheetId="14" r:id="rId17"/>
    <sheet name="Malksope" sheetId="26" r:id="rId18"/>
    <sheet name="Marble" sheetId="15" r:id="rId19"/>
    <sheet name="Cayeghle" sheetId="16" r:id="rId20"/>
    <sheet name="Nitinat" sheetId="17" r:id="rId21"/>
    <sheet name="Conuma" sheetId="18" r:id="rId22"/>
    <sheet name="San Juan" sheetId="19" r:id="rId23"/>
    <sheet name="Clemens" sheetId="23" r:id="rId24"/>
    <sheet name="StatWk" sheetId="22" r:id="rId25"/>
    <sheet name="Pinks" sheetId="24" r:id="rId26"/>
    <sheet name="Kennedy Upper" sheetId="27" r:id="rId27"/>
    <sheet name="Toquaht" sheetId="28" r:id="rId28"/>
    <sheet name="Atleo" sheetId="29" r:id="rId29"/>
  </sheets>
  <externalReferences>
    <externalReference r:id="rId30"/>
  </externalReferences>
  <definedNames>
    <definedName name="_xlnm._FilterDatabase" localSheetId="24" hidden="1">StatWk!$A$2:$B$8768</definedName>
    <definedName name="lu_escapement">'[1]River Matrix'!$AH$8:$AJ$1199</definedName>
    <definedName name="lu_surveys">'[1]River Matrix'!$AA$8:$AC$1199</definedName>
    <definedName name="_xlnm.Print_Area" localSheetId="3">Nahmint!$A$72:$Z$105</definedName>
    <definedName name="_xlnm.Print_Area" localSheetId="2">Sarita!$A$71:$Z$104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5" i="6" l="1"/>
  <c r="AC65" i="6" s="1"/>
  <c r="AC136" i="10"/>
  <c r="AC137" i="10"/>
  <c r="AC138" i="10"/>
  <c r="X124" i="9"/>
  <c r="AD65" i="9"/>
  <c r="AD66" i="9"/>
  <c r="AD67" i="9"/>
  <c r="X124" i="8"/>
  <c r="AC100" i="7"/>
  <c r="AC101" i="7"/>
  <c r="AC102" i="7"/>
  <c r="AC65" i="7"/>
  <c r="AC66" i="7"/>
  <c r="AC67" i="7"/>
  <c r="AC64" i="5"/>
  <c r="AC65" i="5"/>
  <c r="AC66" i="5"/>
  <c r="AC67" i="5"/>
  <c r="AC98" i="5"/>
  <c r="AC99" i="5"/>
  <c r="AC100" i="5"/>
  <c r="AC101" i="5"/>
  <c r="AC102" i="5"/>
  <c r="AB65" i="4" l="1"/>
  <c r="AC65" i="4"/>
  <c r="AB66" i="4"/>
  <c r="AC66" i="4" s="1"/>
  <c r="AB67" i="4"/>
  <c r="AC67" i="4"/>
  <c r="AB100" i="4"/>
  <c r="AC100" i="4" s="1"/>
  <c r="AB101" i="4"/>
  <c r="AC101" i="4" s="1"/>
  <c r="AB102" i="4"/>
  <c r="AC102" i="4"/>
  <c r="AB119" i="3"/>
  <c r="AB120" i="3"/>
  <c r="AB121" i="3"/>
  <c r="AB122" i="3"/>
  <c r="AA100" i="3"/>
  <c r="AB100" i="3"/>
  <c r="AA101" i="3"/>
  <c r="AB101" i="3"/>
  <c r="AA102" i="3"/>
  <c r="AB102" i="3"/>
  <c r="AB65" i="3"/>
  <c r="AB66" i="3"/>
  <c r="AB67" i="3"/>
  <c r="AB30" i="3"/>
  <c r="AB31" i="3"/>
  <c r="AB32" i="3"/>
  <c r="AA101" i="2" l="1"/>
  <c r="AB101" i="2" s="1"/>
  <c r="AA102" i="2"/>
  <c r="AB102" i="2"/>
  <c r="AA103" i="2"/>
  <c r="AB103" i="2"/>
  <c r="AB65" i="2"/>
  <c r="AB66" i="2"/>
  <c r="AB67" i="2"/>
  <c r="AA32" i="2" l="1"/>
  <c r="AB32" i="2" s="1"/>
  <c r="AA31" i="2"/>
  <c r="AB31" i="2" s="1"/>
  <c r="X31" i="2"/>
  <c r="X32" i="2"/>
  <c r="AA31" i="1"/>
  <c r="AB31" i="1" s="1"/>
  <c r="AA32" i="1"/>
  <c r="AB32" i="1" s="1"/>
  <c r="AA65" i="1"/>
  <c r="AB65" i="1" s="1"/>
  <c r="AA66" i="1"/>
  <c r="AB66" i="1" s="1"/>
  <c r="AA67" i="1"/>
  <c r="AB67" i="1" s="1"/>
  <c r="AA100" i="1"/>
  <c r="AB100" i="1" s="1"/>
  <c r="AA101" i="1"/>
  <c r="AB101" i="1" s="1"/>
  <c r="AA102" i="1"/>
  <c r="AB102" i="1"/>
  <c r="N103" i="3"/>
  <c r="AN110" i="6"/>
  <c r="AV41" i="30" l="1"/>
  <c r="AV43" i="30" s="1"/>
  <c r="AV45" i="30" s="1"/>
  <c r="AW24" i="30"/>
  <c r="BD17" i="30"/>
  <c r="BB17" i="30"/>
  <c r="BB16" i="30"/>
  <c r="BB15" i="30"/>
  <c r="AZ15" i="30"/>
  <c r="BB14" i="30"/>
  <c r="AZ14" i="30"/>
  <c r="BB13" i="30"/>
  <c r="AZ13" i="30"/>
  <c r="BB12" i="30"/>
  <c r="AZ12" i="30"/>
  <c r="BB11" i="30"/>
  <c r="AZ11" i="30"/>
  <c r="BB10" i="30"/>
  <c r="AZ10" i="30"/>
  <c r="BB9" i="30"/>
  <c r="BF9" i="30" s="1"/>
  <c r="AZ9" i="30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F10" i="30" l="1"/>
  <c r="BF11" i="30" s="1"/>
  <c r="BF12" i="30" s="1"/>
  <c r="BB19" i="30"/>
  <c r="BG9" i="30" s="1"/>
  <c r="BD15" i="30"/>
  <c r="BD10" i="30"/>
  <c r="BD13" i="30"/>
  <c r="BD14" i="30"/>
  <c r="BD12" i="30"/>
  <c r="BD11" i="30"/>
  <c r="AZ24" i="30"/>
  <c r="AW26" i="30"/>
  <c r="AW29" i="30" s="1"/>
  <c r="AW32" i="30" s="1"/>
  <c r="BD16" i="30"/>
  <c r="BD9" i="30"/>
  <c r="O67" i="17"/>
  <c r="I67" i="17"/>
  <c r="BF13" i="30" l="1"/>
  <c r="BG12" i="30"/>
  <c r="BG11" i="30"/>
  <c r="BG10" i="30"/>
  <c r="AZ26" i="30"/>
  <c r="N60" i="19"/>
  <c r="BF14" i="30" l="1"/>
  <c r="BG13" i="30"/>
  <c r="Q119" i="19"/>
  <c r="N119" i="19"/>
  <c r="Q159" i="19"/>
  <c r="M159" i="19"/>
  <c r="X67" i="17"/>
  <c r="X32" i="17"/>
  <c r="BF15" i="30" l="1"/>
  <c r="BG15" i="30" s="1"/>
  <c r="BG14" i="30"/>
  <c r="AA30" i="15"/>
  <c r="AA31" i="15"/>
  <c r="AA32" i="15"/>
  <c r="AB73" i="16" l="1"/>
  <c r="AQ200" i="16"/>
  <c r="AX198" i="16"/>
  <c r="AV198" i="16"/>
  <c r="AV197" i="16"/>
  <c r="AV196" i="16"/>
  <c r="AT196" i="16"/>
  <c r="AX197" i="16" s="1"/>
  <c r="AV195" i="16"/>
  <c r="AT195" i="16"/>
  <c r="AV194" i="16"/>
  <c r="AT194" i="16"/>
  <c r="AV193" i="16"/>
  <c r="AT193" i="16"/>
  <c r="AV192" i="16"/>
  <c r="AT192" i="16"/>
  <c r="AV191" i="16"/>
  <c r="AT191" i="16"/>
  <c r="AV190" i="16"/>
  <c r="AT190" i="16"/>
  <c r="AX190" i="16" s="1"/>
  <c r="AV189" i="16"/>
  <c r="AT189" i="16"/>
  <c r="AV188" i="16"/>
  <c r="AT188" i="16"/>
  <c r="AQ180" i="16"/>
  <c r="AX178" i="16"/>
  <c r="AV178" i="16"/>
  <c r="AV177" i="16"/>
  <c r="AV176" i="16"/>
  <c r="AT176" i="16"/>
  <c r="AX177" i="16" s="1"/>
  <c r="AV175" i="16"/>
  <c r="AT175" i="16"/>
  <c r="AX176" i="16" s="1"/>
  <c r="AV174" i="16"/>
  <c r="AT174" i="16"/>
  <c r="AV173" i="16"/>
  <c r="AT173" i="16"/>
  <c r="AT152" i="16" s="1"/>
  <c r="AV172" i="16"/>
  <c r="AT172" i="16"/>
  <c r="AV171" i="16"/>
  <c r="AT171" i="16"/>
  <c r="AV170" i="16"/>
  <c r="AT170" i="16"/>
  <c r="AV169" i="16"/>
  <c r="AT169" i="16"/>
  <c r="AT148" i="16" s="1"/>
  <c r="AV168" i="16"/>
  <c r="AT168" i="16"/>
  <c r="AX157" i="16"/>
  <c r="AV157" i="16"/>
  <c r="AQ155" i="16"/>
  <c r="AV156" i="16" s="1"/>
  <c r="AQ154" i="16"/>
  <c r="AQ153" i="16"/>
  <c r="AQ152" i="16"/>
  <c r="AS152" i="16" s="1"/>
  <c r="AQ151" i="16"/>
  <c r="AQ150" i="16"/>
  <c r="AQ149" i="16"/>
  <c r="AQ148" i="16"/>
  <c r="AQ147" i="16"/>
  <c r="AK192" i="16"/>
  <c r="AK193" i="16"/>
  <c r="AK194" i="16"/>
  <c r="AK195" i="16"/>
  <c r="AK196" i="16"/>
  <c r="AK172" i="16"/>
  <c r="AK173" i="16"/>
  <c r="AK174" i="16"/>
  <c r="AK175" i="16"/>
  <c r="AF148" i="16"/>
  <c r="AF149" i="16"/>
  <c r="AK149" i="16" s="1"/>
  <c r="AF150" i="16"/>
  <c r="AF151" i="16"/>
  <c r="AK151" i="16" s="1"/>
  <c r="AF152" i="16"/>
  <c r="AK152" i="16" s="1"/>
  <c r="AF153" i="16"/>
  <c r="AF154" i="16"/>
  <c r="AK154" i="16" s="1"/>
  <c r="AF155" i="16"/>
  <c r="AF147" i="16"/>
  <c r="AK147" i="16" s="1"/>
  <c r="AM198" i="16"/>
  <c r="AK198" i="16"/>
  <c r="AK197" i="16"/>
  <c r="AI196" i="16"/>
  <c r="AM197" i="16" s="1"/>
  <c r="AI195" i="16"/>
  <c r="AI194" i="16"/>
  <c r="AI192" i="16"/>
  <c r="AK191" i="16"/>
  <c r="AK190" i="16"/>
  <c r="AK189" i="16"/>
  <c r="AK188" i="16"/>
  <c r="AI188" i="16"/>
  <c r="AM188" i="16" s="1"/>
  <c r="AM178" i="16"/>
  <c r="AK178" i="16"/>
  <c r="AK177" i="16"/>
  <c r="AK176" i="16"/>
  <c r="AI176" i="16"/>
  <c r="AI175" i="16"/>
  <c r="AI174" i="16"/>
  <c r="AI172" i="16"/>
  <c r="AK171" i="16"/>
  <c r="AI170" i="16"/>
  <c r="AK169" i="16"/>
  <c r="AK168" i="16"/>
  <c r="AI168" i="16"/>
  <c r="AM157" i="16"/>
  <c r="AK157" i="16"/>
  <c r="AK156" i="16"/>
  <c r="AI155" i="16"/>
  <c r="AM156" i="16" s="1"/>
  <c r="AI154" i="16"/>
  <c r="AI150" i="16"/>
  <c r="AI148" i="16"/>
  <c r="AM195" i="16" l="1"/>
  <c r="AS148" i="16"/>
  <c r="AX171" i="16"/>
  <c r="AT200" i="16"/>
  <c r="AI149" i="16"/>
  <c r="AV150" i="16"/>
  <c r="AI147" i="16"/>
  <c r="AM147" i="16" s="1"/>
  <c r="AX173" i="16"/>
  <c r="AV152" i="16"/>
  <c r="AT149" i="16"/>
  <c r="AT153" i="16"/>
  <c r="AS153" i="16" s="1"/>
  <c r="AM175" i="16"/>
  <c r="AX195" i="16"/>
  <c r="AK155" i="16"/>
  <c r="AT155" i="16"/>
  <c r="AM176" i="16"/>
  <c r="AK153" i="16"/>
  <c r="AT180" i="16"/>
  <c r="AQ202" i="16"/>
  <c r="AT154" i="16"/>
  <c r="AM150" i="16"/>
  <c r="AQ182" i="16"/>
  <c r="AX193" i="16"/>
  <c r="AS151" i="16"/>
  <c r="AF159" i="16"/>
  <c r="AI151" i="16"/>
  <c r="AM151" i="16" s="1"/>
  <c r="AX174" i="16"/>
  <c r="AT151" i="16"/>
  <c r="AM177" i="16"/>
  <c r="AM155" i="16"/>
  <c r="AM196" i="16"/>
  <c r="AV154" i="16"/>
  <c r="AT150" i="16"/>
  <c r="AS150" i="16" s="1"/>
  <c r="AS149" i="16"/>
  <c r="AM149" i="16"/>
  <c r="AQ159" i="16"/>
  <c r="AX192" i="16"/>
  <c r="AT147" i="16"/>
  <c r="AS147" i="16" s="1"/>
  <c r="AX168" i="16"/>
  <c r="AX169" i="16"/>
  <c r="AX189" i="16"/>
  <c r="AV147" i="16"/>
  <c r="AV149" i="16"/>
  <c r="AV151" i="16"/>
  <c r="AV153" i="16"/>
  <c r="AV155" i="16"/>
  <c r="AX172" i="16"/>
  <c r="AX191" i="16"/>
  <c r="AX188" i="16"/>
  <c r="AX196" i="16"/>
  <c r="AX175" i="16"/>
  <c r="AX194" i="16"/>
  <c r="AX170" i="16"/>
  <c r="AX149" i="16"/>
  <c r="AV148" i="16"/>
  <c r="AI153" i="16"/>
  <c r="AI190" i="16"/>
  <c r="AF202" i="16"/>
  <c r="AI189" i="16"/>
  <c r="AM189" i="16" s="1"/>
  <c r="AI191" i="16"/>
  <c r="AM192" i="16" s="1"/>
  <c r="AI193" i="16"/>
  <c r="AF200" i="16"/>
  <c r="AK170" i="16"/>
  <c r="AM168" i="16"/>
  <c r="AI169" i="16"/>
  <c r="AM169" i="16" s="1"/>
  <c r="AI171" i="16"/>
  <c r="AM171" i="16" s="1"/>
  <c r="AI173" i="16"/>
  <c r="AM173" i="16" s="1"/>
  <c r="AF180" i="16"/>
  <c r="AI152" i="16"/>
  <c r="AK148" i="16"/>
  <c r="AK150" i="16"/>
  <c r="AM148" i="16" l="1"/>
  <c r="AM190" i="16"/>
  <c r="AM153" i="16"/>
  <c r="AM154" i="16"/>
  <c r="AM152" i="16"/>
  <c r="AM194" i="16"/>
  <c r="AM193" i="16"/>
  <c r="AM191" i="16"/>
  <c r="AI202" i="16" s="1"/>
  <c r="AM174" i="16"/>
  <c r="AM172" i="16"/>
  <c r="AT182" i="16"/>
  <c r="AX147" i="16"/>
  <c r="AT159" i="16"/>
  <c r="AX148" i="16"/>
  <c r="AX156" i="16"/>
  <c r="AX155" i="16"/>
  <c r="AT202" i="16"/>
  <c r="AX150" i="16"/>
  <c r="AQ161" i="16"/>
  <c r="AX154" i="16"/>
  <c r="AX153" i="16"/>
  <c r="AX152" i="16"/>
  <c r="AX151" i="16"/>
  <c r="AF182" i="16"/>
  <c r="AI200" i="16"/>
  <c r="AI180" i="16"/>
  <c r="AM170" i="16"/>
  <c r="AI159" i="16"/>
  <c r="AF161" i="16"/>
  <c r="AI161" i="16" l="1"/>
  <c r="AI182" i="16"/>
  <c r="AT161" i="16"/>
  <c r="X34" i="12"/>
  <c r="AA62" i="27"/>
  <c r="AA27" i="27" l="1"/>
  <c r="AA65" i="17"/>
  <c r="AA66" i="17"/>
  <c r="BN14" i="18" l="1"/>
  <c r="BR14" i="18" s="1"/>
  <c r="BP14" i="18"/>
  <c r="BN15" i="18"/>
  <c r="BR15" i="18" s="1"/>
  <c r="BP15" i="18"/>
  <c r="BN16" i="18"/>
  <c r="BP16" i="18"/>
  <c r="BN17" i="18"/>
  <c r="BP17" i="18"/>
  <c r="BN18" i="18"/>
  <c r="BP18" i="18"/>
  <c r="BN19" i="18"/>
  <c r="BR19" i="18" s="1"/>
  <c r="BP19" i="18"/>
  <c r="BN20" i="18"/>
  <c r="BP20" i="18"/>
  <c r="BN21" i="18"/>
  <c r="BP21" i="18"/>
  <c r="BK24" i="18"/>
  <c r="BP22" i="18"/>
  <c r="BC18" i="18"/>
  <c r="AX33" i="18"/>
  <c r="BA15" i="18"/>
  <c r="BC15" i="18"/>
  <c r="BA16" i="18"/>
  <c r="BC16" i="18"/>
  <c r="BA17" i="18"/>
  <c r="BC17" i="18"/>
  <c r="BA18" i="18"/>
  <c r="BA19" i="18"/>
  <c r="BC19" i="18"/>
  <c r="BA20" i="18"/>
  <c r="BC20" i="18"/>
  <c r="BA21" i="18"/>
  <c r="BC21" i="18"/>
  <c r="BA22" i="18"/>
  <c r="BC22" i="18"/>
  <c r="BA23" i="18"/>
  <c r="BC23" i="18"/>
  <c r="BA24" i="18"/>
  <c r="BC24" i="18"/>
  <c r="BA25" i="18"/>
  <c r="BC25" i="18"/>
  <c r="BA26" i="18"/>
  <c r="BC26" i="18"/>
  <c r="BA27" i="18"/>
  <c r="BC27" i="18"/>
  <c r="BA28" i="18"/>
  <c r="BC28" i="18"/>
  <c r="BA29" i="18"/>
  <c r="BC29" i="18"/>
  <c r="BA30" i="18"/>
  <c r="BE31" i="18" s="1"/>
  <c r="BC30" i="18"/>
  <c r="BC31" i="18"/>
  <c r="BC14" i="18"/>
  <c r="BA14" i="18"/>
  <c r="BE14" i="18" s="1"/>
  <c r="BR21" i="18" l="1"/>
  <c r="BR16" i="18"/>
  <c r="BK26" i="18"/>
  <c r="BR22" i="18"/>
  <c r="BE24" i="18"/>
  <c r="BR18" i="18"/>
  <c r="BR20" i="18"/>
  <c r="BR17" i="18"/>
  <c r="BE15" i="18"/>
  <c r="BE25" i="18"/>
  <c r="BE17" i="18"/>
  <c r="BE16" i="18"/>
  <c r="AX35" i="18"/>
  <c r="BE27" i="18"/>
  <c r="BE23" i="18"/>
  <c r="BE19" i="18"/>
  <c r="BK27" i="18"/>
  <c r="BE22" i="18"/>
  <c r="AX36" i="18"/>
  <c r="BA33" i="18"/>
  <c r="BE28" i="18"/>
  <c r="BE30" i="18"/>
  <c r="BE20" i="18"/>
  <c r="BN24" i="18"/>
  <c r="BE21" i="18"/>
  <c r="BE29" i="18"/>
  <c r="BE26" i="18"/>
  <c r="BE18" i="18"/>
  <c r="BN26" i="18" l="1"/>
  <c r="BA35" i="18"/>
  <c r="CS23" i="23" l="1"/>
  <c r="CZ21" i="23"/>
  <c r="CX21" i="23"/>
  <c r="CZ20" i="23"/>
  <c r="CX20" i="23"/>
  <c r="CV20" i="23"/>
  <c r="CX19" i="23"/>
  <c r="CV19" i="23"/>
  <c r="CX18" i="23"/>
  <c r="CV18" i="23"/>
  <c r="CX17" i="23"/>
  <c r="CV17" i="23"/>
  <c r="CX16" i="23"/>
  <c r="CV16" i="23"/>
  <c r="CX15" i="23"/>
  <c r="CV15" i="23"/>
  <c r="CX14" i="23"/>
  <c r="CV14" i="23"/>
  <c r="CX13" i="23"/>
  <c r="CV13" i="23"/>
  <c r="CX12" i="23"/>
  <c r="CV12" i="23"/>
  <c r="CX11" i="23"/>
  <c r="CV11" i="23"/>
  <c r="CX10" i="23"/>
  <c r="CV10" i="23"/>
  <c r="CZ10" i="23" s="1"/>
  <c r="CZ9" i="23"/>
  <c r="CX9" i="23"/>
  <c r="CV9" i="23"/>
  <c r="AL96" i="17"/>
  <c r="AI96" i="17"/>
  <c r="AQ12" i="17"/>
  <c r="AH26" i="17" s="1"/>
  <c r="AK26" i="17" s="1"/>
  <c r="AH12" i="17"/>
  <c r="AR82" i="17"/>
  <c r="AI82" i="17"/>
  <c r="AU11" i="17"/>
  <c r="AU10" i="17"/>
  <c r="AI92" i="17"/>
  <c r="AP90" i="17"/>
  <c r="AN90" i="17"/>
  <c r="AN89" i="17"/>
  <c r="AL89" i="17"/>
  <c r="AN88" i="17"/>
  <c r="AL88" i="17"/>
  <c r="AN87" i="17"/>
  <c r="AL87" i="17"/>
  <c r="AN86" i="17"/>
  <c r="AL86" i="17"/>
  <c r="AN85" i="17"/>
  <c r="AL85" i="17"/>
  <c r="AN84" i="17"/>
  <c r="AL84" i="17"/>
  <c r="AN83" i="17"/>
  <c r="AL83" i="17"/>
  <c r="AN82" i="17"/>
  <c r="AL82" i="17"/>
  <c r="AN81" i="17"/>
  <c r="AL81" i="17"/>
  <c r="AN80" i="17"/>
  <c r="AL80" i="17"/>
  <c r="AN79" i="17"/>
  <c r="AL79" i="17"/>
  <c r="AN78" i="17"/>
  <c r="AL78" i="17"/>
  <c r="AP78" i="17" s="1"/>
  <c r="AP89" i="17" l="1"/>
  <c r="CZ19" i="23"/>
  <c r="CZ17" i="23"/>
  <c r="CZ15" i="23"/>
  <c r="CV29" i="23"/>
  <c r="CV23" i="23"/>
  <c r="CZ14" i="23"/>
  <c r="CZ12" i="23"/>
  <c r="CZ13" i="23"/>
  <c r="CZ11" i="23"/>
  <c r="CZ18" i="23"/>
  <c r="CS27" i="23"/>
  <c r="CS25" i="23"/>
  <c r="CZ16" i="23"/>
  <c r="AP84" i="17"/>
  <c r="AP81" i="17"/>
  <c r="AP83" i="17"/>
  <c r="AP88" i="17"/>
  <c r="AI95" i="17"/>
  <c r="AP85" i="17"/>
  <c r="AI94" i="17"/>
  <c r="AP82" i="17"/>
  <c r="AP80" i="17"/>
  <c r="AP86" i="17"/>
  <c r="AP79" i="17"/>
  <c r="AP87" i="17"/>
  <c r="AL92" i="17"/>
  <c r="CV25" i="23" l="1"/>
  <c r="AL94" i="17"/>
  <c r="AH22" i="17" l="1"/>
  <c r="AM20" i="17"/>
  <c r="AM19" i="17"/>
  <c r="AK19" i="17"/>
  <c r="AO20" i="17" s="1"/>
  <c r="AM18" i="17"/>
  <c r="AK18" i="17"/>
  <c r="AM17" i="17"/>
  <c r="AK17" i="17"/>
  <c r="AM16" i="17"/>
  <c r="AK16" i="17"/>
  <c r="AM15" i="17"/>
  <c r="AK15" i="17"/>
  <c r="AM14" i="17"/>
  <c r="AK14" i="17"/>
  <c r="AM13" i="17"/>
  <c r="AK13" i="17"/>
  <c r="AM12" i="17"/>
  <c r="AK12" i="17"/>
  <c r="AM11" i="17"/>
  <c r="AK11" i="17"/>
  <c r="AM10" i="17"/>
  <c r="AK10" i="17"/>
  <c r="AM9" i="17"/>
  <c r="AK9" i="17"/>
  <c r="AM8" i="17"/>
  <c r="AK8" i="17"/>
  <c r="AH25" i="17" l="1"/>
  <c r="AO10" i="17"/>
  <c r="AO11" i="17"/>
  <c r="AO13" i="17"/>
  <c r="AO9" i="17"/>
  <c r="AO12" i="17"/>
  <c r="AO16" i="17"/>
  <c r="AO19" i="17"/>
  <c r="AO18" i="17"/>
  <c r="AO17" i="17"/>
  <c r="AO14" i="17"/>
  <c r="AO15" i="17"/>
  <c r="AK22" i="17"/>
  <c r="AH24" i="17"/>
  <c r="AO8" i="17"/>
  <c r="O102" i="17"/>
  <c r="O32" i="17"/>
  <c r="AK24" i="17" l="1"/>
  <c r="J34" i="2" l="1"/>
  <c r="AB105" i="18" l="1"/>
  <c r="CL40" i="23" l="1"/>
  <c r="CL39" i="23"/>
  <c r="CL38" i="23"/>
  <c r="CJ38" i="23"/>
  <c r="CN38" i="23" s="1"/>
  <c r="CJ62" i="23"/>
  <c r="CL62" i="23"/>
  <c r="CJ63" i="23"/>
  <c r="CL63" i="23"/>
  <c r="CJ64" i="23"/>
  <c r="CL64" i="23"/>
  <c r="CN64" i="23" l="1"/>
  <c r="CN63" i="23"/>
  <c r="CJ85" i="23" l="1"/>
  <c r="CJ87" i="23" s="1"/>
  <c r="CH85" i="23"/>
  <c r="CH87" i="23" s="1"/>
  <c r="AE46" i="23" l="1"/>
  <c r="AF46" i="23"/>
  <c r="AB66" i="13" l="1"/>
  <c r="AB31" i="13"/>
  <c r="AB101" i="12"/>
  <c r="X104" i="12"/>
  <c r="AB66" i="12"/>
  <c r="AB31" i="12"/>
  <c r="AB29" i="12"/>
  <c r="AB65" i="14" l="1"/>
  <c r="AB66" i="14"/>
  <c r="L31" i="17" l="1"/>
  <c r="N66" i="11" l="1"/>
  <c r="M31" i="11"/>
  <c r="P137" i="10"/>
  <c r="O137" i="10"/>
  <c r="M137" i="10"/>
  <c r="I31" i="10"/>
  <c r="G31" i="10"/>
  <c r="N121" i="9"/>
  <c r="G121" i="9"/>
  <c r="M31" i="9"/>
  <c r="K31" i="9"/>
  <c r="N101" i="9"/>
  <c r="M101" i="9"/>
  <c r="CL60" i="23" l="1"/>
  <c r="CL58" i="23"/>
  <c r="CG67" i="23"/>
  <c r="CL61" i="23"/>
  <c r="CJ61" i="23"/>
  <c r="CN62" i="23" s="1"/>
  <c r="CJ60" i="23"/>
  <c r="CL59" i="23"/>
  <c r="CJ59" i="23"/>
  <c r="CJ58" i="23"/>
  <c r="CN58" i="23" s="1"/>
  <c r="CG69" i="23" l="1"/>
  <c r="CN60" i="23"/>
  <c r="CN59" i="23"/>
  <c r="CN61" i="23"/>
  <c r="CJ67" i="23"/>
  <c r="CJ69" i="23" l="1"/>
  <c r="AD30" i="8"/>
  <c r="AC100" i="8"/>
  <c r="AB107" i="16" l="1"/>
  <c r="AB71" i="16"/>
  <c r="AB72" i="16"/>
  <c r="AA36" i="16"/>
  <c r="AA37" i="16"/>
  <c r="AF129" i="16"/>
  <c r="AF126" i="16"/>
  <c r="AF127" i="16"/>
  <c r="AF128" i="16"/>
  <c r="AF125" i="16"/>
  <c r="AM134" i="16"/>
  <c r="AK134" i="16"/>
  <c r="AK133" i="16"/>
  <c r="AK132" i="16"/>
  <c r="AI132" i="16"/>
  <c r="AM133" i="16" s="1"/>
  <c r="AK131" i="16"/>
  <c r="AI131" i="16"/>
  <c r="AI130" i="16"/>
  <c r="AK125" i="16"/>
  <c r="AF107" i="16"/>
  <c r="AK110" i="16" s="1"/>
  <c r="AF104" i="16"/>
  <c r="AI104" i="16" s="1"/>
  <c r="AF105" i="16"/>
  <c r="AF106" i="16"/>
  <c r="AF103" i="16"/>
  <c r="AI103" i="16" s="1"/>
  <c r="AM103" i="16" s="1"/>
  <c r="AM114" i="16"/>
  <c r="AK114" i="16"/>
  <c r="AK113" i="16"/>
  <c r="AK112" i="16"/>
  <c r="AI112" i="16"/>
  <c r="AM113" i="16" s="1"/>
  <c r="AK111" i="16"/>
  <c r="AI111" i="16"/>
  <c r="AI110" i="16"/>
  <c r="AK103" i="16"/>
  <c r="AF88" i="16"/>
  <c r="AK89" i="16" s="1"/>
  <c r="AF85" i="16"/>
  <c r="AI85" i="16" s="1"/>
  <c r="AF86" i="16"/>
  <c r="AF87" i="16"/>
  <c r="AK87" i="16" s="1"/>
  <c r="AF84" i="16"/>
  <c r="AI84" i="16" s="1"/>
  <c r="AM93" i="16"/>
  <c r="AK93" i="16"/>
  <c r="AK92" i="16"/>
  <c r="AK91" i="16"/>
  <c r="AI91" i="16"/>
  <c r="AK90" i="16"/>
  <c r="AI90" i="16"/>
  <c r="AI89" i="16"/>
  <c r="AA99" i="13"/>
  <c r="AB99" i="13"/>
  <c r="AA100" i="13"/>
  <c r="AB100" i="13"/>
  <c r="AA101" i="13"/>
  <c r="AB101" i="13"/>
  <c r="AI88" i="13"/>
  <c r="AP86" i="13"/>
  <c r="AN86" i="13"/>
  <c r="AN85" i="13"/>
  <c r="AN84" i="13"/>
  <c r="AL84" i="13"/>
  <c r="AN83" i="13"/>
  <c r="AL83" i="13"/>
  <c r="AN82" i="13"/>
  <c r="AL82" i="13"/>
  <c r="AN81" i="13"/>
  <c r="AL81" i="13"/>
  <c r="AN80" i="13"/>
  <c r="AL80" i="13"/>
  <c r="AP80" i="13" s="1"/>
  <c r="AN79" i="13"/>
  <c r="AL79" i="13"/>
  <c r="AN78" i="13"/>
  <c r="AL78" i="13"/>
  <c r="AN77" i="13"/>
  <c r="AL77" i="13"/>
  <c r="AI53" i="13"/>
  <c r="AP51" i="13"/>
  <c r="AN51" i="13"/>
  <c r="AN50" i="13"/>
  <c r="AN49" i="13"/>
  <c r="AL49" i="13"/>
  <c r="AN48" i="13"/>
  <c r="AL48" i="13"/>
  <c r="AN47" i="13"/>
  <c r="AL47" i="13"/>
  <c r="AN46" i="13"/>
  <c r="AL46" i="13"/>
  <c r="AN45" i="13"/>
  <c r="AL45" i="13"/>
  <c r="AN44" i="13"/>
  <c r="AL44" i="13"/>
  <c r="AN43" i="13"/>
  <c r="AL43" i="13"/>
  <c r="AN42" i="13"/>
  <c r="AL42" i="13"/>
  <c r="AI17" i="13"/>
  <c r="AP15" i="13"/>
  <c r="AN15" i="13"/>
  <c r="AN14" i="13"/>
  <c r="AN13" i="13"/>
  <c r="AL13" i="13"/>
  <c r="AN12" i="13"/>
  <c r="AL12" i="13"/>
  <c r="AN11" i="13"/>
  <c r="AL11" i="13"/>
  <c r="AN10" i="13"/>
  <c r="AL10" i="13"/>
  <c r="AN9" i="13"/>
  <c r="AL9" i="13"/>
  <c r="AN8" i="13"/>
  <c r="AL8" i="13"/>
  <c r="AN7" i="13"/>
  <c r="AL7" i="13"/>
  <c r="AN6" i="13"/>
  <c r="AL6" i="13"/>
  <c r="AI88" i="12"/>
  <c r="AP86" i="12"/>
  <c r="AN86" i="12"/>
  <c r="AN85" i="12"/>
  <c r="AN84" i="12"/>
  <c r="AL84" i="12"/>
  <c r="AN83" i="12"/>
  <c r="AL83" i="12"/>
  <c r="AN82" i="12"/>
  <c r="AL82" i="12"/>
  <c r="AP82" i="12" s="1"/>
  <c r="AN81" i="12"/>
  <c r="AL81" i="12"/>
  <c r="AN80" i="12"/>
  <c r="AL80" i="12"/>
  <c r="AN79" i="12"/>
  <c r="AL79" i="12"/>
  <c r="AN78" i="12"/>
  <c r="AL78" i="12"/>
  <c r="AN77" i="12"/>
  <c r="AL77" i="12"/>
  <c r="AI54" i="12"/>
  <c r="AP52" i="12"/>
  <c r="AN52" i="12"/>
  <c r="AN51" i="12"/>
  <c r="AN50" i="12"/>
  <c r="AL50" i="12"/>
  <c r="AP51" i="12" s="1"/>
  <c r="AN49" i="12"/>
  <c r="AL49" i="12"/>
  <c r="AN48" i="12"/>
  <c r="AL48" i="12"/>
  <c r="AN47" i="12"/>
  <c r="AL47" i="12"/>
  <c r="AN46" i="12"/>
  <c r="AL46" i="12"/>
  <c r="AN45" i="12"/>
  <c r="AL45" i="12"/>
  <c r="AN44" i="12"/>
  <c r="AL44" i="12"/>
  <c r="AN43" i="12"/>
  <c r="AL43" i="12"/>
  <c r="AH18" i="12"/>
  <c r="AO16" i="12"/>
  <c r="AM16" i="12"/>
  <c r="AM15" i="12"/>
  <c r="AM14" i="12"/>
  <c r="AK14" i="12"/>
  <c r="AM13" i="12"/>
  <c r="AK13" i="12"/>
  <c r="AM12" i="12"/>
  <c r="AK12" i="12"/>
  <c r="AM11" i="12"/>
  <c r="AK11" i="12"/>
  <c r="AM10" i="12"/>
  <c r="AK10" i="12"/>
  <c r="AM9" i="12"/>
  <c r="AK9" i="12"/>
  <c r="AM8" i="12"/>
  <c r="AK8" i="12"/>
  <c r="AM7" i="12"/>
  <c r="AK7" i="12"/>
  <c r="AF89" i="14"/>
  <c r="AM87" i="14"/>
  <c r="AK87" i="14"/>
  <c r="AK86" i="14"/>
  <c r="AK85" i="14"/>
  <c r="AI85" i="14"/>
  <c r="AK84" i="14"/>
  <c r="AI84" i="14"/>
  <c r="AK83" i="14"/>
  <c r="AI83" i="14"/>
  <c r="AK82" i="14"/>
  <c r="AI82" i="14"/>
  <c r="AK81" i="14"/>
  <c r="AI81" i="14"/>
  <c r="AM81" i="14" s="1"/>
  <c r="AK80" i="14"/>
  <c r="AI80" i="14"/>
  <c r="AK79" i="14"/>
  <c r="AI79" i="14"/>
  <c r="AK78" i="14"/>
  <c r="AI78" i="14"/>
  <c r="AF54" i="14"/>
  <c r="AM52" i="14"/>
  <c r="AK52" i="14"/>
  <c r="AK51" i="14"/>
  <c r="AK50" i="14"/>
  <c r="AI50" i="14"/>
  <c r="AK49" i="14"/>
  <c r="AI49" i="14"/>
  <c r="AK48" i="14"/>
  <c r="AI48" i="14"/>
  <c r="AK47" i="14"/>
  <c r="AI47" i="14"/>
  <c r="AK46" i="14"/>
  <c r="AI46" i="14"/>
  <c r="AK45" i="14"/>
  <c r="AI45" i="14"/>
  <c r="AK44" i="14"/>
  <c r="AI44" i="14"/>
  <c r="AK43" i="14"/>
  <c r="AI43" i="14"/>
  <c r="AG18" i="14"/>
  <c r="AN16" i="14"/>
  <c r="AL16" i="14"/>
  <c r="AL15" i="14"/>
  <c r="AL14" i="14"/>
  <c r="AJ14" i="14"/>
  <c r="AL13" i="14"/>
  <c r="AJ13" i="14"/>
  <c r="AL12" i="14"/>
  <c r="AJ12" i="14"/>
  <c r="AN13" i="14" s="1"/>
  <c r="AL11" i="14"/>
  <c r="AJ11" i="14"/>
  <c r="AL10" i="14"/>
  <c r="AJ10" i="14"/>
  <c r="AL9" i="14"/>
  <c r="AJ9" i="14"/>
  <c r="AL8" i="14"/>
  <c r="AJ8" i="14"/>
  <c r="AL7" i="14"/>
  <c r="AJ7" i="14"/>
  <c r="AM132" i="16" l="1"/>
  <c r="AI107" i="16"/>
  <c r="AM110" i="16" s="1"/>
  <c r="AI88" i="16"/>
  <c r="AL54" i="12"/>
  <c r="AP83" i="12"/>
  <c r="AP79" i="12"/>
  <c r="AK127" i="16"/>
  <c r="AO10" i="12"/>
  <c r="AP11" i="13"/>
  <c r="AG20" i="14"/>
  <c r="AM80" i="14"/>
  <c r="AM84" i="14"/>
  <c r="AO13" i="12"/>
  <c r="AK107" i="16"/>
  <c r="AK128" i="16"/>
  <c r="AM90" i="16"/>
  <c r="AI128" i="16"/>
  <c r="AK129" i="16"/>
  <c r="AM49" i="14"/>
  <c r="AP44" i="13"/>
  <c r="AO9" i="12"/>
  <c r="AP12" i="13"/>
  <c r="AP79" i="13"/>
  <c r="AP13" i="13"/>
  <c r="AO14" i="12"/>
  <c r="AI87" i="16"/>
  <c r="AK86" i="16"/>
  <c r="AI89" i="14"/>
  <c r="AM85" i="14"/>
  <c r="AP80" i="12"/>
  <c r="AM111" i="16"/>
  <c r="AM131" i="16"/>
  <c r="AM46" i="14"/>
  <c r="AM82" i="14"/>
  <c r="AP84" i="12"/>
  <c r="AP84" i="13"/>
  <c r="AK88" i="16"/>
  <c r="AP83" i="13"/>
  <c r="AM50" i="14"/>
  <c r="AP48" i="13"/>
  <c r="AI106" i="16"/>
  <c r="AM112" i="16"/>
  <c r="AK106" i="16"/>
  <c r="AP82" i="13"/>
  <c r="AF56" i="14"/>
  <c r="AP47" i="12"/>
  <c r="AP50" i="12"/>
  <c r="AP85" i="12"/>
  <c r="AP45" i="13"/>
  <c r="AP49" i="13"/>
  <c r="AI126" i="16"/>
  <c r="AK126" i="16"/>
  <c r="AK130" i="16"/>
  <c r="AI125" i="16"/>
  <c r="AI127" i="16"/>
  <c r="AI129" i="16"/>
  <c r="AF136" i="16"/>
  <c r="AI105" i="16"/>
  <c r="AM105" i="16" s="1"/>
  <c r="AK105" i="16"/>
  <c r="AK104" i="16"/>
  <c r="AF116" i="16"/>
  <c r="AM104" i="16"/>
  <c r="AI86" i="16"/>
  <c r="AM86" i="16" s="1"/>
  <c r="AF95" i="16"/>
  <c r="AK85" i="16"/>
  <c r="AK84" i="16"/>
  <c r="AM85" i="16"/>
  <c r="AM89" i="16"/>
  <c r="AM88" i="16"/>
  <c r="AM91" i="16"/>
  <c r="AM92" i="16"/>
  <c r="AM84" i="16"/>
  <c r="AL88" i="13"/>
  <c r="AI90" i="13"/>
  <c r="AP81" i="13"/>
  <c r="AP85" i="13"/>
  <c r="AP77" i="13"/>
  <c r="AP78" i="13"/>
  <c r="AL53" i="13"/>
  <c r="AI55" i="13"/>
  <c r="AP46" i="13"/>
  <c r="AP47" i="13"/>
  <c r="AP50" i="13"/>
  <c r="AP42" i="13"/>
  <c r="AP43" i="13"/>
  <c r="AP10" i="13"/>
  <c r="AP8" i="13"/>
  <c r="AP7" i="13"/>
  <c r="AL17" i="13"/>
  <c r="AP14" i="13"/>
  <c r="AP9" i="13"/>
  <c r="AI19" i="13"/>
  <c r="AP6" i="13"/>
  <c r="AL88" i="12"/>
  <c r="AI90" i="12"/>
  <c r="AP78" i="12"/>
  <c r="AP81" i="12"/>
  <c r="AP44" i="12"/>
  <c r="AP46" i="12"/>
  <c r="AP48" i="12"/>
  <c r="AI56" i="12"/>
  <c r="AP45" i="12"/>
  <c r="AP49" i="12"/>
  <c r="AP77" i="12"/>
  <c r="AP43" i="12"/>
  <c r="AK18" i="12"/>
  <c r="AO11" i="12"/>
  <c r="AH20" i="12"/>
  <c r="AO12" i="12"/>
  <c r="AO15" i="12"/>
  <c r="AO7" i="12"/>
  <c r="AO8" i="12"/>
  <c r="AF91" i="14"/>
  <c r="AM83" i="14"/>
  <c r="AM86" i="14"/>
  <c r="AM78" i="14"/>
  <c r="AM79" i="14"/>
  <c r="AI54" i="14"/>
  <c r="AM44" i="14"/>
  <c r="AM47" i="14"/>
  <c r="AM45" i="14"/>
  <c r="AM48" i="14"/>
  <c r="AM51" i="14"/>
  <c r="AM43" i="14"/>
  <c r="AN9" i="14"/>
  <c r="AN14" i="14"/>
  <c r="AN11" i="14"/>
  <c r="AN10" i="14"/>
  <c r="AN15" i="14"/>
  <c r="AJ18" i="14"/>
  <c r="AN12" i="14"/>
  <c r="AN7" i="14"/>
  <c r="AN8" i="14"/>
  <c r="X34" i="2"/>
  <c r="AI95" i="16" l="1"/>
  <c r="AM107" i="16"/>
  <c r="AM87" i="16"/>
  <c r="AI97" i="16" s="1"/>
  <c r="AF118" i="16"/>
  <c r="AF97" i="16"/>
  <c r="AF138" i="16"/>
  <c r="AI116" i="16"/>
  <c r="AJ20" i="14"/>
  <c r="AM126" i="16"/>
  <c r="AM127" i="16"/>
  <c r="AM129" i="16"/>
  <c r="AM130" i="16"/>
  <c r="AM125" i="16"/>
  <c r="AI136" i="16"/>
  <c r="AM128" i="16"/>
  <c r="AM106" i="16"/>
  <c r="AI118" i="16" s="1"/>
  <c r="AL90" i="13"/>
  <c r="AL55" i="13"/>
  <c r="AL19" i="13"/>
  <c r="AL56" i="12"/>
  <c r="AL90" i="12"/>
  <c r="AK20" i="12"/>
  <c r="AI91" i="14"/>
  <c r="AI56" i="14"/>
  <c r="CL43" i="23"/>
  <c r="CG48" i="23"/>
  <c r="CL45" i="23"/>
  <c r="CL44" i="23"/>
  <c r="CJ44" i="23"/>
  <c r="CN45" i="23" s="1"/>
  <c r="CJ43" i="23"/>
  <c r="CL42" i="23"/>
  <c r="CJ42" i="23"/>
  <c r="CL41" i="23"/>
  <c r="CJ41" i="23"/>
  <c r="CJ40" i="23"/>
  <c r="CJ39" i="23"/>
  <c r="CN39" i="23" s="1"/>
  <c r="CN40" i="23" l="1"/>
  <c r="CN41" i="23"/>
  <c r="CG50" i="23"/>
  <c r="AI138" i="16"/>
  <c r="CN42" i="23"/>
  <c r="CN43" i="23"/>
  <c r="CJ48" i="23"/>
  <c r="CN44" i="23"/>
  <c r="O101" i="3"/>
  <c r="CJ50" i="23" l="1"/>
  <c r="M101" i="17"/>
  <c r="M66" i="17"/>
  <c r="L101" i="17" l="1"/>
  <c r="I31" i="3" l="1"/>
  <c r="I66" i="3"/>
  <c r="I101" i="3"/>
  <c r="I121" i="3"/>
  <c r="D69" i="1"/>
  <c r="H31" i="3" l="1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X154" i="9" l="1"/>
  <c r="X187" i="9"/>
  <c r="I187" i="9" s="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B29" i="21"/>
  <c r="C29" i="21"/>
  <c r="D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B30" i="21"/>
  <c r="C30" i="21"/>
  <c r="F30" i="21"/>
  <c r="G30" i="21"/>
  <c r="H30" i="21"/>
  <c r="I30" i="21"/>
  <c r="J30" i="21"/>
  <c r="K30" i="21"/>
  <c r="L30" i="21"/>
  <c r="M30" i="21"/>
  <c r="N30" i="21"/>
  <c r="O30" i="21"/>
  <c r="P30" i="21"/>
  <c r="B31" i="21"/>
  <c r="C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H187" i="9" l="1"/>
  <c r="F187" i="9"/>
  <c r="O187" i="9"/>
  <c r="N187" i="9"/>
  <c r="K187" i="9"/>
  <c r="X140" i="10"/>
  <c r="X65" i="3" l="1"/>
  <c r="X30" i="3"/>
  <c r="X100" i="3"/>
  <c r="X120" i="3"/>
  <c r="AB100" i="6"/>
  <c r="AC100" i="6" s="1"/>
  <c r="AB30" i="6"/>
  <c r="AC30" i="6" s="1"/>
  <c r="AA100" i="11" l="1"/>
  <c r="AB100" i="11" s="1"/>
  <c r="AA64" i="11"/>
  <c r="AB64" i="11" s="1"/>
  <c r="AA65" i="11"/>
  <c r="AB65" i="11" s="1"/>
  <c r="AB100" i="17" l="1"/>
  <c r="Z104" i="17"/>
  <c r="AN114" i="17" l="1"/>
  <c r="AN115" i="17"/>
  <c r="AN116" i="17"/>
  <c r="AN117" i="17"/>
  <c r="AN118" i="17"/>
  <c r="AN119" i="17"/>
  <c r="AP119" i="17"/>
  <c r="AI121" i="17"/>
  <c r="AL118" i="17"/>
  <c r="AL117" i="17"/>
  <c r="AL116" i="17"/>
  <c r="AL115" i="17"/>
  <c r="AL114" i="17"/>
  <c r="AN113" i="17"/>
  <c r="AL113" i="17"/>
  <c r="AP113" i="17" s="1"/>
  <c r="AN112" i="17"/>
  <c r="AL112" i="17"/>
  <c r="AN111" i="17"/>
  <c r="AL111" i="17"/>
  <c r="AP112" i="17" s="1"/>
  <c r="AN110" i="17"/>
  <c r="AL110" i="17"/>
  <c r="AN109" i="17"/>
  <c r="AL109" i="17"/>
  <c r="AP109" i="17" s="1"/>
  <c r="AV96" i="17"/>
  <c r="AV92" i="17"/>
  <c r="BA90" i="17"/>
  <c r="BA89" i="17"/>
  <c r="AY89" i="17"/>
  <c r="BA88" i="17"/>
  <c r="AY88" i="17"/>
  <c r="BA87" i="17"/>
  <c r="AY87" i="17"/>
  <c r="BA86" i="17"/>
  <c r="AY86" i="17"/>
  <c r="BA85" i="17"/>
  <c r="AY85" i="17"/>
  <c r="BA84" i="17"/>
  <c r="AY84" i="17"/>
  <c r="BA83" i="17"/>
  <c r="AY83" i="17"/>
  <c r="BA82" i="17"/>
  <c r="AY82" i="17"/>
  <c r="BA81" i="17"/>
  <c r="AY81" i="17"/>
  <c r="BA80" i="17"/>
  <c r="AY80" i="17"/>
  <c r="BA79" i="17"/>
  <c r="AY79" i="17"/>
  <c r="BA78" i="17"/>
  <c r="AY78" i="17"/>
  <c r="AP115" i="17" l="1"/>
  <c r="AP118" i="17"/>
  <c r="AP114" i="17"/>
  <c r="AP116" i="17"/>
  <c r="AP117" i="17"/>
  <c r="AV95" i="17"/>
  <c r="BC88" i="17"/>
  <c r="BC86" i="17"/>
  <c r="AI125" i="17"/>
  <c r="AP110" i="17"/>
  <c r="BC89" i="17"/>
  <c r="AI123" i="17"/>
  <c r="AL121" i="17"/>
  <c r="AP111" i="17"/>
  <c r="BC84" i="17"/>
  <c r="BC85" i="17"/>
  <c r="BC80" i="17"/>
  <c r="BC81" i="17"/>
  <c r="AY92" i="17"/>
  <c r="BC83" i="17"/>
  <c r="AV94" i="17"/>
  <c r="AY96" i="17"/>
  <c r="BC79" i="17"/>
  <c r="BC90" i="17"/>
  <c r="BC82" i="17"/>
  <c r="BC87" i="17"/>
  <c r="BC78" i="17"/>
  <c r="AL123" i="17" l="1"/>
  <c r="AY94" i="17"/>
  <c r="AB139" i="18" l="1"/>
  <c r="AB69" i="18"/>
  <c r="AB104" i="18"/>
  <c r="AC65" i="8" l="1"/>
  <c r="AB120" i="8"/>
  <c r="AB100" i="9" l="1"/>
  <c r="AD100" i="9"/>
  <c r="AC30" i="9"/>
  <c r="AC100" i="10"/>
  <c r="AE45" i="23" l="1"/>
  <c r="AF45" i="23"/>
  <c r="CG29" i="23"/>
  <c r="CG23" i="23"/>
  <c r="CL21" i="23"/>
  <c r="CL20" i="23"/>
  <c r="CJ20" i="23"/>
  <c r="CN21" i="23" s="1"/>
  <c r="CL19" i="23"/>
  <c r="CJ19" i="23"/>
  <c r="CL18" i="23"/>
  <c r="CJ18" i="23"/>
  <c r="CN19" i="23" s="1"/>
  <c r="CL17" i="23"/>
  <c r="CJ17" i="23"/>
  <c r="CL16" i="23"/>
  <c r="CJ16" i="23"/>
  <c r="CL15" i="23"/>
  <c r="CJ15" i="23"/>
  <c r="CL14" i="23"/>
  <c r="CJ14" i="23"/>
  <c r="CL13" i="23"/>
  <c r="CJ13" i="23"/>
  <c r="CL12" i="23"/>
  <c r="CJ12" i="23"/>
  <c r="CL11" i="23"/>
  <c r="CJ11" i="23"/>
  <c r="CL10" i="23"/>
  <c r="CJ10" i="23"/>
  <c r="CL9" i="23"/>
  <c r="CJ9" i="23"/>
  <c r="AA30" i="2"/>
  <c r="AB30" i="2" s="1"/>
  <c r="AA30" i="1"/>
  <c r="AB30" i="1" s="1"/>
  <c r="CN16" i="23" l="1"/>
  <c r="CN17" i="23"/>
  <c r="CN20" i="23"/>
  <c r="CN11" i="23"/>
  <c r="CN12" i="23"/>
  <c r="CN15" i="23"/>
  <c r="CJ29" i="23"/>
  <c r="CN13" i="23"/>
  <c r="CG25" i="23"/>
  <c r="CN10" i="23"/>
  <c r="CN14" i="23"/>
  <c r="CN18" i="23"/>
  <c r="CN9" i="23"/>
  <c r="CG27" i="23"/>
  <c r="CJ23" i="23"/>
  <c r="F154" i="9"/>
  <c r="G154" i="9"/>
  <c r="H154" i="9"/>
  <c r="I154" i="9"/>
  <c r="K154" i="9"/>
  <c r="O154" i="9"/>
  <c r="CJ25" i="23" l="1"/>
  <c r="AL13" i="1"/>
  <c r="AN13" i="1"/>
  <c r="AL14" i="1"/>
  <c r="AN14" i="1"/>
  <c r="AL15" i="1"/>
  <c r="AN15" i="1"/>
  <c r="AL16" i="1"/>
  <c r="AN16" i="1"/>
  <c r="AL27" i="1"/>
  <c r="AL28" i="1"/>
  <c r="AL26" i="1"/>
  <c r="AP14" i="1" l="1"/>
  <c r="AP16" i="1"/>
  <c r="AP15" i="1"/>
  <c r="AS83" i="6"/>
  <c r="AS84" i="6"/>
  <c r="AS85" i="6"/>
  <c r="AS86" i="6"/>
  <c r="AS87" i="6"/>
  <c r="AS88" i="6"/>
  <c r="AS89" i="6"/>
  <c r="AQ85" i="6"/>
  <c r="AQ86" i="6"/>
  <c r="AQ87" i="6"/>
  <c r="AQ88" i="6"/>
  <c r="AU88" i="6" s="1"/>
  <c r="AN91" i="6"/>
  <c r="AQ84" i="6"/>
  <c r="AQ83" i="6"/>
  <c r="AS82" i="6"/>
  <c r="AQ82" i="6"/>
  <c r="AS81" i="6"/>
  <c r="AQ81" i="6"/>
  <c r="AS80" i="6"/>
  <c r="AQ80" i="6"/>
  <c r="AS79" i="6"/>
  <c r="AQ79" i="6"/>
  <c r="AU87" i="6" l="1"/>
  <c r="AU83" i="6"/>
  <c r="AU85" i="6"/>
  <c r="AU86" i="6"/>
  <c r="AU89" i="6"/>
  <c r="AU84" i="6"/>
  <c r="AU81" i="6"/>
  <c r="AQ91" i="6"/>
  <c r="AU79" i="6"/>
  <c r="AU80" i="6"/>
  <c r="AN93" i="6"/>
  <c r="AU82" i="6"/>
  <c r="AI19" i="1"/>
  <c r="AN17" i="1"/>
  <c r="AP17" i="1"/>
  <c r="AN12" i="1"/>
  <c r="AL12" i="1"/>
  <c r="AP13" i="1" s="1"/>
  <c r="AN11" i="1"/>
  <c r="AL11" i="1"/>
  <c r="AN10" i="1"/>
  <c r="AL10" i="1"/>
  <c r="AN9" i="1"/>
  <c r="AL9" i="1"/>
  <c r="AN8" i="1"/>
  <c r="AL8" i="1"/>
  <c r="AP8" i="1" s="1"/>
  <c r="AP12" i="1" l="1"/>
  <c r="AQ93" i="6"/>
  <c r="AP10" i="1"/>
  <c r="AP9" i="1"/>
  <c r="AI21" i="1"/>
  <c r="AP11" i="1"/>
  <c r="AL19" i="1"/>
  <c r="M106" i="16"/>
  <c r="AB106" i="16" s="1"/>
  <c r="K30" i="12"/>
  <c r="M65" i="3"/>
  <c r="D31" i="21" s="1"/>
  <c r="M30" i="3"/>
  <c r="AL21" i="1" l="1"/>
  <c r="AE59" i="27"/>
  <c r="AE58" i="27"/>
  <c r="AE57" i="27"/>
  <c r="AE56" i="27"/>
  <c r="AE55" i="27"/>
  <c r="AE54" i="27"/>
  <c r="AE53" i="27"/>
  <c r="AE52" i="27"/>
  <c r="AE51" i="27"/>
  <c r="AE50" i="27"/>
  <c r="AE49" i="27"/>
  <c r="AE48" i="27"/>
  <c r="AE47" i="27"/>
  <c r="AE46" i="27"/>
  <c r="AE45" i="27"/>
  <c r="AE44" i="27"/>
  <c r="AE43" i="27"/>
  <c r="AE42" i="27"/>
  <c r="AE41" i="27"/>
  <c r="AE40" i="27"/>
  <c r="AE39" i="27"/>
  <c r="AE38" i="27"/>
  <c r="AE37" i="27"/>
  <c r="AE36" i="27"/>
  <c r="AE35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6" i="27"/>
  <c r="AE72" i="27"/>
  <c r="G130" i="2" l="1"/>
  <c r="X186" i="9" l="1"/>
  <c r="F186" i="9" s="1"/>
  <c r="I186" i="9"/>
  <c r="N186" i="9"/>
  <c r="O186" i="9"/>
  <c r="H153" i="9"/>
  <c r="I153" i="9"/>
  <c r="K153" i="9"/>
  <c r="N153" i="9"/>
  <c r="O153" i="9"/>
  <c r="F153" i="9"/>
  <c r="F34" i="18"/>
  <c r="D34" i="18"/>
  <c r="K186" i="9" l="1"/>
  <c r="H186" i="9"/>
  <c r="X70" i="16"/>
  <c r="O105" i="16"/>
  <c r="O70" i="16"/>
  <c r="O35" i="16"/>
  <c r="N105" i="16"/>
  <c r="N70" i="16"/>
  <c r="N35" i="16"/>
  <c r="AA28" i="15"/>
  <c r="AA35" i="16" l="1"/>
  <c r="AB70" i="16"/>
  <c r="Q30" i="21"/>
  <c r="X29" i="15"/>
  <c r="AA29" i="15" s="1"/>
  <c r="AB29" i="14"/>
  <c r="X29" i="9" l="1"/>
  <c r="X153" i="9" s="1"/>
  <c r="Z124" i="9"/>
  <c r="AC29" i="9" l="1"/>
  <c r="AC99" i="8"/>
  <c r="AD99" i="8"/>
  <c r="AC64" i="8"/>
  <c r="AB118" i="8"/>
  <c r="AB119" i="8"/>
  <c r="X29" i="8" l="1"/>
  <c r="AD29" i="8" s="1"/>
  <c r="AB29" i="13" l="1"/>
  <c r="AB64" i="13"/>
  <c r="AI136" i="11" l="1"/>
  <c r="N135" i="11"/>
  <c r="N136" i="11" s="1"/>
  <c r="M135" i="11"/>
  <c r="J135" i="11"/>
  <c r="J136" i="11" s="1"/>
  <c r="H135" i="11"/>
  <c r="H136" i="11" s="1"/>
  <c r="G135" i="11"/>
  <c r="G136" i="11" s="1"/>
  <c r="E135" i="11"/>
  <c r="E136" i="11" s="1"/>
  <c r="N133" i="11"/>
  <c r="N134" i="11" s="1"/>
  <c r="M133" i="11"/>
  <c r="J133" i="11"/>
  <c r="I133" i="11"/>
  <c r="G133" i="11"/>
  <c r="E133" i="11"/>
  <c r="AF162" i="11"/>
  <c r="AM160" i="11"/>
  <c r="AK160" i="11"/>
  <c r="AM159" i="11"/>
  <c r="AK159" i="11"/>
  <c r="AM158" i="11"/>
  <c r="AK158" i="11"/>
  <c r="AK157" i="11"/>
  <c r="AK156" i="11"/>
  <c r="AI156" i="11"/>
  <c r="AM157" i="11" s="1"/>
  <c r="AK155" i="11"/>
  <c r="AI155" i="11"/>
  <c r="AK154" i="11"/>
  <c r="AI154" i="11"/>
  <c r="AK153" i="11"/>
  <c r="AI153" i="11"/>
  <c r="AK152" i="11"/>
  <c r="AI152" i="11"/>
  <c r="AK151" i="11"/>
  <c r="AI151" i="11"/>
  <c r="AI131" i="11"/>
  <c r="AK131" i="11"/>
  <c r="AI132" i="11"/>
  <c r="AK132" i="11"/>
  <c r="AI133" i="11"/>
  <c r="AK133" i="11"/>
  <c r="AI134" i="11"/>
  <c r="AM135" i="11" s="1"/>
  <c r="AK134" i="11"/>
  <c r="AI135" i="11"/>
  <c r="AK135" i="11"/>
  <c r="AF141" i="11"/>
  <c r="AM139" i="11"/>
  <c r="AK139" i="11"/>
  <c r="AM138" i="11"/>
  <c r="AK138" i="11"/>
  <c r="AM137" i="11"/>
  <c r="AK137" i="11"/>
  <c r="AK136" i="11"/>
  <c r="AK130" i="11"/>
  <c r="AI130" i="11"/>
  <c r="AM130" i="11" s="1"/>
  <c r="AI114" i="11"/>
  <c r="AM115" i="11" s="1"/>
  <c r="AI113" i="11"/>
  <c r="AM113" i="11" s="1"/>
  <c r="AK114" i="11"/>
  <c r="AK115" i="11"/>
  <c r="AK116" i="11"/>
  <c r="AM116" i="11"/>
  <c r="AK117" i="11"/>
  <c r="AM117" i="11"/>
  <c r="AF120" i="11"/>
  <c r="AM118" i="11"/>
  <c r="AK118" i="11"/>
  <c r="AK113" i="11"/>
  <c r="AA99" i="11"/>
  <c r="AB99" i="11" s="1"/>
  <c r="AM153" i="11" l="1"/>
  <c r="AM156" i="11"/>
  <c r="AI120" i="11"/>
  <c r="AM131" i="11"/>
  <c r="AI162" i="11"/>
  <c r="AM134" i="11"/>
  <c r="AM132" i="11"/>
  <c r="AM114" i="11"/>
  <c r="AI122" i="11" s="1"/>
  <c r="AM133" i="11"/>
  <c r="AI141" i="11"/>
  <c r="AM155" i="11"/>
  <c r="AM154" i="11"/>
  <c r="AF164" i="11"/>
  <c r="AM152" i="11"/>
  <c r="AM151" i="11"/>
  <c r="AF143" i="11"/>
  <c r="AM136" i="11"/>
  <c r="AF122" i="11"/>
  <c r="AB97" i="9"/>
  <c r="AB98" i="9"/>
  <c r="AB99" i="9"/>
  <c r="AD99" i="9"/>
  <c r="AD64" i="9"/>
  <c r="AD119" i="9"/>
  <c r="AI143" i="11" l="1"/>
  <c r="AI164" i="11"/>
  <c r="AC99" i="10"/>
  <c r="AC64" i="10" l="1"/>
  <c r="AC135" i="10"/>
  <c r="AE40" i="12" l="1"/>
  <c r="AE45" i="12"/>
  <c r="AE48" i="12"/>
  <c r="AE47" i="12"/>
  <c r="AE46" i="12"/>
  <c r="AE44" i="12"/>
  <c r="AE43" i="12"/>
  <c r="AE42" i="12"/>
  <c r="AE41" i="12"/>
  <c r="AB63" i="12"/>
  <c r="AA98" i="12"/>
  <c r="AB98" i="12"/>
  <c r="X29" i="17" l="1"/>
  <c r="AA64" i="15" l="1"/>
  <c r="AB64" i="15"/>
  <c r="Z64" i="15"/>
  <c r="AB51" i="26" l="1"/>
  <c r="AB32" i="26"/>
  <c r="AA99" i="14"/>
  <c r="AB99" i="14"/>
  <c r="AB64" i="12"/>
  <c r="AB29" i="6" l="1"/>
  <c r="AC29" i="6" s="1"/>
  <c r="AB64" i="6"/>
  <c r="AC64" i="6" s="1"/>
  <c r="AE44" i="23" l="1"/>
  <c r="AF44" i="23"/>
  <c r="AA29" i="2"/>
  <c r="AB29" i="2" s="1"/>
  <c r="Z34" i="2"/>
  <c r="AA100" i="2"/>
  <c r="AB100" i="2" s="1"/>
  <c r="AB64" i="2"/>
  <c r="AA29" i="1"/>
  <c r="AB29" i="1" s="1"/>
  <c r="AA99" i="1"/>
  <c r="AB99" i="1" s="1"/>
  <c r="AA64" i="1"/>
  <c r="AB64" i="1" s="1"/>
  <c r="M69" i="11" l="1"/>
  <c r="AC29" i="10"/>
  <c r="X33" i="18"/>
  <c r="AB99" i="6"/>
  <c r="AC99" i="6" s="1"/>
  <c r="Z104" i="6"/>
  <c r="AB99" i="4"/>
  <c r="AC99" i="4" s="1"/>
  <c r="AB64" i="4"/>
  <c r="AC64" i="4" s="1"/>
  <c r="AC99" i="7"/>
  <c r="AC64" i="7"/>
  <c r="AD35" i="2"/>
  <c r="AM14" i="2" l="1"/>
  <c r="AO14" i="2"/>
  <c r="AM15" i="2"/>
  <c r="AQ15" i="2" s="1"/>
  <c r="AO15" i="2"/>
  <c r="AJ20" i="2"/>
  <c r="AO18" i="2"/>
  <c r="AO17" i="2"/>
  <c r="AM17" i="2"/>
  <c r="AQ18" i="2" s="1"/>
  <c r="AO16" i="2"/>
  <c r="AM16" i="2"/>
  <c r="AO13" i="2"/>
  <c r="AM13" i="2"/>
  <c r="AQ14" i="2" s="1"/>
  <c r="AO12" i="2"/>
  <c r="AM12" i="2"/>
  <c r="AO11" i="2"/>
  <c r="AM11" i="2"/>
  <c r="AO10" i="2"/>
  <c r="AM10" i="2"/>
  <c r="AO9" i="2"/>
  <c r="AM9" i="2"/>
  <c r="AQ9" i="2" s="1"/>
  <c r="AQ13" i="2" l="1"/>
  <c r="AJ22" i="2"/>
  <c r="AQ12" i="2"/>
  <c r="AQ16" i="2"/>
  <c r="AQ10" i="2"/>
  <c r="AQ17" i="2"/>
  <c r="AQ11" i="2"/>
  <c r="AM20" i="2"/>
  <c r="AC26" i="7"/>
  <c r="AC27" i="7"/>
  <c r="AC28" i="7"/>
  <c r="AC29" i="7"/>
  <c r="AM22" i="2" l="1"/>
  <c r="AB39" i="18"/>
  <c r="I48" i="19" l="1"/>
  <c r="L99" i="17"/>
  <c r="M29" i="17"/>
  <c r="M105" i="16"/>
  <c r="AB105" i="16" s="1"/>
  <c r="O64" i="3"/>
  <c r="BU186" i="23" l="1"/>
  <c r="BU180" i="23"/>
  <c r="BZ178" i="23"/>
  <c r="BZ177" i="23"/>
  <c r="BX177" i="23"/>
  <c r="CB178" i="23" s="1"/>
  <c r="BZ176" i="23"/>
  <c r="BX176" i="23"/>
  <c r="CB176" i="23" s="1"/>
  <c r="BZ175" i="23"/>
  <c r="BX175" i="23"/>
  <c r="BZ174" i="23"/>
  <c r="BX174" i="23"/>
  <c r="BZ173" i="23"/>
  <c r="BX173" i="23"/>
  <c r="BZ172" i="23"/>
  <c r="BX172" i="23"/>
  <c r="CB172" i="23" s="1"/>
  <c r="BZ171" i="23"/>
  <c r="BX171" i="23"/>
  <c r="BZ170" i="23"/>
  <c r="BX170" i="23"/>
  <c r="BZ169" i="23"/>
  <c r="BX169" i="23"/>
  <c r="BZ168" i="23"/>
  <c r="BX168" i="23"/>
  <c r="BX186" i="23" s="1"/>
  <c r="BZ167" i="23"/>
  <c r="BX167" i="23"/>
  <c r="BZ166" i="23"/>
  <c r="BX166" i="23"/>
  <c r="CB166" i="23" s="1"/>
  <c r="CB177" i="23" l="1"/>
  <c r="BU184" i="23"/>
  <c r="CB175" i="23"/>
  <c r="CB174" i="23"/>
  <c r="CB173" i="23"/>
  <c r="CB171" i="23"/>
  <c r="CB170" i="23"/>
  <c r="CB169" i="23"/>
  <c r="BX182" i="23" s="1"/>
  <c r="CB168" i="23"/>
  <c r="CB167" i="23"/>
  <c r="BX180" i="23"/>
  <c r="BU182" i="23"/>
  <c r="AB98" i="6"/>
  <c r="AC98" i="6" s="1"/>
  <c r="K29" i="5" l="1"/>
  <c r="K64" i="5"/>
  <c r="K29" i="17" l="1"/>
  <c r="AB29" i="17" s="1"/>
  <c r="K64" i="17"/>
  <c r="AC64" i="17" s="1"/>
  <c r="K99" i="17"/>
  <c r="AB99" i="17" s="1"/>
  <c r="I119" i="3" l="1"/>
  <c r="I99" i="3"/>
  <c r="I64" i="3"/>
  <c r="I29" i="3"/>
  <c r="AB29" i="3" s="1"/>
  <c r="D30" i="21" l="1"/>
  <c r="AB64" i="3"/>
  <c r="AA99" i="3"/>
  <c r="AB99" i="3"/>
  <c r="AC134" i="10"/>
  <c r="H130" i="2" l="1"/>
  <c r="I104" i="6" l="1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F104" i="6"/>
  <c r="G104" i="6"/>
  <c r="H104" i="6"/>
  <c r="F130" i="2" l="1"/>
  <c r="AE5" i="27" l="1"/>
  <c r="AE6" i="27"/>
  <c r="AE7" i="27"/>
  <c r="AE8" i="27"/>
  <c r="AE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4" i="27"/>
  <c r="AG11" i="27"/>
  <c r="AO10" i="30" l="1"/>
  <c r="AO15" i="30"/>
  <c r="AO9" i="30"/>
  <c r="AL24" i="30"/>
  <c r="AS17" i="30"/>
  <c r="AQ17" i="30"/>
  <c r="AS16" i="30"/>
  <c r="AQ16" i="30"/>
  <c r="AQ15" i="30"/>
  <c r="AQ14" i="30"/>
  <c r="AQ13" i="30"/>
  <c r="AQ12" i="30"/>
  <c r="AQ11" i="30"/>
  <c r="AQ10" i="30"/>
  <c r="AQ9" i="30"/>
  <c r="X28" i="9"/>
  <c r="X152" i="9" s="1"/>
  <c r="X28" i="10"/>
  <c r="AS9" i="30" l="1"/>
  <c r="AS10" i="30"/>
  <c r="AL26" i="30"/>
  <c r="AA98" i="1"/>
  <c r="AB98" i="1" s="1"/>
  <c r="X12" i="8" l="1"/>
  <c r="AB84" i="3" l="1"/>
  <c r="AA62" i="15" l="1"/>
  <c r="AB62" i="15"/>
  <c r="AA63" i="15"/>
  <c r="AB63" i="15"/>
  <c r="X34" i="16"/>
  <c r="AA34" i="16"/>
  <c r="X104" i="16"/>
  <c r="AB69" i="16"/>
  <c r="AB50" i="26"/>
  <c r="AB31" i="26" l="1"/>
  <c r="AB28" i="14" l="1"/>
  <c r="AA98" i="14"/>
  <c r="AB98" i="14"/>
  <c r="AB63" i="14"/>
  <c r="AA98" i="13"/>
  <c r="AB98" i="13"/>
  <c r="AB96" i="13"/>
  <c r="AB97" i="13"/>
  <c r="AB62" i="13"/>
  <c r="AB63" i="13"/>
  <c r="AA96" i="11" l="1"/>
  <c r="AB96" i="11" s="1"/>
  <c r="AA62" i="11" l="1"/>
  <c r="AB62" i="11" s="1"/>
  <c r="AA63" i="11"/>
  <c r="AB63" i="11" s="1"/>
  <c r="AA98" i="11"/>
  <c r="AB98" i="11" s="1"/>
  <c r="AD98" i="9" l="1"/>
  <c r="AD63" i="9"/>
  <c r="AD118" i="9" l="1"/>
  <c r="AB98" i="10"/>
  <c r="AC98" i="10"/>
  <c r="AC63" i="10"/>
  <c r="Z41" i="18" l="1"/>
  <c r="AB137" i="18" l="1"/>
  <c r="AB101" i="18"/>
  <c r="AB102" i="18"/>
  <c r="AB67" i="18"/>
  <c r="AC98" i="8" l="1"/>
  <c r="AD98" i="8"/>
  <c r="AC63" i="8"/>
  <c r="AA121" i="6" l="1"/>
  <c r="X127" i="6"/>
  <c r="AB63" i="6"/>
  <c r="AC63" i="6" s="1"/>
  <c r="AB97" i="4"/>
  <c r="AC97" i="4" s="1"/>
  <c r="AB98" i="4"/>
  <c r="AC98" i="4" s="1"/>
  <c r="AB96" i="4"/>
  <c r="AC96" i="4" s="1"/>
  <c r="AB41" i="4"/>
  <c r="AC41" i="4" s="1"/>
  <c r="AB42" i="4"/>
  <c r="AC42" i="4" s="1"/>
  <c r="AB43" i="4"/>
  <c r="AC43" i="4" s="1"/>
  <c r="AB44" i="4"/>
  <c r="AC44" i="4" s="1"/>
  <c r="AB45" i="4"/>
  <c r="AC45" i="4" s="1"/>
  <c r="AB46" i="4"/>
  <c r="AC46" i="4" s="1"/>
  <c r="AB47" i="4"/>
  <c r="AC47" i="4" s="1"/>
  <c r="AB48" i="4"/>
  <c r="AC48" i="4" s="1"/>
  <c r="AB49" i="4"/>
  <c r="AC49" i="4" s="1"/>
  <c r="AB50" i="4"/>
  <c r="AC50" i="4" s="1"/>
  <c r="AB51" i="4"/>
  <c r="AC51" i="4" s="1"/>
  <c r="AB52" i="4"/>
  <c r="AC52" i="4" s="1"/>
  <c r="AB53" i="4"/>
  <c r="AC53" i="4" s="1"/>
  <c r="AB54" i="4"/>
  <c r="AC54" i="4" s="1"/>
  <c r="AB55" i="4"/>
  <c r="AC55" i="4" s="1"/>
  <c r="AB56" i="4"/>
  <c r="AC56" i="4" s="1"/>
  <c r="AB58" i="4"/>
  <c r="AC58" i="4" s="1"/>
  <c r="AB59" i="4"/>
  <c r="AC59" i="4" s="1"/>
  <c r="AB61" i="4"/>
  <c r="AC61" i="4" s="1"/>
  <c r="AB62" i="4"/>
  <c r="AC62" i="4" s="1"/>
  <c r="AB63" i="4"/>
  <c r="AC63" i="4" s="1"/>
  <c r="AB40" i="4"/>
  <c r="AC40" i="4" s="1"/>
  <c r="AA62" i="5" l="1"/>
  <c r="O69" i="5" l="1"/>
  <c r="AD56" i="27"/>
  <c r="AD58" i="27"/>
  <c r="AD23" i="27"/>
  <c r="AC97" i="7"/>
  <c r="AC98" i="7"/>
  <c r="AC63" i="7"/>
  <c r="AC62" i="7"/>
  <c r="X98" i="3"/>
  <c r="X63" i="3"/>
  <c r="AB63" i="3" s="1"/>
  <c r="CX13" i="3"/>
  <c r="DA13" i="3" s="1"/>
  <c r="CX12" i="3"/>
  <c r="DA12" i="3" s="1"/>
  <c r="CX11" i="3"/>
  <c r="DA11" i="3" s="1"/>
  <c r="CX10" i="3"/>
  <c r="DA10" i="3" s="1"/>
  <c r="CX9" i="3"/>
  <c r="DA9" i="3" s="1"/>
  <c r="AB118" i="3"/>
  <c r="Z124" i="3"/>
  <c r="AA123" i="2" l="1"/>
  <c r="AB123" i="2" s="1"/>
  <c r="AA124" i="2"/>
  <c r="AB124" i="2" s="1"/>
  <c r="X28" i="17" l="1"/>
  <c r="X34" i="17" s="1"/>
  <c r="AB63" i="2"/>
  <c r="AA99" i="2"/>
  <c r="AB99" i="2" s="1"/>
  <c r="Z99" i="29" l="1"/>
  <c r="X99" i="29"/>
  <c r="V99" i="29"/>
  <c r="U99" i="29"/>
  <c r="T99" i="29"/>
  <c r="S99" i="29"/>
  <c r="R99" i="29"/>
  <c r="Q99" i="29"/>
  <c r="P99" i="29"/>
  <c r="O99" i="29"/>
  <c r="N99" i="29"/>
  <c r="M99" i="29"/>
  <c r="L99" i="29"/>
  <c r="K99" i="29"/>
  <c r="J99" i="29"/>
  <c r="I99" i="29"/>
  <c r="H99" i="29"/>
  <c r="G99" i="29"/>
  <c r="F99" i="29"/>
  <c r="AB87" i="29"/>
  <c r="AA87" i="29"/>
  <c r="AA86" i="29"/>
  <c r="AB85" i="29"/>
  <c r="AC85" i="29" s="1"/>
  <c r="AA85" i="29"/>
  <c r="AB84" i="29"/>
  <c r="AC84" i="29" s="1"/>
  <c r="AA84" i="29"/>
  <c r="AB83" i="29"/>
  <c r="AC83" i="29" s="1"/>
  <c r="AA83" i="29"/>
  <c r="AB82" i="29"/>
  <c r="AC82" i="29" s="1"/>
  <c r="AA82" i="29"/>
  <c r="AB81" i="29"/>
  <c r="AC81" i="29" s="1"/>
  <c r="AA81" i="29"/>
  <c r="AB80" i="29"/>
  <c r="AC80" i="29" s="1"/>
  <c r="AA80" i="29"/>
  <c r="AB79" i="29"/>
  <c r="AC79" i="29" s="1"/>
  <c r="AA79" i="29"/>
  <c r="AB78" i="29"/>
  <c r="AC78" i="29" s="1"/>
  <c r="AA78" i="29"/>
  <c r="AB77" i="29"/>
  <c r="AC77" i="29" s="1"/>
  <c r="AA77" i="29"/>
  <c r="AB76" i="29"/>
  <c r="AC76" i="29" s="1"/>
  <c r="AA76" i="29"/>
  <c r="AB75" i="29"/>
  <c r="AC75" i="29" s="1"/>
  <c r="AA75" i="29"/>
  <c r="AB74" i="29"/>
  <c r="AC74" i="29" s="1"/>
  <c r="AA74" i="29"/>
  <c r="AB73" i="29"/>
  <c r="AC73" i="29" s="1"/>
  <c r="AA73" i="29"/>
  <c r="AB72" i="29"/>
  <c r="AA72" i="29"/>
  <c r="AB71" i="29"/>
  <c r="AA71" i="29"/>
  <c r="Z65" i="29"/>
  <c r="X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AA54" i="29"/>
  <c r="AA53" i="29"/>
  <c r="AA52" i="29"/>
  <c r="AA51" i="29"/>
  <c r="AA50" i="29"/>
  <c r="AA49" i="29"/>
  <c r="AA48" i="29"/>
  <c r="AA47" i="29"/>
  <c r="AA46" i="29"/>
  <c r="AA45" i="29"/>
  <c r="AA44" i="29"/>
  <c r="AA43" i="29"/>
  <c r="AA42" i="29"/>
  <c r="AA41" i="29"/>
  <c r="AA40" i="29"/>
  <c r="AA39" i="29"/>
  <c r="AA38" i="29"/>
  <c r="Z32" i="29"/>
  <c r="X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AA21" i="29"/>
  <c r="AA20" i="29"/>
  <c r="AA19" i="29"/>
  <c r="AA18" i="29"/>
  <c r="AA17" i="29"/>
  <c r="AA16" i="29"/>
  <c r="AA15" i="29"/>
  <c r="AA14" i="29"/>
  <c r="AA13" i="29"/>
  <c r="AA12" i="29"/>
  <c r="AA11" i="29"/>
  <c r="AA10" i="29"/>
  <c r="AA9" i="29"/>
  <c r="AA8" i="29"/>
  <c r="AA7" i="29"/>
  <c r="AA6" i="29"/>
  <c r="AA5" i="29"/>
  <c r="AC87" i="29" l="1"/>
  <c r="AD87" i="29" s="1"/>
  <c r="AA63" i="1" l="1"/>
  <c r="AB63" i="1" s="1"/>
  <c r="AA62" i="1"/>
  <c r="AB62" i="1" s="1"/>
  <c r="X44" i="19" l="1"/>
  <c r="AB28" i="17" l="1"/>
  <c r="AB98" i="17"/>
  <c r="AC63" i="17" l="1"/>
  <c r="AB27" i="13" l="1"/>
  <c r="AB28" i="13"/>
  <c r="AB28" i="12"/>
  <c r="J63" i="5" l="1"/>
  <c r="X28" i="3"/>
  <c r="AC28" i="10"/>
  <c r="AC63" i="5" l="1"/>
  <c r="AA63" i="5"/>
  <c r="AD27" i="8"/>
  <c r="AD28" i="8"/>
  <c r="AB32" i="18"/>
  <c r="AC28" i="9"/>
  <c r="AB28" i="6" l="1"/>
  <c r="AC28" i="6" s="1"/>
  <c r="AB28" i="3" l="1"/>
  <c r="AA28" i="1" l="1"/>
  <c r="AB28" i="1" s="1"/>
  <c r="AE42" i="23"/>
  <c r="AE43" i="23"/>
  <c r="AF42" i="23"/>
  <c r="AF43" i="23"/>
  <c r="AA28" i="2"/>
  <c r="AB28" i="2" s="1"/>
  <c r="X150" i="9" l="1"/>
  <c r="X151" i="9"/>
  <c r="X185" i="9"/>
  <c r="G185" i="9" s="1"/>
  <c r="O152" i="9"/>
  <c r="F185" i="9" l="1"/>
  <c r="K185" i="9"/>
  <c r="I185" i="9"/>
  <c r="O185" i="9"/>
  <c r="H185" i="9"/>
  <c r="L98" i="3"/>
  <c r="AA98" i="3" l="1"/>
  <c r="AB98" i="3"/>
  <c r="L104" i="16"/>
  <c r="K104" i="16"/>
  <c r="AA104" i="16" l="1"/>
  <c r="AB104" i="16"/>
  <c r="K130" i="2"/>
  <c r="K152" i="9" l="1"/>
  <c r="I152" i="9"/>
  <c r="J98" i="5" l="1"/>
  <c r="J28" i="5"/>
  <c r="F152" i="9" l="1"/>
  <c r="G152" i="9"/>
  <c r="H152" i="9"/>
  <c r="I130" i="2" l="1"/>
  <c r="AB115" i="3" l="1"/>
  <c r="X117" i="3"/>
  <c r="AB117" i="3" s="1"/>
  <c r="B8165" i="22" l="1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AD72" i="8" l="1"/>
  <c r="AA120" i="6"/>
  <c r="AD22" i="27" l="1"/>
  <c r="AC62" i="8" l="1"/>
  <c r="AA97" i="1" l="1"/>
  <c r="AB97" i="1" s="1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7" i="3"/>
  <c r="AA75" i="3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75" i="8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7" i="16"/>
  <c r="AA99" i="16"/>
  <c r="AA101" i="16"/>
  <c r="AA102" i="16"/>
  <c r="AA81" i="16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75" i="9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75" i="10"/>
  <c r="AA97" i="14"/>
  <c r="AA96" i="14"/>
  <c r="AA95" i="14"/>
  <c r="AA94" i="14"/>
  <c r="AA93" i="14"/>
  <c r="AA92" i="14"/>
  <c r="AA91" i="14"/>
  <c r="AA90" i="14"/>
  <c r="AA89" i="14"/>
  <c r="AA88" i="14"/>
  <c r="AA87" i="14"/>
  <c r="AA86" i="14"/>
  <c r="AA85" i="14"/>
  <c r="AA84" i="14"/>
  <c r="AA83" i="14"/>
  <c r="AA82" i="14"/>
  <c r="AA81" i="14"/>
  <c r="AA80" i="14"/>
  <c r="AA79" i="14"/>
  <c r="AA78" i="14"/>
  <c r="AA77" i="14"/>
  <c r="AA76" i="14"/>
  <c r="AA75" i="14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96" i="13"/>
  <c r="AA97" i="13"/>
  <c r="AA75" i="13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75" i="12"/>
  <c r="BQ82" i="23" l="1"/>
  <c r="BQ83" i="23"/>
  <c r="BQ84" i="23"/>
  <c r="BQ85" i="23"/>
  <c r="BQ86" i="23"/>
  <c r="BQ87" i="23"/>
  <c r="BQ88" i="23"/>
  <c r="BQ89" i="23"/>
  <c r="BQ90" i="23"/>
  <c r="BQ91" i="23"/>
  <c r="BQ92" i="23"/>
  <c r="BQ93" i="23"/>
  <c r="BQ94" i="23"/>
  <c r="AA97" i="5" l="1"/>
  <c r="AC97" i="5"/>
  <c r="AC62" i="5"/>
  <c r="AB27" i="17" l="1"/>
  <c r="AA27" i="1" l="1"/>
  <c r="AB27" i="1" s="1"/>
  <c r="X33" i="16" l="1"/>
  <c r="AB49" i="26"/>
  <c r="AB30" i="26"/>
  <c r="AB27" i="12" l="1"/>
  <c r="AS96" i="8" l="1"/>
  <c r="AZ94" i="8"/>
  <c r="AX94" i="8"/>
  <c r="AX93" i="8"/>
  <c r="AX92" i="8"/>
  <c r="AV92" i="8"/>
  <c r="AX91" i="8"/>
  <c r="AV91" i="8"/>
  <c r="AX90" i="8"/>
  <c r="AV90" i="8"/>
  <c r="AX89" i="8"/>
  <c r="AV89" i="8"/>
  <c r="AX88" i="8"/>
  <c r="AV88" i="8"/>
  <c r="AX87" i="8"/>
  <c r="AV87" i="8"/>
  <c r="AX86" i="8"/>
  <c r="AV86" i="8"/>
  <c r="AX85" i="8"/>
  <c r="AV85" i="8"/>
  <c r="AX84" i="8"/>
  <c r="AV84" i="8"/>
  <c r="AX83" i="8"/>
  <c r="AV83" i="8"/>
  <c r="AZ83" i="8" s="1"/>
  <c r="AX82" i="8"/>
  <c r="AV82" i="8"/>
  <c r="AX81" i="8"/>
  <c r="AV81" i="8"/>
  <c r="AX80" i="8"/>
  <c r="AV80" i="8"/>
  <c r="AZ80" i="8" s="1"/>
  <c r="AK81" i="8"/>
  <c r="AK82" i="8"/>
  <c r="AO83" i="8" s="1"/>
  <c r="AK83" i="8"/>
  <c r="AK84" i="8"/>
  <c r="AO84" i="8" s="1"/>
  <c r="AK85" i="8"/>
  <c r="AK86" i="8"/>
  <c r="AK87" i="8"/>
  <c r="AK88" i="8"/>
  <c r="AK89" i="8"/>
  <c r="AK90" i="8"/>
  <c r="AO91" i="8" s="1"/>
  <c r="AK91" i="8"/>
  <c r="AK92" i="8"/>
  <c r="AO92" i="8" s="1"/>
  <c r="AK80" i="8"/>
  <c r="AH96" i="8"/>
  <c r="AM94" i="8"/>
  <c r="AM93" i="8"/>
  <c r="AM92" i="8"/>
  <c r="AM91" i="8"/>
  <c r="AM90" i="8"/>
  <c r="AM89" i="8"/>
  <c r="AM88" i="8"/>
  <c r="AM87" i="8"/>
  <c r="AM86" i="8"/>
  <c r="AM85" i="8"/>
  <c r="AM84" i="8"/>
  <c r="AM83" i="8"/>
  <c r="AM82" i="8"/>
  <c r="AM81" i="8"/>
  <c r="AM80" i="8"/>
  <c r="AZ87" i="8" l="1"/>
  <c r="AZ81" i="8"/>
  <c r="AO88" i="8"/>
  <c r="AZ85" i="8"/>
  <c r="AO87" i="8"/>
  <c r="AO93" i="8"/>
  <c r="AO82" i="8"/>
  <c r="AO85" i="8"/>
  <c r="AZ88" i="8"/>
  <c r="AZ91" i="8"/>
  <c r="AZ89" i="8"/>
  <c r="AZ84" i="8"/>
  <c r="AZ92" i="8"/>
  <c r="AO90" i="8"/>
  <c r="AO89" i="8"/>
  <c r="AS98" i="8"/>
  <c r="AZ82" i="8"/>
  <c r="AZ90" i="8"/>
  <c r="AZ93" i="8"/>
  <c r="AV96" i="8"/>
  <c r="AZ86" i="8"/>
  <c r="AO86" i="8"/>
  <c r="AO94" i="8"/>
  <c r="AK96" i="8"/>
  <c r="AO80" i="8"/>
  <c r="AO81" i="8"/>
  <c r="AH98" i="8"/>
  <c r="AV98" i="8" l="1"/>
  <c r="AK98" i="8"/>
  <c r="AC97" i="8" l="1"/>
  <c r="AB97" i="17" l="1"/>
  <c r="AC62" i="17"/>
  <c r="X68" i="16"/>
  <c r="AB68" i="16" s="1"/>
  <c r="AB67" i="16"/>
  <c r="X103" i="16"/>
  <c r="AB97" i="14"/>
  <c r="AB62" i="14"/>
  <c r="AB97" i="12" l="1"/>
  <c r="AB62" i="12"/>
  <c r="X69" i="12"/>
  <c r="AA26" i="2" l="1"/>
  <c r="AB26" i="2" s="1"/>
  <c r="AA27" i="2"/>
  <c r="AB27" i="2" s="1"/>
  <c r="AA98" i="2"/>
  <c r="AB98" i="2" s="1"/>
  <c r="AB62" i="2"/>
  <c r="AC27" i="5" l="1"/>
  <c r="CX56" i="3" l="1"/>
  <c r="CX55" i="3"/>
  <c r="DA55" i="3" s="1"/>
  <c r="CX54" i="3"/>
  <c r="CX53" i="3"/>
  <c r="CX52" i="3"/>
  <c r="DA52" i="3" s="1"/>
  <c r="DC57" i="3"/>
  <c r="DA56" i="3"/>
  <c r="DE57" i="3" s="1"/>
  <c r="DC52" i="3"/>
  <c r="DC51" i="3"/>
  <c r="DA51" i="3"/>
  <c r="DA35" i="3"/>
  <c r="DA36" i="3"/>
  <c r="DA37" i="3"/>
  <c r="DA38" i="3"/>
  <c r="DE38" i="3" s="1"/>
  <c r="DA39" i="3"/>
  <c r="DE40" i="3" s="1"/>
  <c r="DA34" i="3"/>
  <c r="CX42" i="3"/>
  <c r="DC40" i="3"/>
  <c r="DC39" i="3"/>
  <c r="DC38" i="3"/>
  <c r="DC37" i="3"/>
  <c r="DC36" i="3"/>
  <c r="DC35" i="3"/>
  <c r="DC34" i="3"/>
  <c r="AB97" i="3"/>
  <c r="AB62" i="3"/>
  <c r="AB27" i="6"/>
  <c r="AC27" i="6" s="1"/>
  <c r="AB97" i="6"/>
  <c r="AC97" i="6" s="1"/>
  <c r="AB62" i="6"/>
  <c r="AC62" i="6" s="1"/>
  <c r="CX59" i="3" l="1"/>
  <c r="DE36" i="3"/>
  <c r="DC56" i="3"/>
  <c r="DC55" i="3"/>
  <c r="DA42" i="3"/>
  <c r="DE39" i="3"/>
  <c r="DA54" i="3"/>
  <c r="DE55" i="3" s="1"/>
  <c r="DE34" i="3"/>
  <c r="DC54" i="3"/>
  <c r="DC53" i="3"/>
  <c r="DE37" i="3"/>
  <c r="DA53" i="3"/>
  <c r="DE53" i="3" s="1"/>
  <c r="DE56" i="3"/>
  <c r="DE51" i="3"/>
  <c r="DE52" i="3"/>
  <c r="DE35" i="3"/>
  <c r="CX44" i="3"/>
  <c r="AB27" i="14"/>
  <c r="AA33" i="16"/>
  <c r="AA32" i="16"/>
  <c r="CX61" i="3" l="1"/>
  <c r="DE54" i="3"/>
  <c r="DA61" i="3" s="1"/>
  <c r="DA44" i="3"/>
  <c r="DA59" i="3"/>
  <c r="AA97" i="11"/>
  <c r="AB97" i="11" s="1"/>
  <c r="AB117" i="8" l="1"/>
  <c r="AD117" i="9" l="1"/>
  <c r="AC26" i="9"/>
  <c r="AC27" i="9"/>
  <c r="AD97" i="9"/>
  <c r="AD62" i="9"/>
  <c r="AC27" i="10" l="1"/>
  <c r="AC97" i="10"/>
  <c r="AC62" i="10"/>
  <c r="AC133" i="10"/>
  <c r="AB136" i="18" l="1"/>
  <c r="AB115" i="18"/>
  <c r="AB116" i="18"/>
  <c r="AB117" i="18"/>
  <c r="AB118" i="18"/>
  <c r="AB119" i="18"/>
  <c r="AB120" i="18"/>
  <c r="AB121" i="18"/>
  <c r="AB122" i="18"/>
  <c r="AB134" i="18"/>
  <c r="AB135" i="18"/>
  <c r="AB114" i="18"/>
  <c r="AB31" i="18"/>
  <c r="AA26" i="15" l="1"/>
  <c r="AA27" i="15"/>
  <c r="AC61" i="17" l="1"/>
  <c r="X163" i="9" l="1"/>
  <c r="X164" i="9"/>
  <c r="M164" i="9" s="1"/>
  <c r="X165" i="9"/>
  <c r="N165" i="9" s="1"/>
  <c r="X166" i="9"/>
  <c r="G166" i="9" s="1"/>
  <c r="X167" i="9"/>
  <c r="P167" i="9" s="1"/>
  <c r="X168" i="9"/>
  <c r="E168" i="9" s="1"/>
  <c r="X169" i="9"/>
  <c r="N169" i="9" s="1"/>
  <c r="X170" i="9"/>
  <c r="M170" i="9" s="1"/>
  <c r="X171" i="9"/>
  <c r="H171" i="9" s="1"/>
  <c r="X172" i="9"/>
  <c r="M172" i="9" s="1"/>
  <c r="X173" i="9"/>
  <c r="H173" i="9" s="1"/>
  <c r="X174" i="9"/>
  <c r="H174" i="9" s="1"/>
  <c r="X175" i="9"/>
  <c r="I175" i="9" s="1"/>
  <c r="X176" i="9"/>
  <c r="P176" i="9" s="1"/>
  <c r="X177" i="9"/>
  <c r="J177" i="9" s="1"/>
  <c r="X178" i="9"/>
  <c r="T178" i="9" s="1"/>
  <c r="X179" i="9"/>
  <c r="J179" i="9" s="1"/>
  <c r="X180" i="9"/>
  <c r="M180" i="9" s="1"/>
  <c r="X181" i="9"/>
  <c r="I181" i="9" s="1"/>
  <c r="X182" i="9"/>
  <c r="N182" i="9" s="1"/>
  <c r="X183" i="9"/>
  <c r="L183" i="9" s="1"/>
  <c r="X184" i="9"/>
  <c r="G184" i="9" s="1"/>
  <c r="X162" i="9"/>
  <c r="N162" i="9" s="1"/>
  <c r="H164" i="9" l="1"/>
  <c r="J165" i="9"/>
  <c r="K173" i="9"/>
  <c r="F184" i="9"/>
  <c r="Q172" i="9"/>
  <c r="H177" i="9"/>
  <c r="I162" i="9"/>
  <c r="M181" i="9"/>
  <c r="K169" i="9"/>
  <c r="K174" i="9"/>
  <c r="J162" i="9"/>
  <c r="I164" i="9"/>
  <c r="K165" i="9"/>
  <c r="O182" i="9"/>
  <c r="H180" i="9"/>
  <c r="N178" i="9"/>
  <c r="G176" i="9"/>
  <c r="S173" i="9"/>
  <c r="H172" i="9"/>
  <c r="E170" i="9"/>
  <c r="E190" i="9" s="1"/>
  <c r="Q169" i="9"/>
  <c r="H178" i="9"/>
  <c r="J184" i="9"/>
  <c r="H184" i="9"/>
  <c r="L162" i="9"/>
  <c r="O164" i="9"/>
  <c r="P165" i="9"/>
  <c r="K184" i="9"/>
  <c r="F181" i="9"/>
  <c r="I180" i="9"/>
  <c r="P177" i="9"/>
  <c r="L176" i="9"/>
  <c r="Q173" i="9"/>
  <c r="J172" i="9"/>
  <c r="G169" i="9"/>
  <c r="M168" i="9"/>
  <c r="J182" i="9"/>
  <c r="X190" i="9"/>
  <c r="Q164" i="9"/>
  <c r="M166" i="9"/>
  <c r="M184" i="9"/>
  <c r="K181" i="9"/>
  <c r="O180" i="9"/>
  <c r="M177" i="9"/>
  <c r="M176" i="9"/>
  <c r="L173" i="9"/>
  <c r="N172" i="9"/>
  <c r="I170" i="9"/>
  <c r="J168" i="9"/>
  <c r="O163" i="9"/>
  <c r="H183" i="9"/>
  <c r="O183" i="9"/>
  <c r="F179" i="9"/>
  <c r="Q175" i="9"/>
  <c r="J175" i="9"/>
  <c r="F163" i="9"/>
  <c r="T166" i="9"/>
  <c r="T190" i="9" s="1"/>
  <c r="J166" i="9"/>
  <c r="Q183" i="9"/>
  <c r="K182" i="9"/>
  <c r="O179" i="9"/>
  <c r="J178" i="9"/>
  <c r="O178" i="9"/>
  <c r="L175" i="9"/>
  <c r="M174" i="9"/>
  <c r="L171" i="9"/>
  <c r="Q170" i="9"/>
  <c r="K167" i="9"/>
  <c r="H163" i="9"/>
  <c r="M163" i="9"/>
  <c r="D164" i="9"/>
  <c r="D190" i="9" s="1"/>
  <c r="L164" i="9"/>
  <c r="S164" i="9"/>
  <c r="M165" i="9"/>
  <c r="Q166" i="9"/>
  <c r="K166" i="9"/>
  <c r="N184" i="9"/>
  <c r="J183" i="9"/>
  <c r="F182" i="9"/>
  <c r="L182" i="9"/>
  <c r="H181" i="9"/>
  <c r="P181" i="9"/>
  <c r="K180" i="9"/>
  <c r="M179" i="9"/>
  <c r="H179" i="9"/>
  <c r="K178" i="9"/>
  <c r="Q178" i="9"/>
  <c r="N177" i="9"/>
  <c r="I176" i="9"/>
  <c r="N176" i="9"/>
  <c r="M175" i="9"/>
  <c r="F174" i="9"/>
  <c r="Q174" i="9"/>
  <c r="N173" i="9"/>
  <c r="I173" i="9"/>
  <c r="K172" i="9"/>
  <c r="S172" i="9"/>
  <c r="J171" i="9"/>
  <c r="G170" i="9"/>
  <c r="K170" i="9"/>
  <c r="N168" i="9"/>
  <c r="G168" i="9"/>
  <c r="N167" i="9"/>
  <c r="J163" i="9"/>
  <c r="N171" i="9"/>
  <c r="H167" i="9"/>
  <c r="K163" i="9"/>
  <c r="Q163" i="9"/>
  <c r="I183" i="9"/>
  <c r="G179" i="9"/>
  <c r="F175" i="9"/>
  <c r="I163" i="9"/>
  <c r="N163" i="9"/>
  <c r="F164" i="9"/>
  <c r="C165" i="9"/>
  <c r="C190" i="9" s="1"/>
  <c r="O166" i="9"/>
  <c r="G183" i="9"/>
  <c r="G182" i="9"/>
  <c r="F180" i="9"/>
  <c r="G178" i="9"/>
  <c r="L178" i="9"/>
  <c r="J176" i="9"/>
  <c r="U173" i="9"/>
  <c r="U190" i="9" s="1"/>
  <c r="M173" i="9"/>
  <c r="Q171" i="9"/>
  <c r="I169" i="9"/>
  <c r="P190" i="9"/>
  <c r="BU151" i="23"/>
  <c r="BZ149" i="23"/>
  <c r="BZ148" i="23"/>
  <c r="BX148" i="23"/>
  <c r="BZ147" i="23"/>
  <c r="BX147" i="23"/>
  <c r="BZ146" i="23"/>
  <c r="BX146" i="23"/>
  <c r="BZ145" i="23"/>
  <c r="BX145" i="23"/>
  <c r="BZ144" i="23"/>
  <c r="BX144" i="23"/>
  <c r="BZ143" i="23"/>
  <c r="BX143" i="23"/>
  <c r="BX142" i="23"/>
  <c r="BZ141" i="23"/>
  <c r="BZ142" i="23"/>
  <c r="BZ140" i="23"/>
  <c r="BX140" i="23"/>
  <c r="BZ139" i="23"/>
  <c r="BX139" i="23"/>
  <c r="BZ138" i="23"/>
  <c r="BX138" i="23"/>
  <c r="BZ137" i="23"/>
  <c r="BX137" i="23"/>
  <c r="CB137" i="23" s="1"/>
  <c r="CB146" i="23" l="1"/>
  <c r="N190" i="9"/>
  <c r="H190" i="9"/>
  <c r="CB147" i="23"/>
  <c r="L190" i="9"/>
  <c r="K190" i="9"/>
  <c r="M190" i="9"/>
  <c r="Q190" i="9"/>
  <c r="I190" i="9"/>
  <c r="G190" i="9"/>
  <c r="J190" i="9"/>
  <c r="O190" i="9"/>
  <c r="F190" i="9"/>
  <c r="S190" i="9"/>
  <c r="CB148" i="23"/>
  <c r="CB138" i="23"/>
  <c r="CB143" i="23"/>
  <c r="BU153" i="23"/>
  <c r="CB139" i="23"/>
  <c r="CB144" i="23"/>
  <c r="BU155" i="23"/>
  <c r="CB149" i="23"/>
  <c r="CB140" i="23"/>
  <c r="CB145" i="23"/>
  <c r="BX141" i="23"/>
  <c r="J129" i="9"/>
  <c r="L129" i="9"/>
  <c r="N129" i="9"/>
  <c r="Q130" i="9"/>
  <c r="O130" i="9"/>
  <c r="N130" i="9"/>
  <c r="M130" i="9"/>
  <c r="K130" i="9"/>
  <c r="J130" i="9"/>
  <c r="I130" i="9"/>
  <c r="H130" i="9"/>
  <c r="F130" i="9"/>
  <c r="D131" i="9"/>
  <c r="F131" i="9"/>
  <c r="H131" i="9"/>
  <c r="I131" i="9"/>
  <c r="L131" i="9"/>
  <c r="M131" i="9"/>
  <c r="O131" i="9"/>
  <c r="Q131" i="9"/>
  <c r="S131" i="9"/>
  <c r="P132" i="9"/>
  <c r="N132" i="9"/>
  <c r="M132" i="9"/>
  <c r="K132" i="9"/>
  <c r="J132" i="9"/>
  <c r="C132" i="9"/>
  <c r="G133" i="9"/>
  <c r="J133" i="9"/>
  <c r="K133" i="9"/>
  <c r="M133" i="9"/>
  <c r="O133" i="9"/>
  <c r="Q133" i="9"/>
  <c r="T133" i="9"/>
  <c r="P134" i="9"/>
  <c r="N134" i="9"/>
  <c r="K134" i="9"/>
  <c r="H134" i="9"/>
  <c r="E135" i="9"/>
  <c r="G135" i="9"/>
  <c r="J135" i="9"/>
  <c r="M135" i="9"/>
  <c r="N135" i="9"/>
  <c r="Q136" i="9"/>
  <c r="N136" i="9"/>
  <c r="K136" i="9"/>
  <c r="I136" i="9"/>
  <c r="G136" i="9"/>
  <c r="E137" i="9"/>
  <c r="G137" i="9"/>
  <c r="I137" i="9"/>
  <c r="K137" i="9"/>
  <c r="M137" i="9"/>
  <c r="Q137" i="9"/>
  <c r="Q138" i="9"/>
  <c r="N138" i="9"/>
  <c r="L138" i="9"/>
  <c r="J138" i="9"/>
  <c r="H138" i="9"/>
  <c r="H139" i="9"/>
  <c r="J139" i="9"/>
  <c r="K139" i="9"/>
  <c r="M139" i="9"/>
  <c r="N139" i="9"/>
  <c r="Q139" i="9"/>
  <c r="S139" i="9"/>
  <c r="U140" i="9"/>
  <c r="S140" i="9"/>
  <c r="Q140" i="9"/>
  <c r="N140" i="9"/>
  <c r="M140" i="9"/>
  <c r="L140" i="9"/>
  <c r="K140" i="9"/>
  <c r="I140" i="9"/>
  <c r="H140" i="9"/>
  <c r="F141" i="9"/>
  <c r="H141" i="9"/>
  <c r="K141" i="9"/>
  <c r="M141" i="9"/>
  <c r="Q141" i="9"/>
  <c r="Q142" i="9"/>
  <c r="M142" i="9"/>
  <c r="L142" i="9"/>
  <c r="J142" i="9"/>
  <c r="I142" i="9"/>
  <c r="F142" i="9"/>
  <c r="G143" i="9"/>
  <c r="I143" i="9"/>
  <c r="J143" i="9"/>
  <c r="L143" i="9"/>
  <c r="M143" i="9"/>
  <c r="N143" i="9"/>
  <c r="P143" i="9"/>
  <c r="P144" i="9"/>
  <c r="N144" i="9"/>
  <c r="M144" i="9"/>
  <c r="J144" i="9"/>
  <c r="H144" i="9"/>
  <c r="G145" i="9"/>
  <c r="H145" i="9"/>
  <c r="J145" i="9"/>
  <c r="K145" i="9"/>
  <c r="L145" i="9"/>
  <c r="N145" i="9"/>
  <c r="O145" i="9"/>
  <c r="Q145" i="9"/>
  <c r="T145" i="9"/>
  <c r="O146" i="9"/>
  <c r="M146" i="9"/>
  <c r="J146" i="9"/>
  <c r="H146" i="9"/>
  <c r="G146" i="9"/>
  <c r="F146" i="9"/>
  <c r="F147" i="9"/>
  <c r="H147" i="9"/>
  <c r="I147" i="9"/>
  <c r="K147" i="9"/>
  <c r="M147" i="9"/>
  <c r="O147" i="9"/>
  <c r="P148" i="9"/>
  <c r="M148" i="9"/>
  <c r="K148" i="9"/>
  <c r="I148" i="9"/>
  <c r="H148" i="9"/>
  <c r="F149" i="9"/>
  <c r="G149" i="9"/>
  <c r="J149" i="9"/>
  <c r="K149" i="9"/>
  <c r="L149" i="9"/>
  <c r="N149" i="9"/>
  <c r="O149" i="9"/>
  <c r="Q150" i="9"/>
  <c r="O150" i="9"/>
  <c r="L150" i="9"/>
  <c r="J150" i="9"/>
  <c r="I150" i="9"/>
  <c r="H150" i="9"/>
  <c r="G150" i="9"/>
  <c r="N151" i="9"/>
  <c r="M151" i="9"/>
  <c r="K151" i="9"/>
  <c r="J151" i="9"/>
  <c r="H151" i="9"/>
  <c r="G151" i="9"/>
  <c r="F151" i="9"/>
  <c r="I129" i="9"/>
  <c r="CB141" i="23" l="1"/>
  <c r="CB142" i="23"/>
  <c r="BX151" i="23"/>
  <c r="D157" i="9"/>
  <c r="E157" i="9"/>
  <c r="F157" i="9"/>
  <c r="H157" i="9"/>
  <c r="J157" i="9"/>
  <c r="K157" i="9"/>
  <c r="L157" i="9"/>
  <c r="N157" i="9"/>
  <c r="P157" i="9"/>
  <c r="S157" i="9"/>
  <c r="U157" i="9"/>
  <c r="C157" i="9"/>
  <c r="G157" i="9"/>
  <c r="I157" i="9"/>
  <c r="M157" i="9"/>
  <c r="Q157" i="9"/>
  <c r="T157" i="9"/>
  <c r="BX153" i="23" l="1"/>
  <c r="O157" i="9"/>
  <c r="M27" i="3"/>
  <c r="K103" i="16" l="1"/>
  <c r="M130" i="2"/>
  <c r="AA103" i="16" l="1"/>
  <c r="AB103" i="16"/>
  <c r="AD98" i="2"/>
  <c r="AD97" i="2"/>
  <c r="J130" i="2"/>
  <c r="AB218" i="27" l="1"/>
  <c r="AB219" i="27"/>
  <c r="AB220" i="27"/>
  <c r="W220" i="27" s="1"/>
  <c r="AB221" i="27"/>
  <c r="AB222" i="27"/>
  <c r="W222" i="27" s="1"/>
  <c r="AB223" i="27"/>
  <c r="X223" i="27" s="1"/>
  <c r="AB224" i="27"/>
  <c r="G224" i="27" s="1"/>
  <c r="AB225" i="27"/>
  <c r="H225" i="27" s="1"/>
  <c r="AB226" i="27"/>
  <c r="U226" i="27" s="1"/>
  <c r="AB229" i="27"/>
  <c r="Q229" i="27" s="1"/>
  <c r="AB230" i="27"/>
  <c r="O230" i="27" s="1"/>
  <c r="AB231" i="27"/>
  <c r="L231" i="27" s="1"/>
  <c r="AB232" i="27"/>
  <c r="P232" i="27" s="1"/>
  <c r="AB233" i="27"/>
  <c r="K233" i="27" s="1"/>
  <c r="AB234" i="27"/>
  <c r="R234" i="27" s="1"/>
  <c r="AB235" i="27"/>
  <c r="AB236" i="27"/>
  <c r="V236" i="27" s="1"/>
  <c r="AB238" i="27"/>
  <c r="X238" i="27" s="1"/>
  <c r="AB239" i="27"/>
  <c r="L239" i="27" s="1"/>
  <c r="AB217" i="27"/>
  <c r="M217" i="27" s="1"/>
  <c r="AB182" i="27"/>
  <c r="AB183" i="27"/>
  <c r="AB184" i="27"/>
  <c r="P184" i="27" s="1"/>
  <c r="AB185" i="27"/>
  <c r="L185" i="27" s="1"/>
  <c r="AB186" i="27"/>
  <c r="D186" i="27" s="1"/>
  <c r="AB187" i="27"/>
  <c r="T187" i="27" s="1"/>
  <c r="AB188" i="27"/>
  <c r="P188" i="27" s="1"/>
  <c r="AB189" i="27"/>
  <c r="L189" i="27" s="1"/>
  <c r="AB190" i="27"/>
  <c r="L190" i="27" s="1"/>
  <c r="AB191" i="27"/>
  <c r="AB192" i="27"/>
  <c r="I192" i="27" s="1"/>
  <c r="AB193" i="27"/>
  <c r="I193" i="27" s="1"/>
  <c r="AB194" i="27"/>
  <c r="K194" i="27" s="1"/>
  <c r="AB195" i="27"/>
  <c r="L195" i="27" s="1"/>
  <c r="AB196" i="27"/>
  <c r="J196" i="27" s="1"/>
  <c r="AB197" i="27"/>
  <c r="I197" i="27" s="1"/>
  <c r="AB198" i="27"/>
  <c r="J198" i="27" s="1"/>
  <c r="AB199" i="27"/>
  <c r="Q199" i="27" s="1"/>
  <c r="AB200" i="27"/>
  <c r="V200" i="27" s="1"/>
  <c r="AB201" i="27"/>
  <c r="U201" i="27" s="1"/>
  <c r="AB202" i="27"/>
  <c r="J202" i="27" s="1"/>
  <c r="AB203" i="27"/>
  <c r="L203" i="27" s="1"/>
  <c r="AB181" i="27"/>
  <c r="J181" i="27" s="1"/>
  <c r="AB152" i="27"/>
  <c r="D152" i="27" s="1"/>
  <c r="AB153" i="27"/>
  <c r="B153" i="27" s="1"/>
  <c r="B175" i="27" s="1"/>
  <c r="AB154" i="27"/>
  <c r="AB155" i="27"/>
  <c r="L155" i="27" s="1"/>
  <c r="AB156" i="27"/>
  <c r="L156" i="27" s="1"/>
  <c r="AB157" i="27"/>
  <c r="AB158" i="27"/>
  <c r="AB159" i="27"/>
  <c r="R159" i="27" s="1"/>
  <c r="AB160" i="27"/>
  <c r="K160" i="27" s="1"/>
  <c r="AB161" i="27"/>
  <c r="I161" i="27" s="1"/>
  <c r="AB162" i="27"/>
  <c r="J162" i="27" s="1"/>
  <c r="AB163" i="27"/>
  <c r="I163" i="27" s="1"/>
  <c r="AB164" i="27"/>
  <c r="R164" i="27" s="1"/>
  <c r="AB165" i="27"/>
  <c r="AB166" i="27"/>
  <c r="AB167" i="27"/>
  <c r="AB168" i="27"/>
  <c r="V168" i="27" s="1"/>
  <c r="AB169" i="27"/>
  <c r="L169" i="27" s="1"/>
  <c r="AB151" i="27"/>
  <c r="P151" i="27" s="1"/>
  <c r="H189" i="27" l="1"/>
  <c r="J197" i="27"/>
  <c r="M181" i="27"/>
  <c r="J155" i="27"/>
  <c r="X245" i="27"/>
  <c r="D229" i="27"/>
  <c r="I152" i="27"/>
  <c r="Q155" i="27"/>
  <c r="J163" i="27"/>
  <c r="N185" i="27"/>
  <c r="D193" i="27"/>
  <c r="Q197" i="27"/>
  <c r="Q181" i="27"/>
  <c r="T229" i="27"/>
  <c r="I160" i="27"/>
  <c r="R152" i="27"/>
  <c r="I156" i="27"/>
  <c r="W185" i="27"/>
  <c r="R193" i="27"/>
  <c r="H181" i="27"/>
  <c r="F223" i="27"/>
  <c r="J233" i="27"/>
  <c r="T153" i="27"/>
  <c r="Q159" i="27"/>
  <c r="F187" i="27"/>
  <c r="L181" i="27"/>
  <c r="V223" i="27"/>
  <c r="G238" i="27"/>
  <c r="I222" i="27"/>
  <c r="P224" i="27"/>
  <c r="G232" i="27"/>
  <c r="P220" i="27"/>
  <c r="M222" i="27"/>
  <c r="M223" i="27"/>
  <c r="I226" i="27"/>
  <c r="G229" i="27"/>
  <c r="J232" i="27"/>
  <c r="Q233" i="27"/>
  <c r="D222" i="27"/>
  <c r="O222" i="27"/>
  <c r="L226" i="27"/>
  <c r="L232" i="27"/>
  <c r="G222" i="27"/>
  <c r="R222" i="27"/>
  <c r="Q226" i="27"/>
  <c r="S232" i="27"/>
  <c r="S245" i="27" s="1"/>
  <c r="J238" i="27"/>
  <c r="M186" i="27"/>
  <c r="E188" i="27"/>
  <c r="O194" i="27"/>
  <c r="G196" i="27"/>
  <c r="N200" i="27"/>
  <c r="N209" i="27" s="1"/>
  <c r="R184" i="27"/>
  <c r="V192" i="27"/>
  <c r="P185" i="27"/>
  <c r="R186" i="27"/>
  <c r="G188" i="27"/>
  <c r="Q189" i="27"/>
  <c r="R194" i="27"/>
  <c r="L196" i="27"/>
  <c r="L209" i="27" s="1"/>
  <c r="K197" i="27"/>
  <c r="J201" i="27"/>
  <c r="W184" i="27"/>
  <c r="F209" i="27"/>
  <c r="M188" i="27"/>
  <c r="F190" i="27"/>
  <c r="P196" i="27"/>
  <c r="G202" i="27"/>
  <c r="G192" i="27"/>
  <c r="U188" i="27"/>
  <c r="U190" i="27"/>
  <c r="E194" i="27"/>
  <c r="E196" i="27"/>
  <c r="S196" i="27"/>
  <c r="S209" i="27" s="1"/>
  <c r="V202" i="27"/>
  <c r="M152" i="27"/>
  <c r="W152" i="27"/>
  <c r="U156" i="27"/>
  <c r="E160" i="27"/>
  <c r="R160" i="27"/>
  <c r="J164" i="27"/>
  <c r="G152" i="27"/>
  <c r="O152" i="27"/>
  <c r="I153" i="27"/>
  <c r="F156" i="27"/>
  <c r="D159" i="27"/>
  <c r="G160" i="27"/>
  <c r="J168" i="27"/>
  <c r="J152" i="27"/>
  <c r="T152" i="27"/>
  <c r="Q156" i="27"/>
  <c r="O160" i="27"/>
  <c r="K163" i="27"/>
  <c r="K175" i="27" s="1"/>
  <c r="X168" i="27"/>
  <c r="P154" i="27"/>
  <c r="E154" i="27"/>
  <c r="L151" i="27"/>
  <c r="W151" i="27"/>
  <c r="M154" i="27"/>
  <c r="E162" i="27"/>
  <c r="S162" i="27"/>
  <c r="S175" i="27" s="1"/>
  <c r="W221" i="27"/>
  <c r="N221" i="27"/>
  <c r="N245" i="27" s="1"/>
  <c r="H217" i="27"/>
  <c r="H245" i="27" s="1"/>
  <c r="L221" i="27"/>
  <c r="Q225" i="27"/>
  <c r="P231" i="27"/>
  <c r="R161" i="27"/>
  <c r="G161" i="27"/>
  <c r="N151" i="27"/>
  <c r="N175" i="27" s="1"/>
  <c r="M153" i="27"/>
  <c r="V153" i="27"/>
  <c r="V175" i="27" s="1"/>
  <c r="L161" i="27"/>
  <c r="G162" i="27"/>
  <c r="R195" i="27"/>
  <c r="G195" i="27"/>
  <c r="T191" i="27"/>
  <c r="H191" i="27"/>
  <c r="X187" i="27"/>
  <c r="O187" i="27"/>
  <c r="D187" i="27"/>
  <c r="I187" i="27"/>
  <c r="V187" i="27"/>
  <c r="P195" i="27"/>
  <c r="R230" i="27"/>
  <c r="G230" i="27"/>
  <c r="J217" i="27"/>
  <c r="R220" i="27"/>
  <c r="P221" i="27"/>
  <c r="U224" i="27"/>
  <c r="E230" i="27"/>
  <c r="E231" i="27"/>
  <c r="R231" i="27"/>
  <c r="R151" i="27"/>
  <c r="D153" i="27"/>
  <c r="O153" i="27"/>
  <c r="X153" i="27"/>
  <c r="U154" i="27"/>
  <c r="P161" i="27"/>
  <c r="L162" i="27"/>
  <c r="O186" i="27"/>
  <c r="G186" i="27"/>
  <c r="I186" i="27"/>
  <c r="W186" i="27"/>
  <c r="M187" i="27"/>
  <c r="I190" i="27"/>
  <c r="G194" i="27"/>
  <c r="E195" i="27"/>
  <c r="W195" i="27"/>
  <c r="X202" i="27"/>
  <c r="J191" i="27"/>
  <c r="T223" i="27"/>
  <c r="I223" i="27"/>
  <c r="L217" i="27"/>
  <c r="G221" i="27"/>
  <c r="R221" i="27"/>
  <c r="B223" i="27"/>
  <c r="B245" i="27" s="1"/>
  <c r="O223" i="27"/>
  <c r="E224" i="27"/>
  <c r="J225" i="27"/>
  <c r="I229" i="27"/>
  <c r="I230" i="27"/>
  <c r="G231" i="27"/>
  <c r="W231" i="27"/>
  <c r="J234" i="27"/>
  <c r="V238" i="27"/>
  <c r="T159" i="27"/>
  <c r="G159" i="27"/>
  <c r="J151" i="27"/>
  <c r="U151" i="27"/>
  <c r="F153" i="27"/>
  <c r="R153" i="27"/>
  <c r="G154" i="27"/>
  <c r="H155" i="27"/>
  <c r="H175" i="27" s="1"/>
  <c r="I159" i="27"/>
  <c r="E161" i="27"/>
  <c r="W161" i="27"/>
  <c r="P162" i="27"/>
  <c r="Q163" i="27"/>
  <c r="T193" i="27"/>
  <c r="G193" i="27"/>
  <c r="R185" i="27"/>
  <c r="J185" i="27"/>
  <c r="G185" i="27"/>
  <c r="U185" i="27"/>
  <c r="J186" i="27"/>
  <c r="B187" i="27"/>
  <c r="B209" i="27" s="1"/>
  <c r="R187" i="27"/>
  <c r="J189" i="27"/>
  <c r="Q190" i="27"/>
  <c r="Q193" i="27"/>
  <c r="I194" i="27"/>
  <c r="I195" i="27"/>
  <c r="R198" i="27"/>
  <c r="K191" i="27"/>
  <c r="Q217" i="27"/>
  <c r="J221" i="27"/>
  <c r="U221" i="27"/>
  <c r="D223" i="27"/>
  <c r="R223" i="27"/>
  <c r="M224" i="27"/>
  <c r="M245" i="27" s="1"/>
  <c r="L225" i="27"/>
  <c r="R229" i="27"/>
  <c r="K230" i="27"/>
  <c r="K245" i="27" s="1"/>
  <c r="I231" i="27"/>
  <c r="I233" i="27"/>
  <c r="J222" i="27"/>
  <c r="F226" i="27"/>
  <c r="F245" i="27" s="1"/>
  <c r="E232" i="27"/>
  <c r="G168" i="27"/>
  <c r="H239" i="27"/>
  <c r="H203" i="27"/>
  <c r="H169" i="27"/>
  <c r="H27" i="3"/>
  <c r="AB27" i="3" s="1"/>
  <c r="I40" i="19"/>
  <c r="K209" i="27" l="1"/>
  <c r="T245" i="27"/>
  <c r="P209" i="27"/>
  <c r="D245" i="27"/>
  <c r="V245" i="27"/>
  <c r="U209" i="27"/>
  <c r="D209" i="27"/>
  <c r="H209" i="27"/>
  <c r="W209" i="27"/>
  <c r="F175" i="27"/>
  <c r="T175" i="27"/>
  <c r="D175" i="27"/>
  <c r="U175" i="27"/>
  <c r="O175" i="27"/>
  <c r="Q175" i="27"/>
  <c r="R175" i="27"/>
  <c r="T209" i="27"/>
  <c r="W175" i="27"/>
  <c r="J209" i="27"/>
  <c r="V209" i="27"/>
  <c r="J175" i="27"/>
  <c r="Q245" i="27"/>
  <c r="W245" i="27"/>
  <c r="R245" i="27"/>
  <c r="O245" i="27"/>
  <c r="L245" i="27"/>
  <c r="P245" i="27"/>
  <c r="Q209" i="27"/>
  <c r="M209" i="27"/>
  <c r="O209" i="27"/>
  <c r="E209" i="27"/>
  <c r="R209" i="27"/>
  <c r="I175" i="27"/>
  <c r="P175" i="27"/>
  <c r="X175" i="27"/>
  <c r="M175" i="27"/>
  <c r="I245" i="27"/>
  <c r="J245" i="27"/>
  <c r="L175" i="27"/>
  <c r="G209" i="27"/>
  <c r="E175" i="27"/>
  <c r="U245" i="27"/>
  <c r="E245" i="27"/>
  <c r="G245" i="27"/>
  <c r="I209" i="27"/>
  <c r="X209" i="27"/>
  <c r="AB61" i="2" l="1"/>
  <c r="H75" i="16" l="1"/>
  <c r="AB3" i="6" l="1"/>
  <c r="AB2" i="6"/>
  <c r="AD48" i="27" l="1"/>
  <c r="AD49" i="27"/>
  <c r="AD50" i="27"/>
  <c r="AD85" i="27"/>
  <c r="AD86" i="27"/>
  <c r="AD92" i="27"/>
  <c r="AD91" i="27"/>
  <c r="AD90" i="27"/>
  <c r="AD89" i="27"/>
  <c r="AD88" i="27"/>
  <c r="AD87" i="27"/>
  <c r="AD84" i="27"/>
  <c r="AD83" i="27"/>
  <c r="AD82" i="27"/>
  <c r="AD81" i="27"/>
  <c r="AD80" i="27"/>
  <c r="AD79" i="27"/>
  <c r="AD78" i="27"/>
  <c r="AD77" i="27"/>
  <c r="AD76" i="27"/>
  <c r="AD39" i="27" l="1"/>
  <c r="AD40" i="27"/>
  <c r="AD41" i="27"/>
  <c r="AD42" i="27"/>
  <c r="AD43" i="27"/>
  <c r="AD44" i="27"/>
  <c r="AD45" i="27"/>
  <c r="AD46" i="27"/>
  <c r="AD47" i="27"/>
  <c r="AD51" i="27"/>
  <c r="AD52" i="27"/>
  <c r="AD53" i="27"/>
  <c r="AD54" i="27"/>
  <c r="AD55" i="27"/>
  <c r="AG34" i="10" l="1"/>
  <c r="AH34" i="10"/>
  <c r="AI34" i="10"/>
  <c r="AF34" i="10"/>
  <c r="AH34" i="9"/>
  <c r="AG34" i="9"/>
  <c r="AF34" i="9"/>
  <c r="AE34" i="9"/>
  <c r="AC61" i="8" l="1"/>
  <c r="AD26" i="8" l="1"/>
  <c r="AB61" i="15" l="1"/>
  <c r="AB48" i="26" l="1"/>
  <c r="AB61" i="12" l="1"/>
  <c r="AC96" i="8" l="1"/>
  <c r="AB116" i="8"/>
  <c r="X60" i="17" l="1"/>
  <c r="AK15" i="18" l="1"/>
  <c r="AM15" i="18"/>
  <c r="AK16" i="18"/>
  <c r="AM16" i="18"/>
  <c r="AK17" i="18"/>
  <c r="AM17" i="18"/>
  <c r="AK18" i="18"/>
  <c r="AM18" i="18"/>
  <c r="AK19" i="18"/>
  <c r="AM19" i="18"/>
  <c r="AK20" i="18"/>
  <c r="AM20" i="18"/>
  <c r="AH24" i="18"/>
  <c r="AM22" i="18"/>
  <c r="AM21" i="18"/>
  <c r="AK21" i="18"/>
  <c r="AO22" i="18" s="1"/>
  <c r="AM14" i="18"/>
  <c r="AK14" i="18"/>
  <c r="AO14" i="18" s="1"/>
  <c r="AO20" i="18" l="1"/>
  <c r="AO18" i="18"/>
  <c r="AO16" i="18"/>
  <c r="AH26" i="18"/>
  <c r="AO15" i="18"/>
  <c r="AO19" i="18"/>
  <c r="AO17" i="18"/>
  <c r="AH27" i="18"/>
  <c r="AO21" i="18"/>
  <c r="AK24" i="18"/>
  <c r="T61" i="3"/>
  <c r="T96" i="3"/>
  <c r="Q61" i="3"/>
  <c r="Q96" i="3"/>
  <c r="AK26" i="18" l="1"/>
  <c r="J49" i="28"/>
  <c r="N48" i="28"/>
  <c r="G47" i="28"/>
  <c r="R46" i="28"/>
  <c r="R69" i="28" s="1"/>
  <c r="K46" i="28"/>
  <c r="H46" i="28"/>
  <c r="G46" i="28"/>
  <c r="C46" i="28"/>
  <c r="Q45" i="28"/>
  <c r="Q69" i="28" s="1"/>
  <c r="N45" i="28"/>
  <c r="L45" i="28"/>
  <c r="L69" i="28" s="1"/>
  <c r="J45" i="28"/>
  <c r="H45" i="28"/>
  <c r="J44" i="28"/>
  <c r="B44" i="28"/>
  <c r="P43" i="28"/>
  <c r="P69" i="28" s="1"/>
  <c r="D104" i="28"/>
  <c r="E104" i="28"/>
  <c r="F104" i="28"/>
  <c r="G104" i="28"/>
  <c r="H104" i="28"/>
  <c r="O104" i="28"/>
  <c r="Q104" i="28"/>
  <c r="R104" i="28"/>
  <c r="T104" i="28"/>
  <c r="B104" i="28"/>
  <c r="C104" i="28"/>
  <c r="K90" i="28"/>
  <c r="AB90" i="28" s="1"/>
  <c r="K55" i="28"/>
  <c r="AB55" i="28" s="1"/>
  <c r="K86" i="28"/>
  <c r="AB86" i="28" s="1"/>
  <c r="M87" i="28"/>
  <c r="AB87" i="28" s="1"/>
  <c r="J84" i="28"/>
  <c r="J83" i="28"/>
  <c r="AB83" i="28" s="1"/>
  <c r="I82" i="28"/>
  <c r="I104" i="28" s="1"/>
  <c r="K81" i="28"/>
  <c r="AB81" i="28" s="1"/>
  <c r="N80" i="28"/>
  <c r="N104" i="28" s="1"/>
  <c r="L80" i="28"/>
  <c r="J80" i="28"/>
  <c r="M79" i="28"/>
  <c r="J79" i="28"/>
  <c r="D69" i="28"/>
  <c r="E69" i="28"/>
  <c r="F69" i="28"/>
  <c r="I69" i="28"/>
  <c r="M69" i="28"/>
  <c r="O69" i="28"/>
  <c r="S69" i="28"/>
  <c r="T69" i="28"/>
  <c r="U69" i="28"/>
  <c r="V69" i="28"/>
  <c r="C69" i="28"/>
  <c r="AB48" i="28"/>
  <c r="L23" i="28"/>
  <c r="AB23" i="28" s="1"/>
  <c r="L93" i="28"/>
  <c r="AB93" i="28" s="1"/>
  <c r="B52" i="28"/>
  <c r="K16" i="28"/>
  <c r="AB16" i="28" s="1"/>
  <c r="J14" i="28"/>
  <c r="AB14" i="28" s="1"/>
  <c r="J13" i="28"/>
  <c r="K11" i="28"/>
  <c r="K34" i="28" s="1"/>
  <c r="H11" i="28"/>
  <c r="H34" i="28" s="1"/>
  <c r="L10" i="28"/>
  <c r="L34" i="28" s="1"/>
  <c r="N34" i="28"/>
  <c r="F34" i="28"/>
  <c r="J9" i="28"/>
  <c r="M9" i="28"/>
  <c r="Z104" i="28"/>
  <c r="X104" i="28"/>
  <c r="AB96" i="28"/>
  <c r="AB95" i="28"/>
  <c r="AB94" i="28"/>
  <c r="AB92" i="28"/>
  <c r="AB91" i="28"/>
  <c r="AB89" i="28"/>
  <c r="AB88" i="28"/>
  <c r="AB85" i="28"/>
  <c r="AB84" i="28"/>
  <c r="AB82" i="28"/>
  <c r="AB78" i="28"/>
  <c r="AB77" i="28"/>
  <c r="AB76" i="28"/>
  <c r="AB75" i="28"/>
  <c r="Z69" i="28"/>
  <c r="X69" i="28"/>
  <c r="AB61" i="28"/>
  <c r="AB60" i="28"/>
  <c r="AB59" i="28"/>
  <c r="AB58" i="28"/>
  <c r="AB57" i="28"/>
  <c r="AB51" i="28"/>
  <c r="AB49" i="28"/>
  <c r="AB43" i="28"/>
  <c r="AB42" i="28"/>
  <c r="AB41" i="28"/>
  <c r="AB40" i="28"/>
  <c r="Z34" i="28"/>
  <c r="X34" i="28"/>
  <c r="T34" i="28"/>
  <c r="R34" i="28"/>
  <c r="Q34" i="28"/>
  <c r="P34" i="28"/>
  <c r="O34" i="28"/>
  <c r="M34" i="28"/>
  <c r="I34" i="28"/>
  <c r="G34" i="28"/>
  <c r="E34" i="28"/>
  <c r="D34" i="28"/>
  <c r="C34" i="28"/>
  <c r="AB26" i="28"/>
  <c r="AB25" i="28"/>
  <c r="AB24" i="28"/>
  <c r="AB22" i="28"/>
  <c r="AB20" i="28"/>
  <c r="AB19" i="28"/>
  <c r="AB18" i="28"/>
  <c r="AB17" i="28"/>
  <c r="AB13" i="28"/>
  <c r="AB12" i="28"/>
  <c r="AB8" i="28"/>
  <c r="AB7" i="28"/>
  <c r="AB6" i="28"/>
  <c r="AB5" i="28"/>
  <c r="AB9" i="28" l="1"/>
  <c r="H69" i="28"/>
  <c r="M104" i="28"/>
  <c r="AB11" i="28"/>
  <c r="B69" i="28"/>
  <c r="G69" i="28"/>
  <c r="L104" i="28"/>
  <c r="J104" i="28"/>
  <c r="K104" i="28"/>
  <c r="AB10" i="28"/>
  <c r="AB80" i="28"/>
  <c r="AB46" i="28"/>
  <c r="AB47" i="28"/>
  <c r="K69" i="28"/>
  <c r="J69" i="28"/>
  <c r="J34" i="28"/>
  <c r="AB45" i="28"/>
  <c r="N69" i="28"/>
  <c r="AB79" i="28"/>
  <c r="AB44" i="28"/>
  <c r="AZ47" i="2"/>
  <c r="AZ48" i="2"/>
  <c r="AZ49" i="2"/>
  <c r="AZ50" i="2"/>
  <c r="AZ51" i="2"/>
  <c r="AZ52" i="2"/>
  <c r="AX47" i="2"/>
  <c r="AX48" i="2"/>
  <c r="AX49" i="2"/>
  <c r="AX50" i="2"/>
  <c r="AU55" i="2"/>
  <c r="AZ53" i="2"/>
  <c r="AX52" i="2"/>
  <c r="BB53" i="2" s="1"/>
  <c r="AX51" i="2"/>
  <c r="AZ46" i="2"/>
  <c r="AX46" i="2"/>
  <c r="BB47" i="2" s="1"/>
  <c r="AZ45" i="2"/>
  <c r="AX45" i="2"/>
  <c r="BB52" i="2" l="1"/>
  <c r="BB51" i="2"/>
  <c r="BB50" i="2"/>
  <c r="BB49" i="2"/>
  <c r="BB48" i="2"/>
  <c r="AX55" i="2"/>
  <c r="AU57" i="2"/>
  <c r="BB46" i="2"/>
  <c r="BB45" i="2"/>
  <c r="AX57" i="2" l="1"/>
  <c r="AL80" i="19"/>
  <c r="AL81" i="19"/>
  <c r="AL82" i="19"/>
  <c r="AP83" i="19" s="1"/>
  <c r="AL79" i="19"/>
  <c r="AP79" i="19" s="1"/>
  <c r="AI89" i="19"/>
  <c r="AP87" i="19"/>
  <c r="AN87" i="19"/>
  <c r="AP86" i="19"/>
  <c r="AN86" i="19"/>
  <c r="AP85" i="19"/>
  <c r="AN85" i="19"/>
  <c r="AP84" i="19"/>
  <c r="AN84" i="19"/>
  <c r="AN83" i="19"/>
  <c r="AN82" i="19"/>
  <c r="AN81" i="19"/>
  <c r="AN80" i="19"/>
  <c r="AN79" i="19"/>
  <c r="AP80" i="19" l="1"/>
  <c r="AL89" i="19"/>
  <c r="AP81" i="19"/>
  <c r="AP82" i="19"/>
  <c r="AI91" i="19"/>
  <c r="Z113" i="2"/>
  <c r="Z130" i="2" s="1"/>
  <c r="AL91" i="19" l="1"/>
  <c r="BU112" i="23"/>
  <c r="AT53" i="1" l="1"/>
  <c r="AY51" i="1"/>
  <c r="AY50" i="1"/>
  <c r="AW50" i="1"/>
  <c r="BA51" i="1" s="1"/>
  <c r="AY49" i="1"/>
  <c r="AW49" i="1"/>
  <c r="AY48" i="1"/>
  <c r="AW48" i="1"/>
  <c r="AY47" i="1"/>
  <c r="AW47" i="1"/>
  <c r="AY46" i="1"/>
  <c r="AW46" i="1"/>
  <c r="AY45" i="1"/>
  <c r="AW45" i="1"/>
  <c r="AY44" i="1"/>
  <c r="AW44" i="1"/>
  <c r="AY43" i="1"/>
  <c r="AW43" i="1"/>
  <c r="AI53" i="1"/>
  <c r="AN51" i="1"/>
  <c r="AN50" i="1"/>
  <c r="AL50" i="1"/>
  <c r="AP51" i="1" s="1"/>
  <c r="AN49" i="1"/>
  <c r="AL49" i="1"/>
  <c r="AN48" i="1"/>
  <c r="AL48" i="1"/>
  <c r="AN47" i="1"/>
  <c r="AL47" i="1"/>
  <c r="AN46" i="1"/>
  <c r="AL46" i="1"/>
  <c r="AN45" i="1"/>
  <c r="AL45" i="1"/>
  <c r="AN44" i="1"/>
  <c r="AL44" i="1"/>
  <c r="AN43" i="1"/>
  <c r="AL43" i="1"/>
  <c r="AP43" i="1" s="1"/>
  <c r="AP49" i="1" l="1"/>
  <c r="BA45" i="1"/>
  <c r="BA46" i="1"/>
  <c r="AP44" i="1"/>
  <c r="BA44" i="1"/>
  <c r="AI55" i="1"/>
  <c r="BA49" i="1"/>
  <c r="BA48" i="1"/>
  <c r="AT55" i="1"/>
  <c r="BA43" i="1"/>
  <c r="BA47" i="1"/>
  <c r="BA50" i="1"/>
  <c r="AW53" i="1"/>
  <c r="AP47" i="1"/>
  <c r="AP48" i="1"/>
  <c r="AP45" i="1"/>
  <c r="AL53" i="1"/>
  <c r="AP46" i="1"/>
  <c r="AP50" i="1"/>
  <c r="AL55" i="1" l="1"/>
  <c r="AW55" i="1"/>
  <c r="AA61" i="11"/>
  <c r="AB61" i="11" s="1"/>
  <c r="AD96" i="9"/>
  <c r="AC26" i="10"/>
  <c r="AA26" i="1" l="1"/>
  <c r="AB26" i="1" s="1"/>
  <c r="AI119" i="1" l="1"/>
  <c r="AN117" i="1"/>
  <c r="AN116" i="1"/>
  <c r="AL116" i="1"/>
  <c r="AP117" i="1" s="1"/>
  <c r="AN115" i="1"/>
  <c r="AL115" i="1"/>
  <c r="AN114" i="1"/>
  <c r="AL114" i="1"/>
  <c r="AN113" i="1"/>
  <c r="AL113" i="1"/>
  <c r="AN112" i="1"/>
  <c r="AL112" i="1"/>
  <c r="AN111" i="1"/>
  <c r="AL111" i="1"/>
  <c r="AN110" i="1"/>
  <c r="AL110" i="1"/>
  <c r="AN109" i="1"/>
  <c r="AL109" i="1"/>
  <c r="AP109" i="1" s="1"/>
  <c r="AI89" i="1"/>
  <c r="AN87" i="1"/>
  <c r="AN86" i="1"/>
  <c r="AL86" i="1"/>
  <c r="AP87" i="1" s="1"/>
  <c r="AN85" i="1"/>
  <c r="AL85" i="1"/>
  <c r="AN84" i="1"/>
  <c r="AL84" i="1"/>
  <c r="AN83" i="1"/>
  <c r="AL83" i="1"/>
  <c r="AN82" i="1"/>
  <c r="AL82" i="1"/>
  <c r="AN81" i="1"/>
  <c r="AL81" i="1"/>
  <c r="AN80" i="1"/>
  <c r="AL80" i="1"/>
  <c r="AN79" i="1"/>
  <c r="AL79" i="1"/>
  <c r="AP79" i="1" s="1"/>
  <c r="AP114" i="1" l="1"/>
  <c r="AP110" i="1"/>
  <c r="AP113" i="1"/>
  <c r="AL119" i="1"/>
  <c r="AP112" i="1"/>
  <c r="AP115" i="1"/>
  <c r="AP111" i="1"/>
  <c r="AI121" i="1"/>
  <c r="AP116" i="1"/>
  <c r="AP80" i="1"/>
  <c r="AP83" i="1"/>
  <c r="AP84" i="1"/>
  <c r="AP81" i="1"/>
  <c r="AP85" i="1"/>
  <c r="AI91" i="1"/>
  <c r="AP82" i="1"/>
  <c r="AP86" i="1"/>
  <c r="AL89" i="1"/>
  <c r="AD4" i="27"/>
  <c r="AD16" i="27"/>
  <c r="AD17" i="27"/>
  <c r="AD18" i="27"/>
  <c r="AD19" i="27"/>
  <c r="AD20" i="27"/>
  <c r="AC26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75" i="5"/>
  <c r="AC61" i="5"/>
  <c r="Z34" i="6"/>
  <c r="AB26" i="6"/>
  <c r="AC26" i="6" s="1"/>
  <c r="AB96" i="6"/>
  <c r="AC96" i="6" s="1"/>
  <c r="AB55" i="6"/>
  <c r="AC55" i="6" s="1"/>
  <c r="AB56" i="6"/>
  <c r="AC56" i="6" s="1"/>
  <c r="AB57" i="6"/>
  <c r="AC57" i="6" s="1"/>
  <c r="AB58" i="6"/>
  <c r="AC58" i="6" s="1"/>
  <c r="AB59" i="6"/>
  <c r="AC59" i="6" s="1"/>
  <c r="AB60" i="6"/>
  <c r="AC60" i="6" s="1"/>
  <c r="AB61" i="6"/>
  <c r="AC61" i="6" s="1"/>
  <c r="AA115" i="6"/>
  <c r="AA116" i="6"/>
  <c r="AA117" i="6"/>
  <c r="AA118" i="6"/>
  <c r="AA119" i="6"/>
  <c r="AA114" i="6"/>
  <c r="AC61" i="7"/>
  <c r="AC96" i="7"/>
  <c r="Z104" i="3"/>
  <c r="X116" i="3"/>
  <c r="AB116" i="3" s="1"/>
  <c r="O96" i="3"/>
  <c r="AA96" i="3" s="1"/>
  <c r="O61" i="3"/>
  <c r="AB61" i="3" s="1"/>
  <c r="G26" i="3"/>
  <c r="J26" i="3"/>
  <c r="L26" i="3"/>
  <c r="O26" i="3"/>
  <c r="AB96" i="3" l="1"/>
  <c r="AL121" i="1"/>
  <c r="AL91" i="1"/>
  <c r="AB26" i="3"/>
  <c r="AD21" i="27" l="1"/>
  <c r="AD13" i="27"/>
  <c r="AD14" i="27"/>
  <c r="AD15" i="27"/>
  <c r="AD12" i="27"/>
  <c r="AC61" i="10" l="1"/>
  <c r="AC96" i="10"/>
  <c r="AC132" i="10"/>
  <c r="AD61" i="9" l="1"/>
  <c r="AB30" i="18" l="1"/>
  <c r="AB100" i="18"/>
  <c r="AB65" i="18"/>
  <c r="AB25" i="26"/>
  <c r="AB26" i="26"/>
  <c r="AB27" i="26"/>
  <c r="AB28" i="26"/>
  <c r="AB29" i="26"/>
  <c r="AB44" i="26" l="1"/>
  <c r="AB45" i="26"/>
  <c r="AB46" i="26"/>
  <c r="AB47" i="26"/>
  <c r="AB43" i="26"/>
  <c r="AB24" i="26"/>
  <c r="AB5" i="26"/>
  <c r="AB26" i="14"/>
  <c r="AB96" i="14"/>
  <c r="AB61" i="14"/>
  <c r="AB26" i="13"/>
  <c r="AB61" i="13"/>
  <c r="AB26" i="12"/>
  <c r="AB96" i="12"/>
  <c r="N153" i="19" l="1"/>
  <c r="AA61" i="1" l="1"/>
  <c r="AB61" i="1" s="1"/>
  <c r="AA97" i="2" l="1"/>
  <c r="AB97" i="2" s="1"/>
  <c r="AA122" i="2"/>
  <c r="AB122" i="2" s="1"/>
  <c r="Q41" i="23" l="1"/>
  <c r="AA96" i="1" l="1"/>
  <c r="AB96" i="1" s="1"/>
  <c r="AA96" i="5"/>
  <c r="AA61" i="5"/>
  <c r="AA26" i="5"/>
  <c r="F27" i="21" s="1"/>
  <c r="B27" i="21"/>
  <c r="C27" i="21"/>
  <c r="D27" i="21"/>
  <c r="E27" i="21"/>
  <c r="G27" i="21"/>
  <c r="H27" i="21"/>
  <c r="I27" i="21"/>
  <c r="J27" i="21"/>
  <c r="K27" i="21"/>
  <c r="L27" i="21"/>
  <c r="M27" i="21"/>
  <c r="N27" i="21"/>
  <c r="O27" i="21"/>
  <c r="P27" i="21"/>
  <c r="Q27" i="21"/>
  <c r="AK23" i="8"/>
  <c r="AE7" i="23" l="1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30" i="23"/>
  <c r="AE31" i="23"/>
  <c r="AE32" i="23"/>
  <c r="AE33" i="23"/>
  <c r="AE34" i="23"/>
  <c r="AE35" i="23"/>
  <c r="AE36" i="23"/>
  <c r="AE37" i="23"/>
  <c r="AE38" i="23"/>
  <c r="AE39" i="23"/>
  <c r="AE40" i="23"/>
  <c r="AE6" i="23"/>
  <c r="AA6" i="19" l="1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2" i="19"/>
  <c r="AA24" i="19"/>
  <c r="AA28" i="19"/>
  <c r="AA32" i="19"/>
  <c r="AA36" i="19"/>
  <c r="AA5" i="19"/>
  <c r="AA133" i="19"/>
  <c r="AA134" i="19"/>
  <c r="AA135" i="19"/>
  <c r="AA136" i="19"/>
  <c r="AA137" i="19"/>
  <c r="AA138" i="19"/>
  <c r="AA139" i="19"/>
  <c r="AA140" i="19"/>
  <c r="AA141" i="19"/>
  <c r="AA142" i="19"/>
  <c r="AA143" i="19"/>
  <c r="AA144" i="19"/>
  <c r="AA145" i="19"/>
  <c r="AA146" i="19"/>
  <c r="AA149" i="19"/>
  <c r="AA150" i="19"/>
  <c r="AA151" i="19"/>
  <c r="AA152" i="19"/>
  <c r="AA153" i="19"/>
  <c r="AA132" i="19"/>
  <c r="AA75" i="19"/>
  <c r="AA76" i="19"/>
  <c r="AA77" i="19"/>
  <c r="AA78" i="19"/>
  <c r="AA79" i="19"/>
  <c r="AA80" i="19"/>
  <c r="AA81" i="19"/>
  <c r="AA82" i="19"/>
  <c r="AA83" i="19"/>
  <c r="AA84" i="19"/>
  <c r="AA85" i="19"/>
  <c r="AA86" i="19"/>
  <c r="AA87" i="19"/>
  <c r="AA88" i="19"/>
  <c r="AA91" i="19"/>
  <c r="AA92" i="19"/>
  <c r="AA93" i="19"/>
  <c r="AA94" i="19"/>
  <c r="AA74" i="19"/>
  <c r="O41" i="23" l="1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40" i="15"/>
  <c r="K96" i="17"/>
  <c r="AB96" i="17" s="1"/>
  <c r="K26" i="17"/>
  <c r="BU122" i="23"/>
  <c r="BZ120" i="23"/>
  <c r="BZ119" i="23"/>
  <c r="BX119" i="23"/>
  <c r="CB120" i="23" s="1"/>
  <c r="BZ118" i="23"/>
  <c r="BX118" i="23"/>
  <c r="BZ117" i="23"/>
  <c r="BX117" i="23"/>
  <c r="BZ116" i="23"/>
  <c r="BX116" i="23"/>
  <c r="BX115" i="23"/>
  <c r="BZ115" i="23"/>
  <c r="BZ114" i="23"/>
  <c r="BX114" i="23"/>
  <c r="BX113" i="23"/>
  <c r="BZ113" i="23"/>
  <c r="BZ112" i="23"/>
  <c r="BX112" i="23"/>
  <c r="BZ111" i="23"/>
  <c r="BX111" i="23"/>
  <c r="BZ110" i="23"/>
  <c r="BX110" i="23"/>
  <c r="BZ109" i="23"/>
  <c r="BX109" i="23"/>
  <c r="BZ108" i="23"/>
  <c r="BX108" i="23"/>
  <c r="CB108" i="23" s="1"/>
  <c r="AK20" i="8"/>
  <c r="AK21" i="8"/>
  <c r="AK22" i="8"/>
  <c r="AK19" i="8"/>
  <c r="H26" i="17"/>
  <c r="AB26" i="17" s="1"/>
  <c r="F140" i="10"/>
  <c r="G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E140" i="10"/>
  <c r="Z140" i="10"/>
  <c r="D5" i="24"/>
  <c r="Z34" i="14"/>
  <c r="AT11" i="16"/>
  <c r="AT10" i="16"/>
  <c r="AX10" i="16" s="1"/>
  <c r="AS9" i="16"/>
  <c r="AT8" i="16"/>
  <c r="AX9" i="16" s="1"/>
  <c r="AT7" i="16"/>
  <c r="AT6" i="16"/>
  <c r="AS5" i="16"/>
  <c r="AV10" i="16"/>
  <c r="AV11" i="16"/>
  <c r="AV12" i="16"/>
  <c r="AV13" i="16"/>
  <c r="AQ15" i="16"/>
  <c r="AT12" i="16"/>
  <c r="AX13" i="16" s="1"/>
  <c r="AV9" i="16"/>
  <c r="AV8" i="16"/>
  <c r="AV7" i="16"/>
  <c r="AV6" i="16"/>
  <c r="AV5" i="16"/>
  <c r="AV4" i="16"/>
  <c r="AT4" i="16"/>
  <c r="AX4" i="16" s="1"/>
  <c r="AV25" i="15"/>
  <c r="AN25" i="15"/>
  <c r="AT24" i="15"/>
  <c r="AK25" i="15"/>
  <c r="AL25" i="15"/>
  <c r="AJ24" i="15"/>
  <c r="AK24" i="15"/>
  <c r="AL24" i="15"/>
  <c r="AM24" i="15"/>
  <c r="AN24" i="15"/>
  <c r="AI24" i="15"/>
  <c r="AI25" i="15"/>
  <c r="X149" i="9"/>
  <c r="AD112" i="9"/>
  <c r="AD113" i="9"/>
  <c r="AD114" i="9"/>
  <c r="AD115" i="9"/>
  <c r="AD111" i="9"/>
  <c r="F124" i="9"/>
  <c r="S124" i="9"/>
  <c r="Q124" i="9"/>
  <c r="P124" i="9"/>
  <c r="O124" i="9"/>
  <c r="N124" i="9"/>
  <c r="M124" i="9"/>
  <c r="L124" i="9"/>
  <c r="K124" i="9"/>
  <c r="J124" i="9"/>
  <c r="I124" i="9"/>
  <c r="H124" i="9"/>
  <c r="G12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C104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C69" i="9"/>
  <c r="D69" i="9"/>
  <c r="E69" i="9"/>
  <c r="F69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Q34" i="9"/>
  <c r="S34" i="9"/>
  <c r="T34" i="9"/>
  <c r="U34" i="9"/>
  <c r="P34" i="9"/>
  <c r="AB112" i="8"/>
  <c r="AB113" i="8"/>
  <c r="AB114" i="8"/>
  <c r="AB115" i="8"/>
  <c r="AB111" i="8"/>
  <c r="P124" i="8"/>
  <c r="O124" i="8"/>
  <c r="N124" i="8"/>
  <c r="M124" i="8"/>
  <c r="L124" i="8"/>
  <c r="K124" i="8"/>
  <c r="J124" i="8"/>
  <c r="I124" i="8"/>
  <c r="H124" i="8"/>
  <c r="G124" i="8"/>
  <c r="F124" i="8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F127" i="6"/>
  <c r="Z127" i="6"/>
  <c r="AB20" i="6"/>
  <c r="AC20" i="6" s="1"/>
  <c r="AB21" i="6"/>
  <c r="AC21" i="6" s="1"/>
  <c r="AB22" i="6"/>
  <c r="AC22" i="6" s="1"/>
  <c r="AB23" i="6"/>
  <c r="AC23" i="6" s="1"/>
  <c r="AB24" i="6"/>
  <c r="AC24" i="6" s="1"/>
  <c r="AB25" i="6"/>
  <c r="AC25" i="6" s="1"/>
  <c r="AB112" i="3"/>
  <c r="AB113" i="3"/>
  <c r="AB114" i="3"/>
  <c r="AB111" i="3"/>
  <c r="X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AA117" i="2"/>
  <c r="AB117" i="2" s="1"/>
  <c r="AA118" i="2"/>
  <c r="AB118" i="2" s="1"/>
  <c r="AA119" i="2"/>
  <c r="AB119" i="2" s="1"/>
  <c r="AA120" i="2"/>
  <c r="AB120" i="2" s="1"/>
  <c r="AA121" i="2"/>
  <c r="AB121" i="2" s="1"/>
  <c r="L130" i="2"/>
  <c r="X130" i="2"/>
  <c r="N130" i="2"/>
  <c r="O130" i="2"/>
  <c r="P130" i="2"/>
  <c r="Q130" i="2"/>
  <c r="C26" i="21"/>
  <c r="E26" i="21"/>
  <c r="H26" i="21"/>
  <c r="I26" i="21"/>
  <c r="J26" i="21"/>
  <c r="K26" i="21"/>
  <c r="L26" i="21"/>
  <c r="M26" i="21"/>
  <c r="N26" i="21"/>
  <c r="O26" i="21"/>
  <c r="P26" i="21"/>
  <c r="Q26" i="21"/>
  <c r="B26" i="21"/>
  <c r="AF70" i="16"/>
  <c r="AK67" i="16"/>
  <c r="AK66" i="16"/>
  <c r="AI66" i="16"/>
  <c r="AM67" i="16" s="1"/>
  <c r="AK65" i="16"/>
  <c r="AI65" i="16"/>
  <c r="AK64" i="16"/>
  <c r="AI64" i="16"/>
  <c r="AK63" i="16"/>
  <c r="AI63" i="16"/>
  <c r="AK62" i="16"/>
  <c r="AI62" i="16"/>
  <c r="AK61" i="16"/>
  <c r="AI61" i="16"/>
  <c r="AM61" i="16" s="1"/>
  <c r="AK60" i="16"/>
  <c r="AI60" i="16"/>
  <c r="AK59" i="16"/>
  <c r="AI59" i="16"/>
  <c r="AM59" i="16" s="1"/>
  <c r="AF53" i="16"/>
  <c r="AK51" i="16"/>
  <c r="AK50" i="16"/>
  <c r="AI50" i="16"/>
  <c r="AM50" i="16" s="1"/>
  <c r="AK49" i="16"/>
  <c r="AI49" i="16"/>
  <c r="AK48" i="16"/>
  <c r="AI48" i="16"/>
  <c r="AM49" i="16" s="1"/>
  <c r="AK47" i="16"/>
  <c r="AI47" i="16"/>
  <c r="AK46" i="16"/>
  <c r="AI46" i="16"/>
  <c r="AM46" i="16" s="1"/>
  <c r="AK45" i="16"/>
  <c r="AI45" i="16"/>
  <c r="AK44" i="16"/>
  <c r="AI44" i="16"/>
  <c r="AK43" i="16"/>
  <c r="AI43" i="16"/>
  <c r="AM43" i="16" s="1"/>
  <c r="AF30" i="16"/>
  <c r="AK28" i="16"/>
  <c r="AK27" i="16"/>
  <c r="AI27" i="16"/>
  <c r="AK26" i="16"/>
  <c r="AI26" i="16"/>
  <c r="AK25" i="16"/>
  <c r="AI25" i="16"/>
  <c r="AK24" i="16"/>
  <c r="AI24" i="16"/>
  <c r="AK23" i="16"/>
  <c r="AI23" i="16"/>
  <c r="AK22" i="16"/>
  <c r="AI22" i="16"/>
  <c r="AK21" i="16"/>
  <c r="AI21" i="16"/>
  <c r="AK20" i="16"/>
  <c r="AI20" i="16"/>
  <c r="AF14" i="16"/>
  <c r="AK12" i="16"/>
  <c r="AK11" i="16"/>
  <c r="AI11" i="16"/>
  <c r="AM12" i="16" s="1"/>
  <c r="AK10" i="16"/>
  <c r="AI10" i="16"/>
  <c r="AK9" i="16"/>
  <c r="AI9" i="16"/>
  <c r="AK8" i="16"/>
  <c r="AI8" i="16"/>
  <c r="AK7" i="16"/>
  <c r="AI7" i="16"/>
  <c r="AK6" i="16"/>
  <c r="AI6" i="16"/>
  <c r="AK5" i="16"/>
  <c r="AI5" i="16"/>
  <c r="AK4" i="16"/>
  <c r="AI4" i="16"/>
  <c r="C146" i="16"/>
  <c r="H144" i="16"/>
  <c r="H143" i="16"/>
  <c r="F143" i="16"/>
  <c r="J144" i="16" s="1"/>
  <c r="H142" i="16"/>
  <c r="F142" i="16"/>
  <c r="H141" i="16"/>
  <c r="F141" i="16"/>
  <c r="H140" i="16"/>
  <c r="F140" i="16"/>
  <c r="J141" i="16" s="1"/>
  <c r="H139" i="16"/>
  <c r="F139" i="16"/>
  <c r="H138" i="16"/>
  <c r="F138" i="16"/>
  <c r="H137" i="16"/>
  <c r="F137" i="16"/>
  <c r="H136" i="16"/>
  <c r="F136" i="16"/>
  <c r="J136" i="16" s="1"/>
  <c r="C127" i="16"/>
  <c r="H125" i="16"/>
  <c r="H124" i="16"/>
  <c r="F124" i="16"/>
  <c r="J125" i="16" s="1"/>
  <c r="H123" i="16"/>
  <c r="F123" i="16"/>
  <c r="H122" i="16"/>
  <c r="F122" i="16"/>
  <c r="H121" i="16"/>
  <c r="F121" i="16"/>
  <c r="H120" i="16"/>
  <c r="F120" i="16"/>
  <c r="H119" i="16"/>
  <c r="F119" i="16"/>
  <c r="H118" i="16"/>
  <c r="F118" i="16"/>
  <c r="H117" i="16"/>
  <c r="F117" i="16"/>
  <c r="AF39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8" i="23"/>
  <c r="AF30" i="23"/>
  <c r="AF31" i="23"/>
  <c r="AF32" i="23"/>
  <c r="AF33" i="23"/>
  <c r="AF34" i="23"/>
  <c r="AF35" i="23"/>
  <c r="AF36" i="23"/>
  <c r="AF37" i="23"/>
  <c r="AF38" i="23"/>
  <c r="AF40" i="23"/>
  <c r="AF6" i="23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6944" i="22"/>
  <c r="B6945" i="22"/>
  <c r="B6946" i="22"/>
  <c r="AC116" i="10"/>
  <c r="AC117" i="10"/>
  <c r="AC118" i="10"/>
  <c r="AC119" i="10"/>
  <c r="AC120" i="10"/>
  <c r="AC127" i="10"/>
  <c r="AC128" i="10"/>
  <c r="AC129" i="10"/>
  <c r="AC130" i="10"/>
  <c r="AC131" i="10"/>
  <c r="AC115" i="10"/>
  <c r="AC114" i="10"/>
  <c r="AC113" i="10"/>
  <c r="AC112" i="10"/>
  <c r="AC111" i="10"/>
  <c r="AE6" i="12"/>
  <c r="AE7" i="12"/>
  <c r="AE8" i="12"/>
  <c r="AE9" i="12"/>
  <c r="AE10" i="12"/>
  <c r="AE11" i="12"/>
  <c r="AE12" i="12"/>
  <c r="AE13" i="12"/>
  <c r="AE5" i="12"/>
  <c r="AB29" i="18"/>
  <c r="AB28" i="18"/>
  <c r="AB27" i="18"/>
  <c r="AB26" i="18"/>
  <c r="AB25" i="18"/>
  <c r="AB24" i="18"/>
  <c r="AB23" i="18"/>
  <c r="AB22" i="18"/>
  <c r="AB21" i="18"/>
  <c r="AB20" i="18"/>
  <c r="AB19" i="18"/>
  <c r="AB18" i="18"/>
  <c r="AB17" i="18"/>
  <c r="AB16" i="18"/>
  <c r="AB15" i="18"/>
  <c r="AB14" i="18"/>
  <c r="AB13" i="18"/>
  <c r="AB12" i="18"/>
  <c r="AB11" i="18"/>
  <c r="AB10" i="18"/>
  <c r="AB9" i="18"/>
  <c r="AB64" i="18"/>
  <c r="AB63" i="18"/>
  <c r="AB62" i="18"/>
  <c r="AB61" i="18"/>
  <c r="AB60" i="18"/>
  <c r="AB59" i="18"/>
  <c r="AB58" i="18"/>
  <c r="AB57" i="18"/>
  <c r="AB56" i="18"/>
  <c r="AB55" i="18"/>
  <c r="AB54" i="18"/>
  <c r="AB53" i="18"/>
  <c r="AB52" i="18"/>
  <c r="AB51" i="18"/>
  <c r="AB50" i="18"/>
  <c r="AB49" i="18"/>
  <c r="AB48" i="18"/>
  <c r="AB47" i="18"/>
  <c r="AB46" i="18"/>
  <c r="AB45" i="18"/>
  <c r="AB44" i="18"/>
  <c r="AB99" i="18"/>
  <c r="AB97" i="18"/>
  <c r="AB96" i="18"/>
  <c r="AB95" i="18"/>
  <c r="AB94" i="18"/>
  <c r="AB93" i="18"/>
  <c r="AB92" i="18"/>
  <c r="AB91" i="18"/>
  <c r="AB90" i="18"/>
  <c r="AB89" i="18"/>
  <c r="AB87" i="18"/>
  <c r="AB86" i="18"/>
  <c r="AB85" i="18"/>
  <c r="AB84" i="18"/>
  <c r="AB83" i="18"/>
  <c r="AB82" i="18"/>
  <c r="AB81" i="18"/>
  <c r="AB80" i="18"/>
  <c r="AB79" i="18"/>
  <c r="AA93" i="2"/>
  <c r="AB93" i="2" s="1"/>
  <c r="AA94" i="2"/>
  <c r="AB94" i="2" s="1"/>
  <c r="AA95" i="2"/>
  <c r="AB95" i="2" s="1"/>
  <c r="AA96" i="2"/>
  <c r="AB96" i="2" s="1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40" i="2"/>
  <c r="AA21" i="2"/>
  <c r="AB21" i="2" s="1"/>
  <c r="AA22" i="2"/>
  <c r="AB22" i="2" s="1"/>
  <c r="AA23" i="2"/>
  <c r="AB23" i="2" s="1"/>
  <c r="U24" i="21" s="1"/>
  <c r="AA24" i="2"/>
  <c r="AB24" i="2" s="1"/>
  <c r="AA25" i="2"/>
  <c r="AB25" i="2" s="1"/>
  <c r="AA25" i="15"/>
  <c r="AA24" i="15"/>
  <c r="AA23" i="15"/>
  <c r="AA22" i="15"/>
  <c r="AA21" i="15"/>
  <c r="AA20" i="15"/>
  <c r="AA19" i="15"/>
  <c r="AA18" i="15"/>
  <c r="AA17" i="15"/>
  <c r="AA16" i="15"/>
  <c r="AA15" i="15"/>
  <c r="AA14" i="15"/>
  <c r="AA13" i="15"/>
  <c r="AA12" i="15"/>
  <c r="AA11" i="15"/>
  <c r="AA10" i="15"/>
  <c r="AA9" i="15"/>
  <c r="AA8" i="15"/>
  <c r="AA7" i="15"/>
  <c r="AA6" i="15"/>
  <c r="AA5" i="15"/>
  <c r="AB60" i="15"/>
  <c r="AB59" i="15"/>
  <c r="AB58" i="15"/>
  <c r="AB57" i="15"/>
  <c r="AH23" i="21" s="1"/>
  <c r="AB56" i="15"/>
  <c r="AB55" i="15"/>
  <c r="AB54" i="15"/>
  <c r="AB53" i="15"/>
  <c r="AB52" i="15"/>
  <c r="AB51" i="15"/>
  <c r="AB50" i="15"/>
  <c r="AB49" i="15"/>
  <c r="AB48" i="15"/>
  <c r="AB47" i="15"/>
  <c r="AB46" i="15"/>
  <c r="AB45" i="15"/>
  <c r="AB44" i="15"/>
  <c r="AB43" i="15"/>
  <c r="AB42" i="15"/>
  <c r="AB41" i="15"/>
  <c r="AB40" i="15"/>
  <c r="AB95" i="6"/>
  <c r="AC95" i="6" s="1"/>
  <c r="AB92" i="6"/>
  <c r="AC92" i="6" s="1"/>
  <c r="AB93" i="6"/>
  <c r="AC93" i="6" s="1"/>
  <c r="AB94" i="6"/>
  <c r="AC94" i="6" s="1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9" i="5"/>
  <c r="AC60" i="5"/>
  <c r="AC40" i="5"/>
  <c r="AC90" i="7"/>
  <c r="AB91" i="3"/>
  <c r="AB90" i="3"/>
  <c r="AB89" i="3"/>
  <c r="AB88" i="3"/>
  <c r="AB87" i="3"/>
  <c r="AB86" i="3"/>
  <c r="AB85" i="3"/>
  <c r="AB83" i="3"/>
  <c r="AB82" i="3"/>
  <c r="AB81" i="3"/>
  <c r="AB80" i="3"/>
  <c r="AB79" i="3"/>
  <c r="AB78" i="3"/>
  <c r="AB77" i="3"/>
  <c r="AB76" i="3"/>
  <c r="AB75" i="3"/>
  <c r="AB56" i="3"/>
  <c r="V22" i="21" s="1"/>
  <c r="AB55" i="3"/>
  <c r="V21" i="21" s="1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24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X66" i="16"/>
  <c r="AB66" i="16" s="1"/>
  <c r="AB101" i="16"/>
  <c r="AB99" i="16"/>
  <c r="AB97" i="16"/>
  <c r="AB95" i="16"/>
  <c r="AB94" i="16"/>
  <c r="AB93" i="16"/>
  <c r="AB92" i="16"/>
  <c r="AB91" i="16"/>
  <c r="AB90" i="16"/>
  <c r="AB89" i="16"/>
  <c r="AB88" i="16"/>
  <c r="AB87" i="16"/>
  <c r="AB86" i="16"/>
  <c r="AB85" i="16"/>
  <c r="AB84" i="16"/>
  <c r="AA13" i="16"/>
  <c r="AA31" i="16"/>
  <c r="AA30" i="16"/>
  <c r="AA29" i="16"/>
  <c r="AA28" i="16"/>
  <c r="AA27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B50" i="16"/>
  <c r="AB51" i="16"/>
  <c r="AB52" i="16"/>
  <c r="AB53" i="16"/>
  <c r="AB54" i="16"/>
  <c r="AB55" i="16"/>
  <c r="AB57" i="16"/>
  <c r="AB58" i="16"/>
  <c r="AB59" i="16"/>
  <c r="AB60" i="16"/>
  <c r="AB62" i="16"/>
  <c r="AB64" i="16"/>
  <c r="AB65" i="16"/>
  <c r="AB49" i="16"/>
  <c r="AA23" i="11"/>
  <c r="AB23" i="11" s="1"/>
  <c r="AA24" i="11"/>
  <c r="AB24" i="11" s="1"/>
  <c r="AA25" i="11"/>
  <c r="AB25" i="11" s="1"/>
  <c r="AA22" i="11"/>
  <c r="AB22" i="11" s="1"/>
  <c r="AA21" i="11"/>
  <c r="AB21" i="11" s="1"/>
  <c r="AC21" i="11" s="1"/>
  <c r="AA57" i="11"/>
  <c r="AB57" i="11" s="1"/>
  <c r="AA58" i="11"/>
  <c r="AB58" i="11" s="1"/>
  <c r="AA59" i="11"/>
  <c r="AB59" i="11" s="1"/>
  <c r="AA60" i="11"/>
  <c r="AB60" i="11" s="1"/>
  <c r="AC95" i="8"/>
  <c r="AC94" i="8"/>
  <c r="AC93" i="8"/>
  <c r="AC92" i="8"/>
  <c r="AC91" i="8"/>
  <c r="AC90" i="8"/>
  <c r="AC89" i="8"/>
  <c r="AC88" i="8"/>
  <c r="AC87" i="8"/>
  <c r="AC86" i="8"/>
  <c r="AC85" i="8"/>
  <c r="AC84" i="8"/>
  <c r="AC83" i="8"/>
  <c r="AC82" i="8"/>
  <c r="AC81" i="8"/>
  <c r="AC80" i="8"/>
  <c r="AC79" i="8"/>
  <c r="AC78" i="8"/>
  <c r="AC77" i="8"/>
  <c r="AC76" i="8"/>
  <c r="AC75" i="8"/>
  <c r="AC60" i="8"/>
  <c r="AC59" i="8"/>
  <c r="AC58" i="8"/>
  <c r="AA24" i="21" s="1"/>
  <c r="AC57" i="8"/>
  <c r="AA23" i="21" s="1"/>
  <c r="AC56" i="8"/>
  <c r="AA22" i="21" s="1"/>
  <c r="AC55" i="8"/>
  <c r="AA21" i="21" s="1"/>
  <c r="AC54" i="8"/>
  <c r="AC53" i="8"/>
  <c r="AC52" i="8"/>
  <c r="AC51" i="8"/>
  <c r="AC50" i="8"/>
  <c r="AC49" i="8"/>
  <c r="AC48" i="8"/>
  <c r="AC47" i="8"/>
  <c r="AC46" i="8"/>
  <c r="AC45" i="8"/>
  <c r="AC44" i="8"/>
  <c r="AC43" i="8"/>
  <c r="AC42" i="8"/>
  <c r="AC41" i="8"/>
  <c r="AC40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B95" i="17"/>
  <c r="AB94" i="17"/>
  <c r="AB93" i="17"/>
  <c r="AB92" i="17"/>
  <c r="AB91" i="17"/>
  <c r="AB90" i="17"/>
  <c r="AB89" i="17"/>
  <c r="AB88" i="17"/>
  <c r="AB87" i="17"/>
  <c r="AB86" i="17"/>
  <c r="AB85" i="17"/>
  <c r="AB84" i="17"/>
  <c r="AB83" i="17"/>
  <c r="AB82" i="17"/>
  <c r="AB81" i="17"/>
  <c r="AB80" i="17"/>
  <c r="AB79" i="17"/>
  <c r="AB78" i="17"/>
  <c r="AB77" i="17"/>
  <c r="AB76" i="17"/>
  <c r="AB75" i="17"/>
  <c r="AC40" i="17"/>
  <c r="AC59" i="17"/>
  <c r="AC58" i="17"/>
  <c r="AC57" i="17"/>
  <c r="AC56" i="17"/>
  <c r="AC55" i="17"/>
  <c r="AC54" i="17"/>
  <c r="AC53" i="17"/>
  <c r="AC52" i="17"/>
  <c r="AC51" i="17"/>
  <c r="AC50" i="17"/>
  <c r="AC49" i="17"/>
  <c r="AC48" i="17"/>
  <c r="AC47" i="17"/>
  <c r="AC46" i="17"/>
  <c r="AC45" i="17"/>
  <c r="AC44" i="17"/>
  <c r="AC43" i="17"/>
  <c r="AC42" i="17"/>
  <c r="AC41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95" i="14"/>
  <c r="AB94" i="14"/>
  <c r="AB93" i="14"/>
  <c r="AB92" i="14"/>
  <c r="AB91" i="14"/>
  <c r="AB90" i="14"/>
  <c r="AB89" i="14"/>
  <c r="AB88" i="14"/>
  <c r="AB87" i="14"/>
  <c r="AB86" i="14"/>
  <c r="AB85" i="14"/>
  <c r="AB84" i="14"/>
  <c r="AB83" i="14"/>
  <c r="AB82" i="14"/>
  <c r="AB81" i="14"/>
  <c r="AB80" i="14"/>
  <c r="AB79" i="14"/>
  <c r="AB78" i="14"/>
  <c r="AB77" i="14"/>
  <c r="AB76" i="14"/>
  <c r="AB75" i="14"/>
  <c r="AB60" i="14"/>
  <c r="AB59" i="14"/>
  <c r="AB58" i="14"/>
  <c r="AG24" i="21" s="1"/>
  <c r="AB57" i="14"/>
  <c r="AG23" i="21" s="1"/>
  <c r="AB56" i="14"/>
  <c r="AB55" i="14"/>
  <c r="AG21" i="21" s="1"/>
  <c r="AB54" i="14"/>
  <c r="AB53" i="14"/>
  <c r="AB52" i="14"/>
  <c r="AB51" i="14"/>
  <c r="AB50" i="14"/>
  <c r="AB49" i="14"/>
  <c r="AB48" i="14"/>
  <c r="AB47" i="14"/>
  <c r="AB46" i="14"/>
  <c r="AB45" i="14"/>
  <c r="AB44" i="14"/>
  <c r="AB43" i="14"/>
  <c r="AB42" i="14"/>
  <c r="AB41" i="14"/>
  <c r="AB40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Z69" i="12"/>
  <c r="X110" i="16"/>
  <c r="Z110" i="16"/>
  <c r="AA92" i="11"/>
  <c r="AB92" i="11" s="1"/>
  <c r="AA93" i="11"/>
  <c r="AB93" i="11" s="1"/>
  <c r="AA94" i="11"/>
  <c r="AB94" i="11" s="1"/>
  <c r="AA95" i="11"/>
  <c r="AB95" i="11" s="1"/>
  <c r="AA91" i="11"/>
  <c r="AB91" i="11" s="1"/>
  <c r="BX86" i="23"/>
  <c r="BZ86" i="23"/>
  <c r="BX87" i="23"/>
  <c r="BZ87" i="23"/>
  <c r="BX88" i="23"/>
  <c r="BZ88" i="23"/>
  <c r="BX89" i="23"/>
  <c r="BZ89" i="23"/>
  <c r="BX90" i="23"/>
  <c r="BZ90" i="23"/>
  <c r="BX91" i="23"/>
  <c r="BZ91" i="23"/>
  <c r="BX92" i="23"/>
  <c r="BZ92" i="23"/>
  <c r="BX93" i="23"/>
  <c r="CB94" i="23" s="1"/>
  <c r="BZ93" i="23"/>
  <c r="BZ94" i="23"/>
  <c r="BU96" i="23"/>
  <c r="BZ85" i="23"/>
  <c r="BX85" i="23"/>
  <c r="BZ84" i="23"/>
  <c r="BX84" i="23"/>
  <c r="BZ83" i="23"/>
  <c r="BX83" i="23"/>
  <c r="BZ82" i="23"/>
  <c r="BX82" i="23"/>
  <c r="CB82" i="23" s="1"/>
  <c r="BX65" i="23"/>
  <c r="BZ65" i="23"/>
  <c r="BX66" i="23"/>
  <c r="BZ66" i="23"/>
  <c r="BX67" i="23"/>
  <c r="BZ67" i="23"/>
  <c r="BX68" i="23"/>
  <c r="BZ68" i="23"/>
  <c r="BX69" i="23"/>
  <c r="BZ69" i="23"/>
  <c r="BZ70" i="23"/>
  <c r="BU72" i="23"/>
  <c r="BZ64" i="23"/>
  <c r="BX64" i="23"/>
  <c r="BZ63" i="23"/>
  <c r="BX63" i="23"/>
  <c r="BZ62" i="23"/>
  <c r="BX62" i="23"/>
  <c r="BZ61" i="23"/>
  <c r="BX61" i="23"/>
  <c r="CB61" i="23" s="1"/>
  <c r="BU52" i="23"/>
  <c r="BZ50" i="23"/>
  <c r="BZ49" i="23"/>
  <c r="BX49" i="23"/>
  <c r="CB50" i="23" s="1"/>
  <c r="BZ48" i="23"/>
  <c r="BX48" i="23"/>
  <c r="BZ46" i="23"/>
  <c r="BX46" i="23"/>
  <c r="BZ45" i="23"/>
  <c r="BX45" i="23"/>
  <c r="BZ44" i="23"/>
  <c r="BX44" i="23"/>
  <c r="BZ43" i="23"/>
  <c r="BX43" i="23"/>
  <c r="CB43" i="23" s="1"/>
  <c r="BZ32" i="23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60" i="12"/>
  <c r="AB59" i="12"/>
  <c r="AB58" i="12"/>
  <c r="AE24" i="21" s="1"/>
  <c r="AB57" i="12"/>
  <c r="AE23" i="21" s="1"/>
  <c r="AB56" i="12"/>
  <c r="AE22" i="21" s="1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F21" i="21" s="1"/>
  <c r="AB56" i="13"/>
  <c r="AF22" i="21" s="1"/>
  <c r="AB57" i="13"/>
  <c r="AF23" i="21" s="1"/>
  <c r="AB58" i="13"/>
  <c r="AF24" i="21" s="1"/>
  <c r="AB59" i="13"/>
  <c r="AB60" i="13"/>
  <c r="AB43" i="13"/>
  <c r="AB42" i="13"/>
  <c r="AB41" i="13"/>
  <c r="AB40" i="13"/>
  <c r="AC78" i="7"/>
  <c r="AC80" i="7"/>
  <c r="AC95" i="7"/>
  <c r="AC94" i="7"/>
  <c r="AC93" i="7"/>
  <c r="AC91" i="7"/>
  <c r="AC89" i="7"/>
  <c r="AC88" i="7"/>
  <c r="AC87" i="7"/>
  <c r="AC86" i="7"/>
  <c r="AC84" i="7"/>
  <c r="AC83" i="7"/>
  <c r="AC82" i="7"/>
  <c r="AC81" i="7"/>
  <c r="AC60" i="7"/>
  <c r="AC59" i="7"/>
  <c r="AC58" i="7"/>
  <c r="AC56" i="7"/>
  <c r="Z22" i="21" s="1"/>
  <c r="AC54" i="7"/>
  <c r="AC53" i="7"/>
  <c r="AC52" i="7"/>
  <c r="AC51" i="7"/>
  <c r="AC49" i="7"/>
  <c r="AC48" i="7"/>
  <c r="AC47" i="7"/>
  <c r="AC46" i="7"/>
  <c r="AC45" i="7"/>
  <c r="BU34" i="23"/>
  <c r="BZ31" i="23"/>
  <c r="BX31" i="23"/>
  <c r="CB32" i="23" s="1"/>
  <c r="BZ30" i="23"/>
  <c r="BX30" i="23"/>
  <c r="BZ29" i="23"/>
  <c r="BX29" i="23"/>
  <c r="BZ28" i="23"/>
  <c r="BX28" i="23"/>
  <c r="BZ27" i="23"/>
  <c r="BX27" i="23"/>
  <c r="BZ26" i="23"/>
  <c r="BX26" i="23"/>
  <c r="CB26" i="23" s="1"/>
  <c r="BU17" i="23"/>
  <c r="BZ15" i="23"/>
  <c r="BZ14" i="23"/>
  <c r="BX14" i="23"/>
  <c r="CB15" i="23" s="1"/>
  <c r="BZ13" i="23"/>
  <c r="BX13" i="23"/>
  <c r="BZ12" i="23"/>
  <c r="BX12" i="23"/>
  <c r="BZ11" i="23"/>
  <c r="BX11" i="23"/>
  <c r="BZ10" i="23"/>
  <c r="BX10" i="23"/>
  <c r="BZ9" i="23"/>
  <c r="BX9" i="23"/>
  <c r="CB9" i="23" s="1"/>
  <c r="BJ45" i="23"/>
  <c r="BO43" i="23"/>
  <c r="BO42" i="23"/>
  <c r="BM42" i="23"/>
  <c r="BQ43" i="23" s="1"/>
  <c r="BO41" i="23"/>
  <c r="BM41" i="23"/>
  <c r="BO40" i="23"/>
  <c r="BM40" i="23"/>
  <c r="BO39" i="23"/>
  <c r="BJ48" i="23" s="1"/>
  <c r="BM39" i="23"/>
  <c r="BQ39" i="23" s="1"/>
  <c r="BJ30" i="23"/>
  <c r="BO28" i="23"/>
  <c r="BO27" i="23"/>
  <c r="BM27" i="23"/>
  <c r="BO26" i="23"/>
  <c r="BM26" i="23"/>
  <c r="BO25" i="23"/>
  <c r="BM25" i="23"/>
  <c r="BO24" i="23"/>
  <c r="BM24" i="23"/>
  <c r="AZ143" i="23"/>
  <c r="AZ144" i="23"/>
  <c r="AZ159" i="23"/>
  <c r="BO13" i="23"/>
  <c r="BJ15" i="23"/>
  <c r="BO12" i="23"/>
  <c r="BM12" i="23"/>
  <c r="BO11" i="23"/>
  <c r="BM11" i="23"/>
  <c r="BO10" i="23"/>
  <c r="BM10" i="23"/>
  <c r="BO9" i="23"/>
  <c r="BM9" i="23"/>
  <c r="BQ9" i="23" s="1"/>
  <c r="AU178" i="23"/>
  <c r="AZ176" i="23"/>
  <c r="AZ175" i="23"/>
  <c r="AX175" i="23"/>
  <c r="AZ174" i="23"/>
  <c r="AX174" i="23"/>
  <c r="AZ173" i="23"/>
  <c r="AX173" i="23"/>
  <c r="AX178" i="23" s="1"/>
  <c r="AZ172" i="23"/>
  <c r="AX172" i="23"/>
  <c r="AZ171" i="23"/>
  <c r="AX171" i="23"/>
  <c r="AZ170" i="23"/>
  <c r="AX170" i="23"/>
  <c r="BB170" i="23" s="1"/>
  <c r="AU161" i="23"/>
  <c r="AZ158" i="23"/>
  <c r="AX158" i="23"/>
  <c r="BB159" i="23" s="1"/>
  <c r="AZ157" i="23"/>
  <c r="AX157" i="23"/>
  <c r="AZ156" i="23"/>
  <c r="AX156" i="23"/>
  <c r="AZ155" i="23"/>
  <c r="AX155" i="23"/>
  <c r="AX161" i="23" s="1"/>
  <c r="AU146" i="23"/>
  <c r="AX143" i="23"/>
  <c r="AZ142" i="23"/>
  <c r="AX142" i="23"/>
  <c r="AZ141" i="23"/>
  <c r="AX141" i="23"/>
  <c r="AZ140" i="23"/>
  <c r="AX140" i="23"/>
  <c r="BB140" i="23" s="1"/>
  <c r="AU131" i="23"/>
  <c r="AZ129" i="23"/>
  <c r="AZ128" i="23"/>
  <c r="AX128" i="23"/>
  <c r="BB129" i="23" s="1"/>
  <c r="AZ127" i="23"/>
  <c r="AX127" i="23"/>
  <c r="AZ126" i="23"/>
  <c r="AX126" i="23"/>
  <c r="BB126" i="23" s="1"/>
  <c r="AZ125" i="23"/>
  <c r="AX125" i="23"/>
  <c r="AZ124" i="23"/>
  <c r="AX124" i="23"/>
  <c r="AZ123" i="23"/>
  <c r="AX123" i="23"/>
  <c r="BB123" i="23" s="1"/>
  <c r="AU114" i="23"/>
  <c r="AZ112" i="23"/>
  <c r="AZ111" i="23"/>
  <c r="AX111" i="23"/>
  <c r="BB111" i="23" s="1"/>
  <c r="AZ110" i="23"/>
  <c r="AX110" i="23"/>
  <c r="AZ109" i="23"/>
  <c r="AX109" i="23"/>
  <c r="AZ108" i="23"/>
  <c r="AX108" i="23"/>
  <c r="AZ107" i="23"/>
  <c r="AX107" i="23"/>
  <c r="AZ106" i="23"/>
  <c r="AX106" i="23"/>
  <c r="BB106" i="23" s="1"/>
  <c r="AU97" i="23"/>
  <c r="AZ95" i="23"/>
  <c r="AZ94" i="23"/>
  <c r="AX94" i="23"/>
  <c r="BB95" i="23" s="1"/>
  <c r="AZ93" i="23"/>
  <c r="AX93" i="23"/>
  <c r="AZ92" i="23"/>
  <c r="AX92" i="23"/>
  <c r="AZ91" i="23"/>
  <c r="AX91" i="23"/>
  <c r="AX97" i="23" s="1"/>
  <c r="AZ90" i="23"/>
  <c r="AX90" i="23"/>
  <c r="AZ89" i="23"/>
  <c r="AX89" i="23"/>
  <c r="BB89" i="23" s="1"/>
  <c r="AU80" i="23"/>
  <c r="AZ78" i="23"/>
  <c r="AZ77" i="23"/>
  <c r="AX77" i="23"/>
  <c r="BB78" i="23" s="1"/>
  <c r="AZ76" i="23"/>
  <c r="AX76" i="23"/>
  <c r="AZ75" i="23"/>
  <c r="AX75" i="23"/>
  <c r="AZ74" i="23"/>
  <c r="AX74" i="23"/>
  <c r="AZ73" i="23"/>
  <c r="AX73" i="23"/>
  <c r="AX80" i="23" s="1"/>
  <c r="AZ72" i="23"/>
  <c r="AX72" i="23"/>
  <c r="AU63" i="23"/>
  <c r="AZ61" i="23"/>
  <c r="AZ60" i="23"/>
  <c r="AX60" i="23"/>
  <c r="BB61" i="23" s="1"/>
  <c r="AZ59" i="23"/>
  <c r="AX59" i="23"/>
  <c r="AZ58" i="23"/>
  <c r="AX58" i="23"/>
  <c r="AZ57" i="23"/>
  <c r="AX57" i="23"/>
  <c r="AZ56" i="23"/>
  <c r="AX56" i="23"/>
  <c r="AZ55" i="23"/>
  <c r="AX55" i="23"/>
  <c r="AX63" i="23" s="1"/>
  <c r="AZ54" i="23"/>
  <c r="AX54" i="23"/>
  <c r="AZ53" i="23"/>
  <c r="AX53" i="23"/>
  <c r="BB53" i="23" s="1"/>
  <c r="AU38" i="23"/>
  <c r="AZ36" i="23"/>
  <c r="AZ35" i="23"/>
  <c r="AX35" i="23"/>
  <c r="AZ34" i="23"/>
  <c r="AX34" i="23"/>
  <c r="AZ33" i="23"/>
  <c r="AX33" i="23"/>
  <c r="AZ32" i="23"/>
  <c r="AX32" i="23"/>
  <c r="AZ31" i="23"/>
  <c r="AX31" i="23"/>
  <c r="AZ30" i="23"/>
  <c r="AX30" i="23"/>
  <c r="AZ29" i="23"/>
  <c r="AX29" i="23"/>
  <c r="AZ28" i="23"/>
  <c r="AX28" i="23"/>
  <c r="AU19" i="23"/>
  <c r="AZ17" i="23"/>
  <c r="AZ16" i="23"/>
  <c r="AX16" i="23"/>
  <c r="BB17" i="23" s="1"/>
  <c r="AZ15" i="23"/>
  <c r="AX15" i="23"/>
  <c r="AZ14" i="23"/>
  <c r="AX14" i="23"/>
  <c r="AZ13" i="23"/>
  <c r="AX13" i="23"/>
  <c r="AZ12" i="23"/>
  <c r="AX12" i="23"/>
  <c r="AZ11" i="23"/>
  <c r="AX11" i="23"/>
  <c r="AZ10" i="23"/>
  <c r="AX10" i="23"/>
  <c r="AZ9" i="23"/>
  <c r="AX9" i="23"/>
  <c r="BB9" i="23" s="1"/>
  <c r="AJ148" i="23"/>
  <c r="AO146" i="23"/>
  <c r="AO145" i="23"/>
  <c r="AM145" i="23"/>
  <c r="AQ146" i="23" s="1"/>
  <c r="AO144" i="23"/>
  <c r="AM144" i="23"/>
  <c r="AO143" i="23"/>
  <c r="AM143" i="23"/>
  <c r="AQ144" i="23" s="1"/>
  <c r="AO142" i="23"/>
  <c r="AM142" i="23"/>
  <c r="AO141" i="23"/>
  <c r="AM141" i="23"/>
  <c r="AO140" i="23"/>
  <c r="AM140" i="23"/>
  <c r="AJ131" i="23"/>
  <c r="AO129" i="23"/>
  <c r="AO128" i="23"/>
  <c r="AM128" i="23"/>
  <c r="AQ129" i="23" s="1"/>
  <c r="AO127" i="23"/>
  <c r="AM127" i="23"/>
  <c r="AO126" i="23"/>
  <c r="AM126" i="23"/>
  <c r="AO125" i="23"/>
  <c r="AM125" i="23"/>
  <c r="AO124" i="23"/>
  <c r="AM124" i="23"/>
  <c r="AO123" i="23"/>
  <c r="AM123" i="23"/>
  <c r="AQ123" i="23" s="1"/>
  <c r="AJ114" i="23"/>
  <c r="AO112" i="23"/>
  <c r="AO111" i="23"/>
  <c r="AM111" i="23"/>
  <c r="AQ112" i="23" s="1"/>
  <c r="AO110" i="23"/>
  <c r="AM110" i="23"/>
  <c r="AO109" i="23"/>
  <c r="AM109" i="23"/>
  <c r="AO108" i="23"/>
  <c r="AM108" i="23"/>
  <c r="AO107" i="23"/>
  <c r="AM107" i="23"/>
  <c r="AM114" i="23" s="1"/>
  <c r="AO106" i="23"/>
  <c r="AM106" i="23"/>
  <c r="AO15" i="23"/>
  <c r="AQ76" i="23"/>
  <c r="AO95" i="23"/>
  <c r="AO91" i="23"/>
  <c r="AO92" i="23"/>
  <c r="AO93" i="23"/>
  <c r="AO94" i="23"/>
  <c r="AM91" i="23"/>
  <c r="AM92" i="23"/>
  <c r="AM93" i="23"/>
  <c r="AM94" i="23"/>
  <c r="AQ95" i="23" s="1"/>
  <c r="AJ97" i="23"/>
  <c r="AO90" i="23"/>
  <c r="AM90" i="23"/>
  <c r="AO89" i="23"/>
  <c r="AM89" i="23"/>
  <c r="AO88" i="23"/>
  <c r="AM88" i="23"/>
  <c r="AO87" i="23"/>
  <c r="AM87" i="23"/>
  <c r="AJ78" i="23"/>
  <c r="AO76" i="23"/>
  <c r="AO75" i="23"/>
  <c r="AM75" i="23"/>
  <c r="AO74" i="23"/>
  <c r="AM74" i="23"/>
  <c r="AO73" i="23"/>
  <c r="AM73" i="23"/>
  <c r="AO72" i="23"/>
  <c r="AM72" i="23"/>
  <c r="AQ72" i="23" s="1"/>
  <c r="AJ63" i="23"/>
  <c r="AQ61" i="23"/>
  <c r="AO61" i="23"/>
  <c r="AO60" i="23"/>
  <c r="AM60" i="23"/>
  <c r="AO59" i="23"/>
  <c r="AM59" i="23"/>
  <c r="AO58" i="23"/>
  <c r="AM58" i="23"/>
  <c r="AO57" i="23"/>
  <c r="AM57" i="23"/>
  <c r="AJ48" i="23"/>
  <c r="AQ45" i="23"/>
  <c r="AO45" i="23"/>
  <c r="AO44" i="23"/>
  <c r="AM44" i="23"/>
  <c r="AO43" i="23"/>
  <c r="AM43" i="23"/>
  <c r="AO42" i="23"/>
  <c r="AM42" i="23"/>
  <c r="AO41" i="23"/>
  <c r="AM41" i="23"/>
  <c r="AJ32" i="23"/>
  <c r="AO30" i="23"/>
  <c r="AQ30" i="23"/>
  <c r="AO29" i="23"/>
  <c r="AM29" i="23"/>
  <c r="AO28" i="23"/>
  <c r="AM28" i="23"/>
  <c r="AO27" i="23"/>
  <c r="AM27" i="23"/>
  <c r="AO26" i="23"/>
  <c r="AM26" i="23"/>
  <c r="AJ17" i="23"/>
  <c r="AO14" i="23"/>
  <c r="AM14" i="23"/>
  <c r="AQ15" i="23" s="1"/>
  <c r="AO13" i="23"/>
  <c r="AM13" i="23"/>
  <c r="AO12" i="23"/>
  <c r="AM12" i="23"/>
  <c r="AO11" i="23"/>
  <c r="AM11" i="23"/>
  <c r="AO10" i="23"/>
  <c r="AM10" i="23"/>
  <c r="AO9" i="23"/>
  <c r="AM9" i="23"/>
  <c r="AQ9" i="23" s="1"/>
  <c r="B49" i="22"/>
  <c r="AC95" i="10"/>
  <c r="AC94" i="10"/>
  <c r="AC93" i="10"/>
  <c r="AC92" i="10"/>
  <c r="AC91" i="10"/>
  <c r="AC90" i="10"/>
  <c r="AC89" i="10"/>
  <c r="AC88" i="10"/>
  <c r="AC87" i="10"/>
  <c r="AC86" i="10"/>
  <c r="AC85" i="10"/>
  <c r="AC84" i="10"/>
  <c r="AC83" i="10"/>
  <c r="AC82" i="10"/>
  <c r="AC81" i="10"/>
  <c r="AC80" i="10"/>
  <c r="AC79" i="10"/>
  <c r="AC78" i="10"/>
  <c r="AC77" i="10"/>
  <c r="AC76" i="10"/>
  <c r="AC75" i="10"/>
  <c r="AC25" i="10"/>
  <c r="AC24" i="10"/>
  <c r="AC23" i="10"/>
  <c r="AC22" i="10"/>
  <c r="AC21" i="10"/>
  <c r="AC20" i="10"/>
  <c r="AC19" i="10"/>
  <c r="AC18" i="10"/>
  <c r="AC17" i="10"/>
  <c r="AC16" i="10"/>
  <c r="AC15" i="10"/>
  <c r="AC14" i="10"/>
  <c r="AC13" i="10"/>
  <c r="AC12" i="10"/>
  <c r="AC11" i="10"/>
  <c r="AC10" i="10"/>
  <c r="AC9" i="10"/>
  <c r="AC8" i="10"/>
  <c r="AC7" i="10"/>
  <c r="AC6" i="10"/>
  <c r="AC5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21" i="21" s="1"/>
  <c r="AC56" i="10"/>
  <c r="AC22" i="21" s="1"/>
  <c r="AC57" i="10"/>
  <c r="AC23" i="21" s="1"/>
  <c r="AC58" i="10"/>
  <c r="AC24" i="21" s="1"/>
  <c r="AC59" i="10"/>
  <c r="AC60" i="10"/>
  <c r="AC43" i="10"/>
  <c r="AC42" i="10"/>
  <c r="AC41" i="10"/>
  <c r="AC40" i="10"/>
  <c r="AD55" i="9"/>
  <c r="AB21" i="21" s="1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5" i="9"/>
  <c r="AD95" i="9"/>
  <c r="AD94" i="9"/>
  <c r="AD93" i="9"/>
  <c r="AD92" i="9"/>
  <c r="AD91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6" i="9"/>
  <c r="AB22" i="21" s="1"/>
  <c r="AD57" i="9"/>
  <c r="AB23" i="21" s="1"/>
  <c r="AD60" i="9"/>
  <c r="AD59" i="9"/>
  <c r="AD58" i="9"/>
  <c r="AB24" i="21" s="1"/>
  <c r="AC11" i="7"/>
  <c r="AC12" i="7"/>
  <c r="AC13" i="7"/>
  <c r="AC14" i="7"/>
  <c r="AC16" i="7"/>
  <c r="AC17" i="7"/>
  <c r="AC18" i="7"/>
  <c r="AC19" i="7"/>
  <c r="AC21" i="7"/>
  <c r="AC23" i="7"/>
  <c r="AC24" i="7"/>
  <c r="AC25" i="7"/>
  <c r="AC10" i="7"/>
  <c r="AA95" i="1"/>
  <c r="AB95" i="1" s="1"/>
  <c r="AA94" i="1"/>
  <c r="AB94" i="1" s="1"/>
  <c r="AA93" i="1"/>
  <c r="AB93" i="1" s="1"/>
  <c r="AA92" i="1"/>
  <c r="AB92" i="1" s="1"/>
  <c r="AA91" i="1"/>
  <c r="AB91" i="1" s="1"/>
  <c r="AA90" i="1"/>
  <c r="AB90" i="1" s="1"/>
  <c r="AA89" i="1"/>
  <c r="AB89" i="1" s="1"/>
  <c r="AA88" i="1"/>
  <c r="AB88" i="1" s="1"/>
  <c r="AA87" i="1"/>
  <c r="AB87" i="1" s="1"/>
  <c r="AA86" i="1"/>
  <c r="AB86" i="1" s="1"/>
  <c r="AA85" i="1"/>
  <c r="AB85" i="1" s="1"/>
  <c r="AA84" i="1"/>
  <c r="AB84" i="1" s="1"/>
  <c r="AA83" i="1"/>
  <c r="AB83" i="1" s="1"/>
  <c r="AA82" i="1"/>
  <c r="AB82" i="1" s="1"/>
  <c r="AA81" i="1"/>
  <c r="AB81" i="1" s="1"/>
  <c r="AA80" i="1"/>
  <c r="AB80" i="1" s="1"/>
  <c r="AA79" i="1"/>
  <c r="AB79" i="1" s="1"/>
  <c r="AA78" i="1"/>
  <c r="AB78" i="1" s="1"/>
  <c r="AA77" i="1"/>
  <c r="AB77" i="1" s="1"/>
  <c r="AA76" i="1"/>
  <c r="AB76" i="1" s="1"/>
  <c r="AA75" i="1"/>
  <c r="AB75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B41" i="1" s="1"/>
  <c r="AA40" i="1"/>
  <c r="AB40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A21" i="1"/>
  <c r="AB21" i="1" s="1"/>
  <c r="AA22" i="1"/>
  <c r="AA23" i="1"/>
  <c r="AB23" i="1" s="1"/>
  <c r="AA24" i="1"/>
  <c r="AB24" i="1" s="1"/>
  <c r="AA25" i="1"/>
  <c r="AB25" i="1" s="1"/>
  <c r="AA5" i="1"/>
  <c r="AB5" i="1" s="1"/>
  <c r="CY10" i="8"/>
  <c r="DA10" i="8"/>
  <c r="CY11" i="8"/>
  <c r="DA11" i="8"/>
  <c r="CY12" i="8"/>
  <c r="DA12" i="8"/>
  <c r="CY13" i="8"/>
  <c r="DA13" i="8"/>
  <c r="CY14" i="8"/>
  <c r="DA14" i="8"/>
  <c r="CY15" i="8"/>
  <c r="DA15" i="8"/>
  <c r="CY16" i="8"/>
  <c r="DA16" i="8"/>
  <c r="CY17" i="8"/>
  <c r="DA17" i="8"/>
  <c r="CV10" i="8"/>
  <c r="CV11" i="8"/>
  <c r="CV12" i="8"/>
  <c r="CV13" i="8"/>
  <c r="CV14" i="8"/>
  <c r="CW19" i="8"/>
  <c r="CT19" i="8"/>
  <c r="DA9" i="8"/>
  <c r="CY9" i="8"/>
  <c r="CV9" i="8"/>
  <c r="CP19" i="8"/>
  <c r="CN11" i="8"/>
  <c r="CP11" i="8"/>
  <c r="CN12" i="8"/>
  <c r="CP12" i="8"/>
  <c r="CN13" i="8"/>
  <c r="CP13" i="8"/>
  <c r="CN14" i="8"/>
  <c r="CP14" i="8"/>
  <c r="CN15" i="8"/>
  <c r="CP15" i="8"/>
  <c r="CN16" i="8"/>
  <c r="CP16" i="8"/>
  <c r="CN17" i="8"/>
  <c r="CP17" i="8"/>
  <c r="CN18" i="8"/>
  <c r="CP18" i="8"/>
  <c r="CN19" i="8"/>
  <c r="CN20" i="8"/>
  <c r="CP20" i="8"/>
  <c r="CK18" i="8"/>
  <c r="CK17" i="8"/>
  <c r="CK16" i="8"/>
  <c r="CK15" i="8"/>
  <c r="CK14" i="8"/>
  <c r="CK13" i="8"/>
  <c r="CL22" i="8"/>
  <c r="CI22" i="8"/>
  <c r="CK12" i="8"/>
  <c r="CK11" i="8"/>
  <c r="CP10" i="8"/>
  <c r="CN10" i="8"/>
  <c r="CK10" i="8"/>
  <c r="CP9" i="8"/>
  <c r="CN9" i="8"/>
  <c r="CE17" i="8"/>
  <c r="CC17" i="8"/>
  <c r="CE16" i="8"/>
  <c r="CC16" i="8"/>
  <c r="BZ16" i="8"/>
  <c r="CE15" i="8"/>
  <c r="CC15" i="8"/>
  <c r="BZ15" i="8"/>
  <c r="CE14" i="8"/>
  <c r="CC14" i="8"/>
  <c r="BZ14" i="8"/>
  <c r="CE13" i="8"/>
  <c r="CC13" i="8"/>
  <c r="BZ13" i="8"/>
  <c r="CE12" i="8"/>
  <c r="CC12" i="8"/>
  <c r="BZ12" i="8"/>
  <c r="CE11" i="8"/>
  <c r="CC11" i="8"/>
  <c r="BZ11" i="8"/>
  <c r="CC18" i="8"/>
  <c r="CE18" i="8"/>
  <c r="CA22" i="8"/>
  <c r="BX22" i="8"/>
  <c r="CE10" i="8"/>
  <c r="CC10" i="8"/>
  <c r="BZ10" i="8"/>
  <c r="CE9" i="8"/>
  <c r="CC9" i="8"/>
  <c r="BZ9" i="8"/>
  <c r="BR11" i="8"/>
  <c r="BT11" i="8"/>
  <c r="BR12" i="8"/>
  <c r="BT12" i="8"/>
  <c r="BR13" i="8"/>
  <c r="BT13" i="8"/>
  <c r="BR14" i="8"/>
  <c r="BT14" i="8"/>
  <c r="BR15" i="8"/>
  <c r="BT15" i="8"/>
  <c r="BR16" i="8"/>
  <c r="BT16" i="8"/>
  <c r="BR17" i="8"/>
  <c r="BT17" i="8"/>
  <c r="BR18" i="8"/>
  <c r="BT18" i="8"/>
  <c r="BR19" i="8"/>
  <c r="BT19" i="8"/>
  <c r="BR20" i="8"/>
  <c r="BT20" i="8"/>
  <c r="BR21" i="8"/>
  <c r="BT21" i="8"/>
  <c r="BR22" i="8"/>
  <c r="BT22" i="8"/>
  <c r="BR23" i="8"/>
  <c r="BT23" i="8"/>
  <c r="BR24" i="8"/>
  <c r="BT24" i="8"/>
  <c r="BR25" i="8"/>
  <c r="BT25" i="8"/>
  <c r="BR34" i="8"/>
  <c r="BT34" i="8"/>
  <c r="BR35" i="8"/>
  <c r="BT35" i="8"/>
  <c r="BR36" i="8"/>
  <c r="BT36" i="8"/>
  <c r="BO22" i="8"/>
  <c r="BO23" i="8"/>
  <c r="BO24" i="8"/>
  <c r="BO25" i="8"/>
  <c r="BO34" i="8"/>
  <c r="BO35" i="8"/>
  <c r="BP39" i="8"/>
  <c r="BM39" i="8"/>
  <c r="BT37" i="8"/>
  <c r="BR37" i="8"/>
  <c r="BO21" i="8"/>
  <c r="BO20" i="8"/>
  <c r="BO19" i="8"/>
  <c r="BO18" i="8"/>
  <c r="BO17" i="8"/>
  <c r="BO16" i="8"/>
  <c r="BO15" i="8"/>
  <c r="BO14" i="8"/>
  <c r="BO13" i="8"/>
  <c r="BO12" i="8"/>
  <c r="BO11" i="8"/>
  <c r="BT10" i="8"/>
  <c r="BR10" i="8"/>
  <c r="BO10" i="8"/>
  <c r="BT9" i="8"/>
  <c r="BR9" i="8"/>
  <c r="BO9" i="8"/>
  <c r="BG11" i="8"/>
  <c r="BI11" i="8"/>
  <c r="BG12" i="8"/>
  <c r="BI12" i="8"/>
  <c r="BG13" i="8"/>
  <c r="BI13" i="8"/>
  <c r="BG14" i="8"/>
  <c r="BI14" i="8"/>
  <c r="BG15" i="8"/>
  <c r="BI15" i="8"/>
  <c r="BG16" i="8"/>
  <c r="BI16" i="8"/>
  <c r="BG17" i="8"/>
  <c r="BI17" i="8"/>
  <c r="BG18" i="8"/>
  <c r="BI18" i="8"/>
  <c r="BG19" i="8"/>
  <c r="BI19" i="8"/>
  <c r="BG20" i="8"/>
  <c r="BI20" i="8"/>
  <c r="BG21" i="8"/>
  <c r="BI21" i="8"/>
  <c r="BG22" i="8"/>
  <c r="BI22" i="8"/>
  <c r="BD11" i="8"/>
  <c r="BD12" i="8"/>
  <c r="BD13" i="8"/>
  <c r="BD14" i="8"/>
  <c r="BD15" i="8"/>
  <c r="BD16" i="8"/>
  <c r="BD17" i="8"/>
  <c r="BD18" i="8"/>
  <c r="BD19" i="8"/>
  <c r="BD20" i="8"/>
  <c r="BD21" i="8"/>
  <c r="BE25" i="8"/>
  <c r="BB25" i="8"/>
  <c r="BI23" i="8"/>
  <c r="BG23" i="8"/>
  <c r="BI10" i="8"/>
  <c r="BG10" i="8"/>
  <c r="BD10" i="8"/>
  <c r="BI9" i="8"/>
  <c r="BG9" i="8"/>
  <c r="BD9" i="8"/>
  <c r="AV11" i="8"/>
  <c r="AX11" i="8"/>
  <c r="AV12" i="8"/>
  <c r="AX12" i="8"/>
  <c r="AV13" i="8"/>
  <c r="AX13" i="8"/>
  <c r="AV14" i="8"/>
  <c r="AX14" i="8"/>
  <c r="AV15" i="8"/>
  <c r="AX15" i="8"/>
  <c r="AV16" i="8"/>
  <c r="AX16" i="8"/>
  <c r="AS10" i="8"/>
  <c r="AV9" i="8"/>
  <c r="AX9" i="8"/>
  <c r="AV10" i="8"/>
  <c r="AX10" i="8"/>
  <c r="AV17" i="8"/>
  <c r="AX17" i="8"/>
  <c r="AS9" i="8"/>
  <c r="AQ19" i="8"/>
  <c r="AT19" i="8"/>
  <c r="K60" i="17"/>
  <c r="AC60" i="17" s="1"/>
  <c r="D34" i="8"/>
  <c r="E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F34" i="8"/>
  <c r="I34" i="2"/>
  <c r="C34" i="2"/>
  <c r="D34" i="2"/>
  <c r="E34" i="2"/>
  <c r="F34" i="2"/>
  <c r="G34" i="2"/>
  <c r="H34" i="2"/>
  <c r="S34" i="2"/>
  <c r="K34" i="2"/>
  <c r="L34" i="2"/>
  <c r="M34" i="2"/>
  <c r="N34" i="2"/>
  <c r="O34" i="2"/>
  <c r="P34" i="2"/>
  <c r="Q34" i="2"/>
  <c r="R34" i="2"/>
  <c r="J95" i="3"/>
  <c r="AA95" i="3" s="1"/>
  <c r="J60" i="3"/>
  <c r="D26" i="21" s="1"/>
  <c r="J25" i="3"/>
  <c r="AB25" i="3" s="1"/>
  <c r="I34" i="7"/>
  <c r="J34" i="7"/>
  <c r="K34" i="7"/>
  <c r="L34" i="7"/>
  <c r="M34" i="7"/>
  <c r="N34" i="7"/>
  <c r="O34" i="7"/>
  <c r="P34" i="7"/>
  <c r="Q34" i="7"/>
  <c r="R34" i="7"/>
  <c r="S34" i="7"/>
  <c r="U34" i="7"/>
  <c r="G34" i="7"/>
  <c r="H34" i="7"/>
  <c r="P25" i="21"/>
  <c r="Q25" i="21"/>
  <c r="H25" i="21"/>
  <c r="I25" i="21"/>
  <c r="J25" i="21"/>
  <c r="K25" i="21"/>
  <c r="L25" i="21"/>
  <c r="M25" i="21"/>
  <c r="N25" i="21"/>
  <c r="O25" i="21"/>
  <c r="AA94" i="6"/>
  <c r="AA95" i="6"/>
  <c r="AA59" i="6"/>
  <c r="AA60" i="6"/>
  <c r="AA24" i="6"/>
  <c r="G25" i="21" s="1"/>
  <c r="AA25" i="6"/>
  <c r="G26" i="21" s="1"/>
  <c r="AA25" i="5"/>
  <c r="F26" i="21" s="1"/>
  <c r="AA59" i="5"/>
  <c r="AA60" i="5"/>
  <c r="AA94" i="5"/>
  <c r="AA95" i="5"/>
  <c r="X146" i="9"/>
  <c r="X147" i="9"/>
  <c r="X148" i="9"/>
  <c r="X145" i="9"/>
  <c r="AA24" i="5"/>
  <c r="F25" i="21" s="1"/>
  <c r="E25" i="21"/>
  <c r="C25" i="21"/>
  <c r="B25" i="21"/>
  <c r="B24" i="21"/>
  <c r="B33" i="21" s="1"/>
  <c r="F69" i="14"/>
  <c r="Z104" i="12"/>
  <c r="O94" i="3"/>
  <c r="K94" i="3"/>
  <c r="Q59" i="3"/>
  <c r="P59" i="3"/>
  <c r="O59" i="3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L100" i="16"/>
  <c r="K100" i="16"/>
  <c r="J100" i="16"/>
  <c r="I100" i="16"/>
  <c r="AY14" i="2"/>
  <c r="AY11" i="2"/>
  <c r="AY12" i="2"/>
  <c r="AY13" i="2"/>
  <c r="AT16" i="2"/>
  <c r="AW13" i="2"/>
  <c r="AW12" i="2"/>
  <c r="AW11" i="2"/>
  <c r="AY10" i="2"/>
  <c r="AW10" i="2"/>
  <c r="AY9" i="2"/>
  <c r="AW9" i="2"/>
  <c r="AY8" i="2"/>
  <c r="AW8" i="2"/>
  <c r="AJ15" i="9"/>
  <c r="AO12" i="9"/>
  <c r="AM12" i="9"/>
  <c r="AO11" i="9"/>
  <c r="AM11" i="9"/>
  <c r="AO10" i="9"/>
  <c r="AM10" i="9"/>
  <c r="AO9" i="9"/>
  <c r="AM9" i="9"/>
  <c r="AO8" i="9"/>
  <c r="AM8" i="9"/>
  <c r="AQ8" i="9" s="1"/>
  <c r="DJ9" i="3"/>
  <c r="DJ10" i="3"/>
  <c r="DJ11" i="3"/>
  <c r="DJ12" i="3"/>
  <c r="DJ13" i="3"/>
  <c r="DJ14" i="3"/>
  <c r="DJ8" i="3"/>
  <c r="DA16" i="3"/>
  <c r="CX16" i="3"/>
  <c r="DE14" i="3"/>
  <c r="DC14" i="3"/>
  <c r="DE13" i="3"/>
  <c r="DC13" i="3"/>
  <c r="DE12" i="3"/>
  <c r="DC12" i="3"/>
  <c r="DE11" i="3"/>
  <c r="DC11" i="3"/>
  <c r="DE10" i="3"/>
  <c r="DC10" i="3"/>
  <c r="DE9" i="3"/>
  <c r="DC9" i="3"/>
  <c r="DE8" i="3"/>
  <c r="DC8" i="3"/>
  <c r="CR14" i="3"/>
  <c r="CT14" i="3"/>
  <c r="CP16" i="3"/>
  <c r="CM16" i="3"/>
  <c r="CT13" i="3"/>
  <c r="CR13" i="3"/>
  <c r="CT12" i="3"/>
  <c r="CR12" i="3"/>
  <c r="CT11" i="3"/>
  <c r="CR11" i="3"/>
  <c r="CO11" i="3"/>
  <c r="CT10" i="3"/>
  <c r="CR10" i="3"/>
  <c r="CO10" i="3"/>
  <c r="CT9" i="3"/>
  <c r="CR9" i="3"/>
  <c r="CO9" i="3"/>
  <c r="CT8" i="3"/>
  <c r="CR8" i="3"/>
  <c r="CE18" i="3"/>
  <c r="CB18" i="3"/>
  <c r="CI16" i="3"/>
  <c r="CG16" i="3"/>
  <c r="CI15" i="3"/>
  <c r="CG15" i="3"/>
  <c r="CI14" i="3"/>
  <c r="CG14" i="3"/>
  <c r="CI13" i="3"/>
  <c r="CG13" i="3"/>
  <c r="CI12" i="3"/>
  <c r="CG12" i="3"/>
  <c r="CI11" i="3"/>
  <c r="CG11" i="3"/>
  <c r="CD11" i="3"/>
  <c r="CI10" i="3"/>
  <c r="CG10" i="3"/>
  <c r="CD10" i="3"/>
  <c r="CI9" i="3"/>
  <c r="CG9" i="3"/>
  <c r="CD9" i="3"/>
  <c r="CI8" i="3"/>
  <c r="CG8" i="3"/>
  <c r="BT18" i="3"/>
  <c r="BQ18" i="3"/>
  <c r="BX16" i="3"/>
  <c r="BV16" i="3"/>
  <c r="BX15" i="3"/>
  <c r="BV15" i="3"/>
  <c r="BX14" i="3"/>
  <c r="BV14" i="3"/>
  <c r="BX13" i="3"/>
  <c r="BV13" i="3"/>
  <c r="BS13" i="3"/>
  <c r="BX12" i="3"/>
  <c r="BV12" i="3"/>
  <c r="BS12" i="3"/>
  <c r="BX11" i="3"/>
  <c r="BV11" i="3"/>
  <c r="BS11" i="3"/>
  <c r="BX10" i="3"/>
  <c r="BV10" i="3"/>
  <c r="BS10" i="3"/>
  <c r="BX9" i="3"/>
  <c r="BV9" i="3"/>
  <c r="BS9" i="3"/>
  <c r="BX8" i="3"/>
  <c r="BV8" i="3"/>
  <c r="BI18" i="3"/>
  <c r="BF18" i="3"/>
  <c r="BM16" i="3"/>
  <c r="BK16" i="3"/>
  <c r="BM15" i="3"/>
  <c r="BK15" i="3"/>
  <c r="BM14" i="3"/>
  <c r="BK14" i="3"/>
  <c r="BH14" i="3"/>
  <c r="BM13" i="3"/>
  <c r="BK13" i="3"/>
  <c r="BH13" i="3"/>
  <c r="BM12" i="3"/>
  <c r="BK12" i="3"/>
  <c r="BH12" i="3"/>
  <c r="BM11" i="3"/>
  <c r="BK11" i="3"/>
  <c r="BH11" i="3"/>
  <c r="BM10" i="3"/>
  <c r="BK10" i="3"/>
  <c r="BH10" i="3"/>
  <c r="BM9" i="3"/>
  <c r="BK9" i="3"/>
  <c r="BH9" i="3"/>
  <c r="BM8" i="3"/>
  <c r="BK8" i="3"/>
  <c r="AW9" i="3"/>
  <c r="AW10" i="3"/>
  <c r="AW11" i="3"/>
  <c r="AW12" i="3"/>
  <c r="AW13" i="3"/>
  <c r="AW14" i="3"/>
  <c r="AW8" i="3"/>
  <c r="AZ14" i="3"/>
  <c r="BB14" i="3"/>
  <c r="AZ15" i="3"/>
  <c r="AZ16" i="3"/>
  <c r="AU18" i="3"/>
  <c r="AZ13" i="3"/>
  <c r="AZ12" i="3"/>
  <c r="BB12" i="3"/>
  <c r="AZ11" i="3"/>
  <c r="AZ10" i="3"/>
  <c r="AZ9" i="3"/>
  <c r="AZ8" i="3"/>
  <c r="AM12" i="3"/>
  <c r="AO12" i="3"/>
  <c r="AM13" i="3"/>
  <c r="AO13" i="3"/>
  <c r="AJ19" i="3"/>
  <c r="AO17" i="3"/>
  <c r="AO16" i="3"/>
  <c r="AM16" i="3"/>
  <c r="AQ17" i="3" s="1"/>
  <c r="AO15" i="3"/>
  <c r="AM15" i="3"/>
  <c r="AO14" i="3"/>
  <c r="AM14" i="3"/>
  <c r="AO11" i="3"/>
  <c r="AM11" i="3"/>
  <c r="AO10" i="3"/>
  <c r="AM10" i="3"/>
  <c r="AO9" i="3"/>
  <c r="AM9" i="3"/>
  <c r="AO8" i="3"/>
  <c r="AM8" i="3"/>
  <c r="AQ8" i="3" s="1"/>
  <c r="BB10" i="3"/>
  <c r="BB11" i="3"/>
  <c r="BB9" i="3"/>
  <c r="BB13" i="3"/>
  <c r="BB8" i="3"/>
  <c r="H105" i="2"/>
  <c r="Q93" i="3"/>
  <c r="Q58" i="3"/>
  <c r="Q58" i="5"/>
  <c r="AC58" i="5" s="1"/>
  <c r="AI23" i="15"/>
  <c r="AJ23" i="15"/>
  <c r="AH23" i="15"/>
  <c r="AU23" i="15"/>
  <c r="AO23" i="15"/>
  <c r="AP23" i="15"/>
  <c r="AQ23" i="15"/>
  <c r="AR23" i="15"/>
  <c r="AS23" i="15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Z24" i="21"/>
  <c r="Y24" i="21"/>
  <c r="X24" i="21"/>
  <c r="W24" i="21"/>
  <c r="Z23" i="21"/>
  <c r="Y23" i="21"/>
  <c r="X23" i="21"/>
  <c r="W23" i="21"/>
  <c r="AH22" i="21"/>
  <c r="Y22" i="21"/>
  <c r="X22" i="21"/>
  <c r="W22" i="21"/>
  <c r="AE21" i="21"/>
  <c r="AD21" i="21"/>
  <c r="Z21" i="21"/>
  <c r="Y21" i="21"/>
  <c r="X21" i="21"/>
  <c r="W21" i="21"/>
  <c r="B6943" i="22"/>
  <c r="B6942" i="22"/>
  <c r="B6941" i="22"/>
  <c r="B6940" i="22"/>
  <c r="B6939" i="22"/>
  <c r="B6938" i="22"/>
  <c r="B6937" i="22"/>
  <c r="B6936" i="22"/>
  <c r="B6935" i="22"/>
  <c r="B6934" i="22"/>
  <c r="B6933" i="22"/>
  <c r="B6932" i="22"/>
  <c r="B6931" i="22"/>
  <c r="B6930" i="22"/>
  <c r="B6929" i="22"/>
  <c r="B6928" i="22"/>
  <c r="B6927" i="22"/>
  <c r="B6926" i="22"/>
  <c r="B6925" i="22"/>
  <c r="B6924" i="22"/>
  <c r="B6923" i="22"/>
  <c r="B6922" i="22"/>
  <c r="B6921" i="22"/>
  <c r="B6920" i="22"/>
  <c r="B6919" i="22"/>
  <c r="B6918" i="22"/>
  <c r="B6917" i="22"/>
  <c r="B6916" i="22"/>
  <c r="B6915" i="22"/>
  <c r="B6914" i="22"/>
  <c r="B6913" i="22"/>
  <c r="B6912" i="22"/>
  <c r="B6911" i="22"/>
  <c r="B6910" i="22"/>
  <c r="B6909" i="22"/>
  <c r="B6908" i="22"/>
  <c r="B6907" i="22"/>
  <c r="B6906" i="22"/>
  <c r="B6905" i="22"/>
  <c r="B6904" i="22"/>
  <c r="B6903" i="22"/>
  <c r="B6902" i="22"/>
  <c r="B6901" i="22"/>
  <c r="B6900" i="22"/>
  <c r="B6899" i="22"/>
  <c r="B6898" i="22"/>
  <c r="B6897" i="22"/>
  <c r="B6896" i="22"/>
  <c r="B6895" i="22"/>
  <c r="B6894" i="22"/>
  <c r="B6893" i="22"/>
  <c r="B6892" i="22"/>
  <c r="B6891" i="22"/>
  <c r="B6890" i="22"/>
  <c r="B6889" i="22"/>
  <c r="B6888" i="22"/>
  <c r="B6887" i="22"/>
  <c r="B6886" i="22"/>
  <c r="B6885" i="22"/>
  <c r="B6884" i="22"/>
  <c r="B6883" i="22"/>
  <c r="B6882" i="22"/>
  <c r="B6881" i="22"/>
  <c r="B6880" i="22"/>
  <c r="B6879" i="22"/>
  <c r="B6878" i="22"/>
  <c r="B6877" i="22"/>
  <c r="B6876" i="22"/>
  <c r="B6875" i="22"/>
  <c r="B6874" i="22"/>
  <c r="B6873" i="22"/>
  <c r="B6872" i="22"/>
  <c r="B6871" i="22"/>
  <c r="B6870" i="22"/>
  <c r="B6869" i="22"/>
  <c r="B6868" i="22"/>
  <c r="B6867" i="22"/>
  <c r="B6866" i="22"/>
  <c r="B6865" i="22"/>
  <c r="B6864" i="22"/>
  <c r="B6863" i="22"/>
  <c r="B6862" i="22"/>
  <c r="B6861" i="22"/>
  <c r="B6860" i="22"/>
  <c r="B6859" i="22"/>
  <c r="B6858" i="22"/>
  <c r="B6857" i="22"/>
  <c r="B6856" i="22"/>
  <c r="B6855" i="22"/>
  <c r="B6854" i="22"/>
  <c r="B6853" i="22"/>
  <c r="B6852" i="22"/>
  <c r="B6851" i="22"/>
  <c r="B6850" i="22"/>
  <c r="B6849" i="22"/>
  <c r="B6848" i="22"/>
  <c r="B6847" i="22"/>
  <c r="B6846" i="22"/>
  <c r="B6845" i="22"/>
  <c r="B6844" i="22"/>
  <c r="B6843" i="22"/>
  <c r="B6842" i="22"/>
  <c r="B6841" i="22"/>
  <c r="B6840" i="22"/>
  <c r="B6839" i="22"/>
  <c r="B6838" i="22"/>
  <c r="B6837" i="22"/>
  <c r="B6836" i="22"/>
  <c r="B6835" i="22"/>
  <c r="B6834" i="22"/>
  <c r="B6833" i="22"/>
  <c r="B6832" i="22"/>
  <c r="B6831" i="22"/>
  <c r="B6830" i="22"/>
  <c r="B6829" i="22"/>
  <c r="B6828" i="22"/>
  <c r="B6827" i="22"/>
  <c r="B6826" i="22"/>
  <c r="B6825" i="22"/>
  <c r="B6824" i="22"/>
  <c r="B6823" i="22"/>
  <c r="B6822" i="22"/>
  <c r="B6821" i="22"/>
  <c r="B6820" i="22"/>
  <c r="B6819" i="22"/>
  <c r="B6818" i="22"/>
  <c r="B6817" i="22"/>
  <c r="B6816" i="22"/>
  <c r="B6815" i="22"/>
  <c r="B6814" i="22"/>
  <c r="B6813" i="22"/>
  <c r="B6812" i="22"/>
  <c r="B6811" i="22"/>
  <c r="B6810" i="22"/>
  <c r="B6809" i="22"/>
  <c r="B6808" i="22"/>
  <c r="B6807" i="22"/>
  <c r="B6806" i="22"/>
  <c r="B6805" i="22"/>
  <c r="B6804" i="22"/>
  <c r="B6803" i="22"/>
  <c r="B6802" i="22"/>
  <c r="B6801" i="22"/>
  <c r="B6800" i="22"/>
  <c r="B6799" i="22"/>
  <c r="B6798" i="22"/>
  <c r="B6797" i="22"/>
  <c r="B6796" i="22"/>
  <c r="B6795" i="22"/>
  <c r="B6794" i="22"/>
  <c r="B6793" i="22"/>
  <c r="B6792" i="22"/>
  <c r="B6791" i="22"/>
  <c r="B6790" i="22"/>
  <c r="B6789" i="22"/>
  <c r="B6788" i="22"/>
  <c r="B6787" i="22"/>
  <c r="B6786" i="22"/>
  <c r="B6785" i="22"/>
  <c r="B6784" i="22"/>
  <c r="B6783" i="22"/>
  <c r="B6782" i="22"/>
  <c r="B6781" i="22"/>
  <c r="B6780" i="22"/>
  <c r="B6779" i="22"/>
  <c r="B6778" i="22"/>
  <c r="B6777" i="22"/>
  <c r="B6776" i="22"/>
  <c r="B6775" i="22"/>
  <c r="B6774" i="22"/>
  <c r="B6773" i="22"/>
  <c r="B6772" i="22"/>
  <c r="B6771" i="22"/>
  <c r="B6770" i="22"/>
  <c r="B6769" i="22"/>
  <c r="B6768" i="22"/>
  <c r="B6767" i="22"/>
  <c r="B6766" i="22"/>
  <c r="B6765" i="22"/>
  <c r="B6764" i="22"/>
  <c r="B6763" i="22"/>
  <c r="B6762" i="22"/>
  <c r="B6761" i="22"/>
  <c r="B6760" i="22"/>
  <c r="B6759" i="22"/>
  <c r="B6758" i="22"/>
  <c r="B6757" i="22"/>
  <c r="B6756" i="22"/>
  <c r="B6755" i="22"/>
  <c r="B6754" i="22"/>
  <c r="B6753" i="22"/>
  <c r="B6752" i="22"/>
  <c r="B6751" i="22"/>
  <c r="B6750" i="22"/>
  <c r="B6749" i="22"/>
  <c r="B6748" i="22"/>
  <c r="B6747" i="22"/>
  <c r="B6746" i="22"/>
  <c r="B6745" i="22"/>
  <c r="B6744" i="22"/>
  <c r="B6743" i="22"/>
  <c r="B6742" i="22"/>
  <c r="B6741" i="22"/>
  <c r="B6740" i="22"/>
  <c r="B6739" i="22"/>
  <c r="B6738" i="22"/>
  <c r="B6737" i="22"/>
  <c r="B6736" i="22"/>
  <c r="B6735" i="22"/>
  <c r="B6734" i="22"/>
  <c r="B6733" i="22"/>
  <c r="B6732" i="22"/>
  <c r="B6731" i="22"/>
  <c r="B6730" i="22"/>
  <c r="B6729" i="22"/>
  <c r="B6728" i="22"/>
  <c r="B6727" i="22"/>
  <c r="B6726" i="22"/>
  <c r="B6725" i="22"/>
  <c r="B6724" i="22"/>
  <c r="B6723" i="22"/>
  <c r="B6722" i="22"/>
  <c r="B6721" i="22"/>
  <c r="B6720" i="22"/>
  <c r="B6719" i="22"/>
  <c r="B6718" i="22"/>
  <c r="B6717" i="22"/>
  <c r="B6716" i="22"/>
  <c r="B6715" i="22"/>
  <c r="B6714" i="22"/>
  <c r="B6713" i="22"/>
  <c r="B6712" i="22"/>
  <c r="B6711" i="22"/>
  <c r="B6710" i="22"/>
  <c r="B6709" i="22"/>
  <c r="B6708" i="22"/>
  <c r="B6707" i="22"/>
  <c r="B6706" i="22"/>
  <c r="B6705" i="22"/>
  <c r="B6704" i="22"/>
  <c r="B6703" i="22"/>
  <c r="B6702" i="22"/>
  <c r="B6701" i="22"/>
  <c r="B6700" i="22"/>
  <c r="B6699" i="22"/>
  <c r="B6698" i="22"/>
  <c r="B6697" i="22"/>
  <c r="B6696" i="22"/>
  <c r="B6695" i="22"/>
  <c r="B6694" i="22"/>
  <c r="B6693" i="22"/>
  <c r="B6692" i="22"/>
  <c r="B6691" i="22"/>
  <c r="B6690" i="22"/>
  <c r="B6689" i="22"/>
  <c r="B6688" i="22"/>
  <c r="B6687" i="22"/>
  <c r="B6686" i="22"/>
  <c r="B6685" i="22"/>
  <c r="B6684" i="22"/>
  <c r="B6683" i="22"/>
  <c r="B6682" i="22"/>
  <c r="B6681" i="22"/>
  <c r="B6680" i="22"/>
  <c r="B6679" i="22"/>
  <c r="B6678" i="22"/>
  <c r="B6677" i="22"/>
  <c r="B6676" i="22"/>
  <c r="B6675" i="22"/>
  <c r="B6674" i="22"/>
  <c r="B6673" i="22"/>
  <c r="B6672" i="22"/>
  <c r="B6671" i="22"/>
  <c r="B6670" i="22"/>
  <c r="B6669" i="22"/>
  <c r="B6668" i="22"/>
  <c r="B6667" i="22"/>
  <c r="B6666" i="22"/>
  <c r="B6665" i="22"/>
  <c r="B6664" i="22"/>
  <c r="B6663" i="22"/>
  <c r="B6662" i="22"/>
  <c r="B6661" i="22"/>
  <c r="B6660" i="22"/>
  <c r="B6659" i="22"/>
  <c r="B6658" i="22"/>
  <c r="B6657" i="22"/>
  <c r="B6656" i="22"/>
  <c r="B6655" i="22"/>
  <c r="B6654" i="22"/>
  <c r="B6653" i="22"/>
  <c r="B6652" i="22"/>
  <c r="B6651" i="22"/>
  <c r="B6650" i="22"/>
  <c r="B6649" i="22"/>
  <c r="B6648" i="22"/>
  <c r="B6647" i="22"/>
  <c r="B6646" i="22"/>
  <c r="B6645" i="22"/>
  <c r="B6644" i="22"/>
  <c r="B6643" i="22"/>
  <c r="B6642" i="22"/>
  <c r="B6641" i="22"/>
  <c r="B6640" i="22"/>
  <c r="B6639" i="22"/>
  <c r="B6638" i="22"/>
  <c r="B6637" i="22"/>
  <c r="B6636" i="22"/>
  <c r="B6635" i="22"/>
  <c r="B6634" i="22"/>
  <c r="B6633" i="22"/>
  <c r="B6632" i="22"/>
  <c r="B6631" i="22"/>
  <c r="B6630" i="22"/>
  <c r="B6629" i="22"/>
  <c r="B6628" i="22"/>
  <c r="B6627" i="22"/>
  <c r="B6626" i="22"/>
  <c r="B6625" i="22"/>
  <c r="B6624" i="22"/>
  <c r="B6623" i="22"/>
  <c r="B6622" i="22"/>
  <c r="B6621" i="22"/>
  <c r="B6620" i="22"/>
  <c r="B6619" i="22"/>
  <c r="B6618" i="22"/>
  <c r="B6617" i="22"/>
  <c r="B6616" i="22"/>
  <c r="B6615" i="22"/>
  <c r="B6614" i="22"/>
  <c r="B6613" i="22"/>
  <c r="B6612" i="22"/>
  <c r="B6611" i="22"/>
  <c r="B6610" i="22"/>
  <c r="B6609" i="22"/>
  <c r="B6608" i="22"/>
  <c r="B6607" i="22"/>
  <c r="B6606" i="22"/>
  <c r="B6605" i="22"/>
  <c r="B6604" i="22"/>
  <c r="B6603" i="22"/>
  <c r="B6602" i="22"/>
  <c r="B6601" i="22"/>
  <c r="B6600" i="22"/>
  <c r="B6599" i="22"/>
  <c r="B6598" i="22"/>
  <c r="B6597" i="22"/>
  <c r="B6596" i="22"/>
  <c r="B6595" i="22"/>
  <c r="B6594" i="22"/>
  <c r="B6593" i="22"/>
  <c r="B6592" i="22"/>
  <c r="B6591" i="22"/>
  <c r="B6590" i="22"/>
  <c r="B6589" i="22"/>
  <c r="B6588" i="22"/>
  <c r="B6587" i="22"/>
  <c r="B6586" i="22"/>
  <c r="B6585" i="22"/>
  <c r="B6584" i="22"/>
  <c r="B6583" i="22"/>
  <c r="B6582" i="22"/>
  <c r="B6581" i="22"/>
  <c r="B6580" i="22"/>
  <c r="B6579" i="22"/>
  <c r="B6578" i="22"/>
  <c r="B6577" i="22"/>
  <c r="B6576" i="22"/>
  <c r="B6575" i="22"/>
  <c r="B6574" i="22"/>
  <c r="B6573" i="22"/>
  <c r="B6572" i="22"/>
  <c r="B6571" i="22"/>
  <c r="B6570" i="22"/>
  <c r="B6569" i="22"/>
  <c r="B6568" i="22"/>
  <c r="B6567" i="22"/>
  <c r="B6566" i="22"/>
  <c r="B6565" i="22"/>
  <c r="B6564" i="22"/>
  <c r="B6563" i="22"/>
  <c r="B6562" i="22"/>
  <c r="B6561" i="22"/>
  <c r="B6560" i="22"/>
  <c r="B6559" i="22"/>
  <c r="B6558" i="22"/>
  <c r="B6557" i="22"/>
  <c r="B6556" i="22"/>
  <c r="B6555" i="22"/>
  <c r="B6554" i="22"/>
  <c r="B6553" i="22"/>
  <c r="B6552" i="22"/>
  <c r="B6551" i="22"/>
  <c r="B6550" i="22"/>
  <c r="B6549" i="22"/>
  <c r="B6548" i="22"/>
  <c r="B6547" i="22"/>
  <c r="B6546" i="22"/>
  <c r="B6545" i="22"/>
  <c r="B6544" i="22"/>
  <c r="B6543" i="22"/>
  <c r="B6542" i="22"/>
  <c r="B6541" i="22"/>
  <c r="B6540" i="22"/>
  <c r="B6539" i="22"/>
  <c r="B6538" i="22"/>
  <c r="B6537" i="22"/>
  <c r="B6536" i="22"/>
  <c r="B6535" i="22"/>
  <c r="B6534" i="22"/>
  <c r="B6533" i="22"/>
  <c r="B6532" i="22"/>
  <c r="B6531" i="22"/>
  <c r="B6530" i="22"/>
  <c r="B6529" i="22"/>
  <c r="B6528" i="22"/>
  <c r="B6527" i="22"/>
  <c r="B6526" i="22"/>
  <c r="B6525" i="22"/>
  <c r="B6524" i="22"/>
  <c r="B6523" i="22"/>
  <c r="B6522" i="22"/>
  <c r="B6521" i="22"/>
  <c r="B6520" i="22"/>
  <c r="B6519" i="22"/>
  <c r="B6518" i="22"/>
  <c r="B6517" i="22"/>
  <c r="B6516" i="22"/>
  <c r="B6515" i="22"/>
  <c r="B6514" i="22"/>
  <c r="B6513" i="22"/>
  <c r="B6512" i="22"/>
  <c r="B6511" i="22"/>
  <c r="B6510" i="22"/>
  <c r="B6509" i="22"/>
  <c r="B6508" i="22"/>
  <c r="B6507" i="22"/>
  <c r="B6506" i="22"/>
  <c r="B6505" i="22"/>
  <c r="B6504" i="22"/>
  <c r="B6503" i="22"/>
  <c r="B6502" i="22"/>
  <c r="B6501" i="22"/>
  <c r="B6500" i="22"/>
  <c r="B6499" i="22"/>
  <c r="B6498" i="22"/>
  <c r="B6497" i="22"/>
  <c r="B6496" i="22"/>
  <c r="B6495" i="22"/>
  <c r="B6494" i="22"/>
  <c r="B6493" i="22"/>
  <c r="B6492" i="22"/>
  <c r="B6491" i="22"/>
  <c r="B6490" i="22"/>
  <c r="B6489" i="22"/>
  <c r="B6488" i="22"/>
  <c r="B6487" i="22"/>
  <c r="B6486" i="22"/>
  <c r="B6485" i="22"/>
  <c r="B6484" i="22"/>
  <c r="B6483" i="22"/>
  <c r="B6482" i="22"/>
  <c r="B6481" i="22"/>
  <c r="B6480" i="22"/>
  <c r="B6479" i="22"/>
  <c r="B6478" i="22"/>
  <c r="B6477" i="22"/>
  <c r="B6476" i="22"/>
  <c r="B6475" i="22"/>
  <c r="B6474" i="22"/>
  <c r="B6473" i="22"/>
  <c r="B6472" i="22"/>
  <c r="B6471" i="22"/>
  <c r="B6470" i="22"/>
  <c r="B6469" i="22"/>
  <c r="B6468" i="22"/>
  <c r="B6467" i="22"/>
  <c r="B6466" i="22"/>
  <c r="B6465" i="22"/>
  <c r="B6464" i="22"/>
  <c r="B6463" i="22"/>
  <c r="B6462" i="22"/>
  <c r="B6461" i="22"/>
  <c r="B6460" i="22"/>
  <c r="B6459" i="22"/>
  <c r="B6458" i="22"/>
  <c r="B6457" i="22"/>
  <c r="B6456" i="22"/>
  <c r="B6455" i="22"/>
  <c r="B6454" i="22"/>
  <c r="B6453" i="22"/>
  <c r="B6452" i="22"/>
  <c r="B6451" i="22"/>
  <c r="B6450" i="22"/>
  <c r="B6449" i="22"/>
  <c r="B6448" i="22"/>
  <c r="B6447" i="22"/>
  <c r="B6446" i="22"/>
  <c r="B6445" i="22"/>
  <c r="B6444" i="22"/>
  <c r="B6443" i="22"/>
  <c r="B6442" i="22"/>
  <c r="B6441" i="22"/>
  <c r="B6440" i="22"/>
  <c r="B6439" i="22"/>
  <c r="B6438" i="22"/>
  <c r="B6437" i="22"/>
  <c r="B6436" i="22"/>
  <c r="B6435" i="22"/>
  <c r="B6434" i="22"/>
  <c r="B6433" i="22"/>
  <c r="B6432" i="22"/>
  <c r="B6431" i="22"/>
  <c r="B6430" i="22"/>
  <c r="B6429" i="22"/>
  <c r="B6428" i="22"/>
  <c r="B6427" i="22"/>
  <c r="B6426" i="22"/>
  <c r="B6425" i="22"/>
  <c r="B6424" i="22"/>
  <c r="B6423" i="22"/>
  <c r="B6422" i="22"/>
  <c r="B6421" i="22"/>
  <c r="B6420" i="22"/>
  <c r="B6419" i="22"/>
  <c r="B6418" i="22"/>
  <c r="B6417" i="22"/>
  <c r="B6416" i="22"/>
  <c r="B6415" i="22"/>
  <c r="B6414" i="22"/>
  <c r="B6413" i="22"/>
  <c r="B6412" i="22"/>
  <c r="B6411" i="22"/>
  <c r="B6410" i="22"/>
  <c r="B6409" i="22"/>
  <c r="B6408" i="22"/>
  <c r="B6407" i="22"/>
  <c r="B6406" i="22"/>
  <c r="B6405" i="22"/>
  <c r="B6404" i="22"/>
  <c r="B6403" i="22"/>
  <c r="B6402" i="22"/>
  <c r="B6401" i="22"/>
  <c r="B6400" i="22"/>
  <c r="B6399" i="22"/>
  <c r="B6398" i="22"/>
  <c r="B6397" i="22"/>
  <c r="B6396" i="22"/>
  <c r="B6395" i="22"/>
  <c r="B6394" i="22"/>
  <c r="B6393" i="22"/>
  <c r="B6392" i="22"/>
  <c r="B6391" i="22"/>
  <c r="B6390" i="22"/>
  <c r="B6389" i="22"/>
  <c r="B6388" i="22"/>
  <c r="B6387" i="22"/>
  <c r="B6386" i="22"/>
  <c r="B6385" i="22"/>
  <c r="B6384" i="22"/>
  <c r="B6383" i="22"/>
  <c r="B6382" i="22"/>
  <c r="B6381" i="22"/>
  <c r="B6380" i="22"/>
  <c r="B6379" i="22"/>
  <c r="B6378" i="22"/>
  <c r="B6377" i="22"/>
  <c r="B6376" i="22"/>
  <c r="B6375" i="22"/>
  <c r="B6374" i="22"/>
  <c r="B6373" i="22"/>
  <c r="B6372" i="22"/>
  <c r="B6371" i="22"/>
  <c r="B6370" i="22"/>
  <c r="B6369" i="22"/>
  <c r="B6368" i="22"/>
  <c r="B6367" i="22"/>
  <c r="B6366" i="22"/>
  <c r="B6365" i="22"/>
  <c r="B6364" i="22"/>
  <c r="B6363" i="22"/>
  <c r="B6362" i="22"/>
  <c r="B6361" i="22"/>
  <c r="B6360" i="22"/>
  <c r="B6359" i="22"/>
  <c r="B6358" i="22"/>
  <c r="B6357" i="22"/>
  <c r="B6356" i="22"/>
  <c r="B6355" i="22"/>
  <c r="B6354" i="22"/>
  <c r="B6353" i="22"/>
  <c r="B6352" i="22"/>
  <c r="B6351" i="22"/>
  <c r="B6350" i="22"/>
  <c r="B6349" i="22"/>
  <c r="B6348" i="22"/>
  <c r="B6347" i="22"/>
  <c r="B6346" i="22"/>
  <c r="B6345" i="22"/>
  <c r="B6344" i="22"/>
  <c r="B6343" i="22"/>
  <c r="B6342" i="22"/>
  <c r="B6341" i="22"/>
  <c r="B6340" i="22"/>
  <c r="B6339" i="22"/>
  <c r="B6338" i="22"/>
  <c r="B6337" i="22"/>
  <c r="B6336" i="22"/>
  <c r="B6335" i="22"/>
  <c r="B6334" i="22"/>
  <c r="B6333" i="22"/>
  <c r="B6332" i="22"/>
  <c r="B6331" i="22"/>
  <c r="B6330" i="22"/>
  <c r="B6329" i="22"/>
  <c r="B6328" i="22"/>
  <c r="B6327" i="22"/>
  <c r="B6326" i="22"/>
  <c r="B6325" i="22"/>
  <c r="B6324" i="22"/>
  <c r="B6323" i="22"/>
  <c r="B6322" i="22"/>
  <c r="B6321" i="22"/>
  <c r="B6320" i="22"/>
  <c r="B6319" i="22"/>
  <c r="B6318" i="22"/>
  <c r="B6317" i="22"/>
  <c r="B6316" i="22"/>
  <c r="B6315" i="22"/>
  <c r="B6314" i="22"/>
  <c r="B6313" i="22"/>
  <c r="B6312" i="22"/>
  <c r="B6311" i="22"/>
  <c r="B6310" i="22"/>
  <c r="B6309" i="22"/>
  <c r="B6308" i="22"/>
  <c r="B6307" i="22"/>
  <c r="B6306" i="22"/>
  <c r="B6305" i="22"/>
  <c r="B6304" i="22"/>
  <c r="B6303" i="22"/>
  <c r="B6302" i="22"/>
  <c r="B6301" i="22"/>
  <c r="B6300" i="22"/>
  <c r="B6299" i="22"/>
  <c r="B6298" i="22"/>
  <c r="B6297" i="22"/>
  <c r="B6296" i="22"/>
  <c r="B6295" i="22"/>
  <c r="B6294" i="22"/>
  <c r="B6293" i="22"/>
  <c r="B6292" i="22"/>
  <c r="B6291" i="22"/>
  <c r="B6290" i="22"/>
  <c r="B6289" i="22"/>
  <c r="B6288" i="22"/>
  <c r="B6287" i="22"/>
  <c r="B6286" i="22"/>
  <c r="B6285" i="22"/>
  <c r="B6284" i="22"/>
  <c r="B6283" i="22"/>
  <c r="B6282" i="22"/>
  <c r="B6281" i="22"/>
  <c r="B6280" i="22"/>
  <c r="B6279" i="22"/>
  <c r="B6278" i="22"/>
  <c r="B6277" i="22"/>
  <c r="B6276" i="22"/>
  <c r="B6275" i="22"/>
  <c r="B6274" i="22"/>
  <c r="B6273" i="22"/>
  <c r="B6272" i="22"/>
  <c r="B6271" i="22"/>
  <c r="B6270" i="22"/>
  <c r="B6269" i="22"/>
  <c r="B6268" i="22"/>
  <c r="B6267" i="22"/>
  <c r="B6266" i="22"/>
  <c r="B6265" i="22"/>
  <c r="B6264" i="22"/>
  <c r="B6263" i="22"/>
  <c r="B6262" i="22"/>
  <c r="B6261" i="22"/>
  <c r="B6260" i="22"/>
  <c r="B6259" i="22"/>
  <c r="B6258" i="22"/>
  <c r="B6257" i="22"/>
  <c r="B6256" i="22"/>
  <c r="B6255" i="22"/>
  <c r="B6254" i="22"/>
  <c r="B6253" i="22"/>
  <c r="B6252" i="22"/>
  <c r="B6251" i="22"/>
  <c r="B6250" i="22"/>
  <c r="B6249" i="22"/>
  <c r="B6248" i="22"/>
  <c r="B6247" i="22"/>
  <c r="B6246" i="22"/>
  <c r="B6245" i="22"/>
  <c r="B6244" i="22"/>
  <c r="B6243" i="22"/>
  <c r="B6242" i="22"/>
  <c r="B6241" i="22"/>
  <c r="B6240" i="22"/>
  <c r="B6239" i="22"/>
  <c r="B6238" i="22"/>
  <c r="B6237" i="22"/>
  <c r="B6236" i="22"/>
  <c r="B6235" i="22"/>
  <c r="B6234" i="22"/>
  <c r="B6233" i="22"/>
  <c r="B6232" i="22"/>
  <c r="B6231" i="22"/>
  <c r="B6230" i="22"/>
  <c r="B6229" i="22"/>
  <c r="B6228" i="22"/>
  <c r="B6227" i="22"/>
  <c r="B6226" i="22"/>
  <c r="B6225" i="22"/>
  <c r="B6224" i="22"/>
  <c r="B6223" i="22"/>
  <c r="B6222" i="22"/>
  <c r="B6221" i="22"/>
  <c r="B6220" i="22"/>
  <c r="B6219" i="22"/>
  <c r="B6218" i="22"/>
  <c r="B6217" i="22"/>
  <c r="B6216" i="22"/>
  <c r="B6215" i="22"/>
  <c r="B6214" i="22"/>
  <c r="B6213" i="22"/>
  <c r="B6212" i="22"/>
  <c r="B6211" i="22"/>
  <c r="B6210" i="22"/>
  <c r="B6209" i="22"/>
  <c r="B6208" i="22"/>
  <c r="B6207" i="22"/>
  <c r="B6206" i="22"/>
  <c r="B6205" i="22"/>
  <c r="B6204" i="22"/>
  <c r="B6203" i="22"/>
  <c r="B6202" i="22"/>
  <c r="B6201" i="22"/>
  <c r="B6200" i="22"/>
  <c r="B6199" i="22"/>
  <c r="B6198" i="22"/>
  <c r="B6197" i="22"/>
  <c r="B6196" i="22"/>
  <c r="B6195" i="22"/>
  <c r="B6194" i="22"/>
  <c r="B6193" i="22"/>
  <c r="B6192" i="22"/>
  <c r="B6191" i="22"/>
  <c r="B6190" i="22"/>
  <c r="B6189" i="22"/>
  <c r="B6188" i="22"/>
  <c r="B6187" i="22"/>
  <c r="B6186" i="22"/>
  <c r="B6185" i="22"/>
  <c r="B6184" i="22"/>
  <c r="B6183" i="22"/>
  <c r="B6182" i="22"/>
  <c r="B6181" i="22"/>
  <c r="B6180" i="22"/>
  <c r="B6179" i="22"/>
  <c r="B6178" i="22"/>
  <c r="B6177" i="22"/>
  <c r="B6176" i="22"/>
  <c r="B6175" i="22"/>
  <c r="B6174" i="22"/>
  <c r="B6173" i="22"/>
  <c r="B6172" i="22"/>
  <c r="B6171" i="22"/>
  <c r="B6170" i="22"/>
  <c r="B6169" i="22"/>
  <c r="B6168" i="22"/>
  <c r="B6167" i="22"/>
  <c r="B6166" i="22"/>
  <c r="B6165" i="22"/>
  <c r="B6164" i="22"/>
  <c r="B6163" i="22"/>
  <c r="B6162" i="22"/>
  <c r="B6161" i="22"/>
  <c r="B6160" i="22"/>
  <c r="B6159" i="22"/>
  <c r="B6158" i="22"/>
  <c r="B6157" i="22"/>
  <c r="B6156" i="22"/>
  <c r="B6155" i="22"/>
  <c r="B6154" i="22"/>
  <c r="B6153" i="22"/>
  <c r="B6152" i="22"/>
  <c r="B6151" i="22"/>
  <c r="B6150" i="22"/>
  <c r="B6149" i="22"/>
  <c r="B6148" i="22"/>
  <c r="B6147" i="22"/>
  <c r="B6146" i="22"/>
  <c r="B6145" i="22"/>
  <c r="B6144" i="22"/>
  <c r="B6143" i="22"/>
  <c r="B6142" i="22"/>
  <c r="B6141" i="22"/>
  <c r="B6140" i="22"/>
  <c r="B6139" i="22"/>
  <c r="B6138" i="22"/>
  <c r="B6137" i="22"/>
  <c r="B6136" i="22"/>
  <c r="B6135" i="22"/>
  <c r="B6134" i="22"/>
  <c r="B6133" i="22"/>
  <c r="B6132" i="22"/>
  <c r="B6131" i="22"/>
  <c r="B6130" i="22"/>
  <c r="B6129" i="22"/>
  <c r="B6128" i="22"/>
  <c r="B6127" i="22"/>
  <c r="B6126" i="22"/>
  <c r="B6125" i="22"/>
  <c r="B6124" i="22"/>
  <c r="B6123" i="22"/>
  <c r="B6122" i="22"/>
  <c r="B6121" i="22"/>
  <c r="B6120" i="22"/>
  <c r="B6119" i="22"/>
  <c r="B6118" i="22"/>
  <c r="B6117" i="22"/>
  <c r="B6116" i="22"/>
  <c r="B6115" i="22"/>
  <c r="B6114" i="22"/>
  <c r="B6113" i="22"/>
  <c r="B6112" i="22"/>
  <c r="B6111" i="22"/>
  <c r="B6110" i="22"/>
  <c r="B6109" i="22"/>
  <c r="B6108" i="22"/>
  <c r="B6107" i="22"/>
  <c r="B6106" i="22"/>
  <c r="B6105" i="22"/>
  <c r="B6104" i="22"/>
  <c r="B6103" i="22"/>
  <c r="B6102" i="22"/>
  <c r="B6101" i="22"/>
  <c r="B6100" i="22"/>
  <c r="B6099" i="22"/>
  <c r="B6098" i="22"/>
  <c r="B6097" i="22"/>
  <c r="B6096" i="22"/>
  <c r="B6095" i="22"/>
  <c r="B6094" i="22"/>
  <c r="B6093" i="22"/>
  <c r="B6092" i="22"/>
  <c r="B6091" i="22"/>
  <c r="B6090" i="22"/>
  <c r="B6089" i="22"/>
  <c r="B6088" i="22"/>
  <c r="B6087" i="22"/>
  <c r="B6086" i="22"/>
  <c r="B6085" i="22"/>
  <c r="B6084" i="22"/>
  <c r="B6083" i="22"/>
  <c r="B6082" i="22"/>
  <c r="B6081" i="22"/>
  <c r="B6080" i="22"/>
  <c r="B6079" i="22"/>
  <c r="B6078" i="22"/>
  <c r="B6077" i="22"/>
  <c r="B6076" i="22"/>
  <c r="B6075" i="22"/>
  <c r="B6074" i="22"/>
  <c r="B6073" i="22"/>
  <c r="B6072" i="22"/>
  <c r="B6071" i="22"/>
  <c r="B6070" i="22"/>
  <c r="B6069" i="22"/>
  <c r="B6068" i="22"/>
  <c r="B6067" i="22"/>
  <c r="B6066" i="22"/>
  <c r="B6065" i="22"/>
  <c r="B6064" i="22"/>
  <c r="B6063" i="22"/>
  <c r="B6062" i="22"/>
  <c r="B6061" i="22"/>
  <c r="B6060" i="22"/>
  <c r="B6059" i="22"/>
  <c r="B6058" i="22"/>
  <c r="B6057" i="22"/>
  <c r="B6056" i="22"/>
  <c r="B6055" i="22"/>
  <c r="B6054" i="22"/>
  <c r="B6053" i="22"/>
  <c r="B6052" i="22"/>
  <c r="B6051" i="22"/>
  <c r="B6050" i="22"/>
  <c r="B6049" i="22"/>
  <c r="B6048" i="22"/>
  <c r="B6047" i="22"/>
  <c r="B6046" i="22"/>
  <c r="B6045" i="22"/>
  <c r="B6044" i="22"/>
  <c r="B6043" i="22"/>
  <c r="B6042" i="22"/>
  <c r="B6041" i="22"/>
  <c r="B6040" i="22"/>
  <c r="B6039" i="22"/>
  <c r="B6038" i="22"/>
  <c r="B6037" i="22"/>
  <c r="B6036" i="22"/>
  <c r="B6035" i="22"/>
  <c r="B6034" i="22"/>
  <c r="B6033" i="22"/>
  <c r="B6032" i="22"/>
  <c r="B6031" i="22"/>
  <c r="B6030" i="22"/>
  <c r="B6029" i="22"/>
  <c r="B6028" i="22"/>
  <c r="B6027" i="22"/>
  <c r="B6026" i="22"/>
  <c r="B6025" i="22"/>
  <c r="B6024" i="22"/>
  <c r="B6023" i="22"/>
  <c r="B6022" i="22"/>
  <c r="B6021" i="22"/>
  <c r="B6020" i="22"/>
  <c r="B6019" i="22"/>
  <c r="B6018" i="22"/>
  <c r="B6017" i="22"/>
  <c r="B6016" i="22"/>
  <c r="B6015" i="22"/>
  <c r="B6014" i="22"/>
  <c r="B6013" i="22"/>
  <c r="B6012" i="22"/>
  <c r="B6011" i="22"/>
  <c r="B6010" i="22"/>
  <c r="B6009" i="22"/>
  <c r="B6008" i="22"/>
  <c r="B6007" i="22"/>
  <c r="B6006" i="22"/>
  <c r="B6005" i="22"/>
  <c r="B6004" i="22"/>
  <c r="B6003" i="22"/>
  <c r="B6002" i="22"/>
  <c r="B6001" i="22"/>
  <c r="B6000" i="22"/>
  <c r="B5999" i="22"/>
  <c r="B5998" i="22"/>
  <c r="B5997" i="22"/>
  <c r="B5996" i="22"/>
  <c r="B5995" i="22"/>
  <c r="B5994" i="22"/>
  <c r="B5993" i="22"/>
  <c r="B5992" i="22"/>
  <c r="B5991" i="22"/>
  <c r="B5990" i="22"/>
  <c r="B5989" i="22"/>
  <c r="B5988" i="22"/>
  <c r="B5987" i="22"/>
  <c r="B5986" i="22"/>
  <c r="B5985" i="22"/>
  <c r="B5984" i="22"/>
  <c r="B5983" i="22"/>
  <c r="B5982" i="22"/>
  <c r="B5981" i="22"/>
  <c r="B5980" i="22"/>
  <c r="B5979" i="22"/>
  <c r="B5978" i="22"/>
  <c r="B5977" i="22"/>
  <c r="B5976" i="22"/>
  <c r="B5975" i="22"/>
  <c r="B5974" i="22"/>
  <c r="B5973" i="22"/>
  <c r="B5972" i="22"/>
  <c r="B5971" i="22"/>
  <c r="B5970" i="22"/>
  <c r="B5969" i="22"/>
  <c r="B5968" i="22"/>
  <c r="B5967" i="22"/>
  <c r="B5966" i="22"/>
  <c r="B5965" i="22"/>
  <c r="B5964" i="22"/>
  <c r="B5963" i="22"/>
  <c r="B5962" i="22"/>
  <c r="B5961" i="22"/>
  <c r="B5960" i="22"/>
  <c r="B5959" i="22"/>
  <c r="B5958" i="22"/>
  <c r="B5957" i="22"/>
  <c r="B5956" i="22"/>
  <c r="B5955" i="22"/>
  <c r="B5954" i="22"/>
  <c r="B5953" i="22"/>
  <c r="B5952" i="22"/>
  <c r="B5951" i="22"/>
  <c r="B5950" i="22"/>
  <c r="B5949" i="22"/>
  <c r="B5948" i="22"/>
  <c r="B5947" i="22"/>
  <c r="B5946" i="22"/>
  <c r="B5945" i="22"/>
  <c r="B5944" i="22"/>
  <c r="B5943" i="22"/>
  <c r="B5942" i="22"/>
  <c r="B5941" i="22"/>
  <c r="B5940" i="22"/>
  <c r="B5939" i="22"/>
  <c r="B5938" i="22"/>
  <c r="B5937" i="22"/>
  <c r="B5936" i="22"/>
  <c r="B5935" i="22"/>
  <c r="B5934" i="22"/>
  <c r="B5933" i="22"/>
  <c r="B5932" i="22"/>
  <c r="B5931" i="22"/>
  <c r="B5930" i="22"/>
  <c r="B5929" i="22"/>
  <c r="B5928" i="22"/>
  <c r="B5927" i="22"/>
  <c r="B5926" i="22"/>
  <c r="B5925" i="22"/>
  <c r="B5924" i="22"/>
  <c r="B5923" i="22"/>
  <c r="B5922" i="22"/>
  <c r="B5921" i="22"/>
  <c r="B5920" i="22"/>
  <c r="B5919" i="22"/>
  <c r="B5918" i="22"/>
  <c r="B5917" i="22"/>
  <c r="B5916" i="22"/>
  <c r="B5915" i="22"/>
  <c r="B5914" i="22"/>
  <c r="B5913" i="22"/>
  <c r="B5912" i="22"/>
  <c r="B5911" i="22"/>
  <c r="B5910" i="22"/>
  <c r="B5909" i="22"/>
  <c r="B5908" i="22"/>
  <c r="B5907" i="22"/>
  <c r="B5906" i="22"/>
  <c r="B5905" i="22"/>
  <c r="B5904" i="22"/>
  <c r="B5903" i="22"/>
  <c r="B5902" i="22"/>
  <c r="B5901" i="22"/>
  <c r="B5900" i="22"/>
  <c r="B5899" i="22"/>
  <c r="B5898" i="22"/>
  <c r="B5897" i="22"/>
  <c r="B5896" i="22"/>
  <c r="B5895" i="22"/>
  <c r="B5894" i="22"/>
  <c r="B5893" i="22"/>
  <c r="B5892" i="22"/>
  <c r="B5891" i="22"/>
  <c r="B5890" i="22"/>
  <c r="B5889" i="22"/>
  <c r="B5888" i="22"/>
  <c r="B5887" i="22"/>
  <c r="B5886" i="22"/>
  <c r="B5885" i="22"/>
  <c r="B5884" i="22"/>
  <c r="B5883" i="22"/>
  <c r="B5882" i="22"/>
  <c r="B5881" i="22"/>
  <c r="B5880" i="22"/>
  <c r="B5879" i="22"/>
  <c r="B5878" i="22"/>
  <c r="B5877" i="22"/>
  <c r="B5876" i="22"/>
  <c r="B5875" i="22"/>
  <c r="B5874" i="22"/>
  <c r="B5873" i="22"/>
  <c r="B5872" i="22"/>
  <c r="B5871" i="22"/>
  <c r="B5870" i="22"/>
  <c r="B5869" i="22"/>
  <c r="B5868" i="22"/>
  <c r="B5867" i="22"/>
  <c r="B5866" i="22"/>
  <c r="B5865" i="22"/>
  <c r="B5864" i="22"/>
  <c r="B5863" i="22"/>
  <c r="B5862" i="22"/>
  <c r="B5861" i="22"/>
  <c r="B5860" i="22"/>
  <c r="B5859" i="22"/>
  <c r="B5858" i="22"/>
  <c r="B5857" i="22"/>
  <c r="B5856" i="22"/>
  <c r="B5855" i="22"/>
  <c r="B5854" i="22"/>
  <c r="B5853" i="22"/>
  <c r="B5852" i="22"/>
  <c r="B5851" i="22"/>
  <c r="B5850" i="22"/>
  <c r="B5849" i="22"/>
  <c r="B5848" i="22"/>
  <c r="B5847" i="22"/>
  <c r="B5846" i="22"/>
  <c r="B5845" i="22"/>
  <c r="B5844" i="22"/>
  <c r="B5843" i="22"/>
  <c r="B5842" i="22"/>
  <c r="B5841" i="22"/>
  <c r="B5840" i="22"/>
  <c r="B5839" i="22"/>
  <c r="B5838" i="22"/>
  <c r="B5837" i="22"/>
  <c r="B5836" i="22"/>
  <c r="B5835" i="22"/>
  <c r="B5834" i="22"/>
  <c r="B5833" i="22"/>
  <c r="B5832" i="22"/>
  <c r="B5831" i="22"/>
  <c r="B5830" i="22"/>
  <c r="B5829" i="22"/>
  <c r="B5828" i="22"/>
  <c r="B5827" i="22"/>
  <c r="B5826" i="22"/>
  <c r="B5825" i="22"/>
  <c r="B5824" i="22"/>
  <c r="B5823" i="22"/>
  <c r="B5822" i="22"/>
  <c r="B5821" i="22"/>
  <c r="B5820" i="22"/>
  <c r="B5819" i="22"/>
  <c r="B5818" i="22"/>
  <c r="B5817" i="22"/>
  <c r="B5816" i="22"/>
  <c r="B5815" i="22"/>
  <c r="B5814" i="22"/>
  <c r="B5813" i="22"/>
  <c r="B5812" i="22"/>
  <c r="B5811" i="22"/>
  <c r="B5810" i="22"/>
  <c r="B5809" i="22"/>
  <c r="B5808" i="22"/>
  <c r="B5807" i="22"/>
  <c r="B5806" i="22"/>
  <c r="B5805" i="22"/>
  <c r="B5804" i="22"/>
  <c r="B5803" i="22"/>
  <c r="B5802" i="22"/>
  <c r="B5801" i="22"/>
  <c r="B5800" i="22"/>
  <c r="B5799" i="22"/>
  <c r="B5798" i="22"/>
  <c r="B5797" i="22"/>
  <c r="B5796" i="22"/>
  <c r="B5795" i="22"/>
  <c r="B5794" i="22"/>
  <c r="B5793" i="22"/>
  <c r="B5792" i="22"/>
  <c r="B5791" i="22"/>
  <c r="B5790" i="22"/>
  <c r="B5789" i="22"/>
  <c r="B5788" i="22"/>
  <c r="B5787" i="22"/>
  <c r="B5786" i="22"/>
  <c r="B5785" i="22"/>
  <c r="B5784" i="22"/>
  <c r="B5783" i="22"/>
  <c r="B5782" i="22"/>
  <c r="B5781" i="22"/>
  <c r="B5780" i="22"/>
  <c r="B5779" i="22"/>
  <c r="B5778" i="22"/>
  <c r="B5777" i="22"/>
  <c r="B5776" i="22"/>
  <c r="B5775" i="22"/>
  <c r="B5774" i="22"/>
  <c r="B5773" i="22"/>
  <c r="B5772" i="22"/>
  <c r="B5771" i="22"/>
  <c r="B5770" i="22"/>
  <c r="B5769" i="22"/>
  <c r="B5768" i="22"/>
  <c r="B5767" i="22"/>
  <c r="B5766" i="22"/>
  <c r="B5765" i="22"/>
  <c r="B5764" i="22"/>
  <c r="B5763" i="22"/>
  <c r="B5762" i="22"/>
  <c r="B5761" i="22"/>
  <c r="B5760" i="22"/>
  <c r="B5759" i="22"/>
  <c r="B5758" i="22"/>
  <c r="B5757" i="22"/>
  <c r="B5756" i="22"/>
  <c r="B5755" i="22"/>
  <c r="B5754" i="22"/>
  <c r="B5753" i="22"/>
  <c r="B5752" i="22"/>
  <c r="B5751" i="22"/>
  <c r="B5750" i="22"/>
  <c r="B5749" i="22"/>
  <c r="B5748" i="22"/>
  <c r="B5747" i="22"/>
  <c r="B5746" i="22"/>
  <c r="B5745" i="22"/>
  <c r="B5744" i="22"/>
  <c r="B5743" i="22"/>
  <c r="B5742" i="22"/>
  <c r="B5741" i="22"/>
  <c r="B5740" i="22"/>
  <c r="B5739" i="22"/>
  <c r="B5738" i="22"/>
  <c r="B5737" i="22"/>
  <c r="B5736" i="22"/>
  <c r="B5735" i="22"/>
  <c r="B5734" i="22"/>
  <c r="B5733" i="22"/>
  <c r="B5732" i="22"/>
  <c r="B5731" i="22"/>
  <c r="B5730" i="22"/>
  <c r="B5729" i="22"/>
  <c r="B5728" i="22"/>
  <c r="B5727" i="22"/>
  <c r="B5726" i="22"/>
  <c r="B5725" i="22"/>
  <c r="B5724" i="22"/>
  <c r="B5723" i="22"/>
  <c r="B5722" i="22"/>
  <c r="B5721" i="22"/>
  <c r="B5720" i="22"/>
  <c r="B5719" i="22"/>
  <c r="B5718" i="22"/>
  <c r="B5717" i="22"/>
  <c r="B5716" i="22"/>
  <c r="B5715" i="22"/>
  <c r="B5714" i="22"/>
  <c r="B5713" i="22"/>
  <c r="B5712" i="22"/>
  <c r="B5711" i="22"/>
  <c r="B5710" i="22"/>
  <c r="B5709" i="22"/>
  <c r="B5708" i="22"/>
  <c r="B5707" i="22"/>
  <c r="B5706" i="22"/>
  <c r="B5705" i="22"/>
  <c r="B5704" i="22"/>
  <c r="B5703" i="22"/>
  <c r="B5702" i="22"/>
  <c r="B5701" i="22"/>
  <c r="B5700" i="22"/>
  <c r="B5699" i="22"/>
  <c r="B5698" i="22"/>
  <c r="B5697" i="22"/>
  <c r="B5696" i="22"/>
  <c r="B5695" i="22"/>
  <c r="B5694" i="22"/>
  <c r="B5693" i="22"/>
  <c r="B5692" i="22"/>
  <c r="B5691" i="22"/>
  <c r="B5690" i="22"/>
  <c r="B5689" i="22"/>
  <c r="B5688" i="22"/>
  <c r="B5687" i="22"/>
  <c r="B5686" i="22"/>
  <c r="B5685" i="22"/>
  <c r="B5684" i="22"/>
  <c r="B5683" i="22"/>
  <c r="B5682" i="22"/>
  <c r="B5681" i="22"/>
  <c r="B5680" i="22"/>
  <c r="B5679" i="22"/>
  <c r="B5678" i="22"/>
  <c r="B5677" i="22"/>
  <c r="B5676" i="22"/>
  <c r="B5675" i="22"/>
  <c r="B5674" i="22"/>
  <c r="B5673" i="22"/>
  <c r="B5672" i="22"/>
  <c r="B5671" i="22"/>
  <c r="B5670" i="22"/>
  <c r="B5669" i="22"/>
  <c r="B5668" i="22"/>
  <c r="B5667" i="22"/>
  <c r="B5666" i="22"/>
  <c r="B5665" i="22"/>
  <c r="B5664" i="22"/>
  <c r="B5663" i="22"/>
  <c r="B5662" i="22"/>
  <c r="B5661" i="22"/>
  <c r="B5660" i="22"/>
  <c r="B5659" i="22"/>
  <c r="B5658" i="22"/>
  <c r="B5657" i="22"/>
  <c r="B5656" i="22"/>
  <c r="B5655" i="22"/>
  <c r="B5654" i="22"/>
  <c r="B5653" i="22"/>
  <c r="B5652" i="22"/>
  <c r="B5651" i="22"/>
  <c r="B5650" i="22"/>
  <c r="B5649" i="22"/>
  <c r="B5648" i="22"/>
  <c r="B5647" i="22"/>
  <c r="B5646" i="22"/>
  <c r="B5645" i="22"/>
  <c r="B5644" i="22"/>
  <c r="B5643" i="22"/>
  <c r="B5642" i="22"/>
  <c r="B5641" i="22"/>
  <c r="B5640" i="22"/>
  <c r="B5639" i="22"/>
  <c r="B5638" i="22"/>
  <c r="B5637" i="22"/>
  <c r="B5636" i="22"/>
  <c r="B5635" i="22"/>
  <c r="B5634" i="22"/>
  <c r="B5633" i="22"/>
  <c r="B5632" i="22"/>
  <c r="B5631" i="22"/>
  <c r="B5630" i="22"/>
  <c r="B5629" i="22"/>
  <c r="B5628" i="22"/>
  <c r="B5627" i="22"/>
  <c r="B5626" i="22"/>
  <c r="B5625" i="22"/>
  <c r="B5624" i="22"/>
  <c r="B5623" i="22"/>
  <c r="B5622" i="22"/>
  <c r="B5621" i="22"/>
  <c r="B5620" i="22"/>
  <c r="B5619" i="22"/>
  <c r="B5618" i="22"/>
  <c r="B5617" i="22"/>
  <c r="B5616" i="22"/>
  <c r="B5615" i="22"/>
  <c r="B5614" i="22"/>
  <c r="B5613" i="22"/>
  <c r="B5612" i="22"/>
  <c r="B5611" i="22"/>
  <c r="B5610" i="22"/>
  <c r="B5609" i="22"/>
  <c r="B5608" i="22"/>
  <c r="B5607" i="22"/>
  <c r="B5606" i="22"/>
  <c r="B5605" i="22"/>
  <c r="B5604" i="22"/>
  <c r="B5603" i="22"/>
  <c r="B5602" i="22"/>
  <c r="B5601" i="22"/>
  <c r="B5600" i="22"/>
  <c r="B5599" i="22"/>
  <c r="B5598" i="22"/>
  <c r="B5597" i="22"/>
  <c r="B5596" i="22"/>
  <c r="B5595" i="22"/>
  <c r="B5594" i="22"/>
  <c r="B5593" i="22"/>
  <c r="B5592" i="22"/>
  <c r="B5591" i="22"/>
  <c r="B5590" i="22"/>
  <c r="B5589" i="22"/>
  <c r="B5588" i="22"/>
  <c r="B5587" i="22"/>
  <c r="B5586" i="22"/>
  <c r="B5585" i="22"/>
  <c r="B5584" i="22"/>
  <c r="B5583" i="22"/>
  <c r="B5582" i="22"/>
  <c r="B5581" i="22"/>
  <c r="B5580" i="22"/>
  <c r="B5579" i="22"/>
  <c r="B5578" i="22"/>
  <c r="B5577" i="22"/>
  <c r="B5576" i="22"/>
  <c r="B5575" i="22"/>
  <c r="B5574" i="22"/>
  <c r="B5573" i="22"/>
  <c r="B5572" i="22"/>
  <c r="B5571" i="22"/>
  <c r="B5570" i="22"/>
  <c r="B5569" i="22"/>
  <c r="B5568" i="22"/>
  <c r="B5567" i="22"/>
  <c r="B5566" i="22"/>
  <c r="B5565" i="22"/>
  <c r="B5564" i="22"/>
  <c r="B5563" i="22"/>
  <c r="B5562" i="22"/>
  <c r="B5561" i="22"/>
  <c r="B5560" i="22"/>
  <c r="B5559" i="22"/>
  <c r="B5558" i="22"/>
  <c r="B5557" i="22"/>
  <c r="B5556" i="22"/>
  <c r="B5555" i="22"/>
  <c r="B5554" i="22"/>
  <c r="B5553" i="22"/>
  <c r="B5552" i="22"/>
  <c r="B5551" i="22"/>
  <c r="B5550" i="22"/>
  <c r="B5549" i="22"/>
  <c r="B5548" i="22"/>
  <c r="B5547" i="22"/>
  <c r="B5546" i="22"/>
  <c r="B5545" i="22"/>
  <c r="B5544" i="22"/>
  <c r="B5543" i="22"/>
  <c r="B5542" i="22"/>
  <c r="B5541" i="22"/>
  <c r="B5540" i="22"/>
  <c r="B5539" i="22"/>
  <c r="B5538" i="22"/>
  <c r="B5537" i="22"/>
  <c r="B5536" i="22"/>
  <c r="B5535" i="22"/>
  <c r="B5534" i="22"/>
  <c r="B5533" i="22"/>
  <c r="B5532" i="22"/>
  <c r="B5531" i="22"/>
  <c r="B5530" i="22"/>
  <c r="B5529" i="22"/>
  <c r="B5528" i="22"/>
  <c r="B5527" i="22"/>
  <c r="B5526" i="22"/>
  <c r="B5525" i="22"/>
  <c r="B5524" i="22"/>
  <c r="B5523" i="22"/>
  <c r="B5522" i="22"/>
  <c r="B5521" i="22"/>
  <c r="B5520" i="22"/>
  <c r="B5519" i="22"/>
  <c r="B5518" i="22"/>
  <c r="B5517" i="22"/>
  <c r="B5516" i="22"/>
  <c r="B5515" i="22"/>
  <c r="B5514" i="22"/>
  <c r="B5513" i="22"/>
  <c r="B5512" i="22"/>
  <c r="B5511" i="22"/>
  <c r="B5510" i="22"/>
  <c r="B5509" i="22"/>
  <c r="B5508" i="22"/>
  <c r="B5507" i="22"/>
  <c r="B5506" i="22"/>
  <c r="B5505" i="22"/>
  <c r="B5504" i="22"/>
  <c r="B5503" i="22"/>
  <c r="B5502" i="22"/>
  <c r="B5501" i="22"/>
  <c r="B5500" i="22"/>
  <c r="B5499" i="22"/>
  <c r="B5498" i="22"/>
  <c r="B5497" i="22"/>
  <c r="B5496" i="22"/>
  <c r="B5495" i="22"/>
  <c r="B5494" i="22"/>
  <c r="B5493" i="22"/>
  <c r="B5492" i="22"/>
  <c r="B5491" i="22"/>
  <c r="B5490" i="22"/>
  <c r="B5489" i="22"/>
  <c r="B5488" i="22"/>
  <c r="B5487" i="22"/>
  <c r="B5486" i="22"/>
  <c r="B5485" i="22"/>
  <c r="B5484" i="22"/>
  <c r="B5483" i="22"/>
  <c r="B5482" i="22"/>
  <c r="B5481" i="22"/>
  <c r="B5480" i="22"/>
  <c r="B5479" i="22"/>
  <c r="B5478" i="22"/>
  <c r="B5477" i="22"/>
  <c r="B5476" i="22"/>
  <c r="B5475" i="22"/>
  <c r="B5474" i="22"/>
  <c r="B5473" i="22"/>
  <c r="B5472" i="22"/>
  <c r="B5471" i="22"/>
  <c r="B5470" i="22"/>
  <c r="B5469" i="22"/>
  <c r="B5468" i="22"/>
  <c r="B5467" i="22"/>
  <c r="B5466" i="22"/>
  <c r="B5465" i="22"/>
  <c r="B5464" i="22"/>
  <c r="B5463" i="22"/>
  <c r="B5462" i="22"/>
  <c r="B5461" i="22"/>
  <c r="B5460" i="22"/>
  <c r="B5459" i="22"/>
  <c r="B5458" i="22"/>
  <c r="B5457" i="22"/>
  <c r="B5456" i="22"/>
  <c r="B5455" i="22"/>
  <c r="B5454" i="22"/>
  <c r="B5453" i="22"/>
  <c r="B5452" i="22"/>
  <c r="B5451" i="22"/>
  <c r="B5450" i="22"/>
  <c r="B5449" i="22"/>
  <c r="B5448" i="22"/>
  <c r="B5447" i="22"/>
  <c r="B5446" i="22"/>
  <c r="B5445" i="22"/>
  <c r="B5444" i="22"/>
  <c r="B5443" i="22"/>
  <c r="B5442" i="22"/>
  <c r="B5441" i="22"/>
  <c r="B5440" i="22"/>
  <c r="B5439" i="22"/>
  <c r="B5438" i="22"/>
  <c r="B5437" i="22"/>
  <c r="B5436" i="22"/>
  <c r="B5435" i="22"/>
  <c r="B5434" i="22"/>
  <c r="B5433" i="22"/>
  <c r="B5432" i="22"/>
  <c r="B5431" i="22"/>
  <c r="B5430" i="22"/>
  <c r="B5429" i="22"/>
  <c r="B5428" i="22"/>
  <c r="B5427" i="22"/>
  <c r="B5426" i="22"/>
  <c r="B5425" i="22"/>
  <c r="B5424" i="22"/>
  <c r="B5423" i="22"/>
  <c r="B5422" i="22"/>
  <c r="B5421" i="22"/>
  <c r="B5420" i="22"/>
  <c r="B5419" i="22"/>
  <c r="B5418" i="22"/>
  <c r="B5417" i="22"/>
  <c r="B5416" i="22"/>
  <c r="B5415" i="22"/>
  <c r="B5414" i="22"/>
  <c r="B5413" i="22"/>
  <c r="B5412" i="22"/>
  <c r="B5411" i="22"/>
  <c r="B5410" i="22"/>
  <c r="B5409" i="22"/>
  <c r="B5408" i="22"/>
  <c r="B5407" i="22"/>
  <c r="B5406" i="22"/>
  <c r="B5405" i="22"/>
  <c r="B5404" i="22"/>
  <c r="B5403" i="22"/>
  <c r="B5402" i="22"/>
  <c r="B5401" i="22"/>
  <c r="B5400" i="22"/>
  <c r="B5399" i="22"/>
  <c r="B5398" i="22"/>
  <c r="B5397" i="22"/>
  <c r="B5396" i="22"/>
  <c r="B5395" i="22"/>
  <c r="B5394" i="22"/>
  <c r="B5393" i="22"/>
  <c r="B5392" i="22"/>
  <c r="B5391" i="22"/>
  <c r="B5390" i="22"/>
  <c r="B5389" i="22"/>
  <c r="B5388" i="22"/>
  <c r="B5387" i="22"/>
  <c r="B5386" i="22"/>
  <c r="B5385" i="22"/>
  <c r="B5384" i="22"/>
  <c r="B5383" i="22"/>
  <c r="B5382" i="22"/>
  <c r="B5381" i="22"/>
  <c r="B5380" i="22"/>
  <c r="B5379" i="22"/>
  <c r="B5378" i="22"/>
  <c r="B5377" i="22"/>
  <c r="B5376" i="22"/>
  <c r="B5375" i="22"/>
  <c r="B5374" i="22"/>
  <c r="B5373" i="22"/>
  <c r="B5372" i="22"/>
  <c r="B5371" i="22"/>
  <c r="B5370" i="22"/>
  <c r="B5369" i="22"/>
  <c r="B5368" i="22"/>
  <c r="B5367" i="22"/>
  <c r="B5366" i="22"/>
  <c r="B5365" i="22"/>
  <c r="B5364" i="22"/>
  <c r="B5363" i="22"/>
  <c r="B5362" i="22"/>
  <c r="B5361" i="22"/>
  <c r="B5360" i="22"/>
  <c r="B5359" i="22"/>
  <c r="B5358" i="22"/>
  <c r="B5357" i="22"/>
  <c r="B5356" i="22"/>
  <c r="B5355" i="22"/>
  <c r="B5354" i="22"/>
  <c r="B5353" i="22"/>
  <c r="B5352" i="22"/>
  <c r="B5351" i="22"/>
  <c r="B5350" i="22"/>
  <c r="B5349" i="22"/>
  <c r="B5348" i="22"/>
  <c r="B5347" i="22"/>
  <c r="B5346" i="22"/>
  <c r="B5345" i="22"/>
  <c r="B5344" i="22"/>
  <c r="B5343" i="22"/>
  <c r="B5342" i="22"/>
  <c r="B5341" i="22"/>
  <c r="B5340" i="22"/>
  <c r="B5339" i="22"/>
  <c r="B5338" i="22"/>
  <c r="B5337" i="22"/>
  <c r="B5336" i="22"/>
  <c r="B5335" i="22"/>
  <c r="B5334" i="22"/>
  <c r="B5333" i="22"/>
  <c r="B5332" i="22"/>
  <c r="B5331" i="22"/>
  <c r="B5330" i="22"/>
  <c r="B5329" i="22"/>
  <c r="B5328" i="22"/>
  <c r="B5327" i="22"/>
  <c r="B5326" i="22"/>
  <c r="B5325" i="22"/>
  <c r="B5324" i="22"/>
  <c r="B5323" i="22"/>
  <c r="B5322" i="22"/>
  <c r="B5321" i="22"/>
  <c r="B5320" i="22"/>
  <c r="B5319" i="22"/>
  <c r="B5318" i="22"/>
  <c r="B5317" i="22"/>
  <c r="B5316" i="22"/>
  <c r="B5315" i="22"/>
  <c r="B5314" i="22"/>
  <c r="B5313" i="22"/>
  <c r="B5312" i="22"/>
  <c r="B5311" i="22"/>
  <c r="B5310" i="22"/>
  <c r="B5309" i="22"/>
  <c r="B5308" i="22"/>
  <c r="B5307" i="22"/>
  <c r="B5306" i="22"/>
  <c r="B5305" i="22"/>
  <c r="B5304" i="22"/>
  <c r="B5303" i="22"/>
  <c r="B5302" i="22"/>
  <c r="B5301" i="22"/>
  <c r="B5300" i="22"/>
  <c r="B5299" i="22"/>
  <c r="B5298" i="22"/>
  <c r="B5297" i="22"/>
  <c r="B5296" i="22"/>
  <c r="B5295" i="22"/>
  <c r="B5294" i="22"/>
  <c r="B5293" i="22"/>
  <c r="B5292" i="22"/>
  <c r="B5291" i="22"/>
  <c r="B5290" i="22"/>
  <c r="B5289" i="22"/>
  <c r="B5288" i="22"/>
  <c r="B5287" i="22"/>
  <c r="B5286" i="22"/>
  <c r="B5285" i="22"/>
  <c r="B5284" i="22"/>
  <c r="B5283" i="22"/>
  <c r="B5282" i="22"/>
  <c r="B5281" i="22"/>
  <c r="B5280" i="22"/>
  <c r="B5279" i="22"/>
  <c r="B5278" i="22"/>
  <c r="B5277" i="22"/>
  <c r="B5276" i="22"/>
  <c r="B5275" i="22"/>
  <c r="B5274" i="22"/>
  <c r="B5273" i="22"/>
  <c r="B5272" i="22"/>
  <c r="B5271" i="22"/>
  <c r="B5270" i="22"/>
  <c r="B5269" i="22"/>
  <c r="B5268" i="22"/>
  <c r="B5267" i="22"/>
  <c r="B5266" i="22"/>
  <c r="B5265" i="22"/>
  <c r="B5264" i="22"/>
  <c r="B5263" i="22"/>
  <c r="B5262" i="22"/>
  <c r="B5261" i="22"/>
  <c r="B5260" i="22"/>
  <c r="B5259" i="22"/>
  <c r="B5258" i="22"/>
  <c r="B5257" i="22"/>
  <c r="B5256" i="22"/>
  <c r="B5255" i="22"/>
  <c r="B5254" i="22"/>
  <c r="B5253" i="22"/>
  <c r="B5252" i="22"/>
  <c r="B5251" i="22"/>
  <c r="B5250" i="22"/>
  <c r="B5249" i="22"/>
  <c r="B5248" i="22"/>
  <c r="B5247" i="22"/>
  <c r="B5246" i="22"/>
  <c r="B5245" i="22"/>
  <c r="B5244" i="22"/>
  <c r="B5243" i="22"/>
  <c r="B5242" i="22"/>
  <c r="B5241" i="22"/>
  <c r="B5240" i="22"/>
  <c r="B5239" i="22"/>
  <c r="B5238" i="22"/>
  <c r="B5237" i="22"/>
  <c r="B5236" i="22"/>
  <c r="B5235" i="22"/>
  <c r="B5234" i="22"/>
  <c r="B5233" i="22"/>
  <c r="B5232" i="22"/>
  <c r="B5231" i="22"/>
  <c r="B5230" i="22"/>
  <c r="B5229" i="22"/>
  <c r="B5228" i="22"/>
  <c r="B5227" i="22"/>
  <c r="B5226" i="22"/>
  <c r="B5225" i="22"/>
  <c r="B5224" i="22"/>
  <c r="B5223" i="22"/>
  <c r="B5222" i="22"/>
  <c r="B5221" i="22"/>
  <c r="B5220" i="22"/>
  <c r="B5219" i="22"/>
  <c r="B5218" i="22"/>
  <c r="B5217" i="22"/>
  <c r="B5216" i="22"/>
  <c r="B5215" i="22"/>
  <c r="B5214" i="22"/>
  <c r="B5213" i="22"/>
  <c r="B5212" i="22"/>
  <c r="B5211" i="22"/>
  <c r="B5210" i="22"/>
  <c r="B5209" i="22"/>
  <c r="B5208" i="22"/>
  <c r="B5207" i="22"/>
  <c r="B5206" i="22"/>
  <c r="B5205" i="22"/>
  <c r="B5204" i="22"/>
  <c r="B5203" i="22"/>
  <c r="B5202" i="22"/>
  <c r="B5201" i="22"/>
  <c r="B5200" i="22"/>
  <c r="B5199" i="22"/>
  <c r="B5198" i="22"/>
  <c r="B5197" i="22"/>
  <c r="B5196" i="22"/>
  <c r="B5195" i="22"/>
  <c r="B5194" i="22"/>
  <c r="B5193" i="22"/>
  <c r="B5192" i="22"/>
  <c r="B5191" i="22"/>
  <c r="B5190" i="22"/>
  <c r="B5189" i="22"/>
  <c r="B5188" i="22"/>
  <c r="B5187" i="22"/>
  <c r="B5186" i="22"/>
  <c r="B5185" i="22"/>
  <c r="B5184" i="22"/>
  <c r="B5183" i="22"/>
  <c r="B5182" i="22"/>
  <c r="B5181" i="22"/>
  <c r="B5180" i="22"/>
  <c r="B5179" i="22"/>
  <c r="B5178" i="22"/>
  <c r="B5177" i="22"/>
  <c r="B5176" i="22"/>
  <c r="B5175" i="22"/>
  <c r="B5174" i="22"/>
  <c r="B5173" i="22"/>
  <c r="B5172" i="22"/>
  <c r="B5171" i="22"/>
  <c r="B5170" i="22"/>
  <c r="B5169" i="22"/>
  <c r="B5168" i="22"/>
  <c r="B5167" i="22"/>
  <c r="B5166" i="22"/>
  <c r="B5165" i="22"/>
  <c r="B5164" i="22"/>
  <c r="B5163" i="22"/>
  <c r="B5162" i="22"/>
  <c r="B5161" i="22"/>
  <c r="B5160" i="22"/>
  <c r="B5159" i="22"/>
  <c r="B5158" i="22"/>
  <c r="B5157" i="22"/>
  <c r="B5156" i="22"/>
  <c r="B5155" i="22"/>
  <c r="B5154" i="22"/>
  <c r="B5153" i="22"/>
  <c r="B5152" i="22"/>
  <c r="B5151" i="22"/>
  <c r="B5150" i="22"/>
  <c r="B5149" i="22"/>
  <c r="B5148" i="22"/>
  <c r="B5147" i="22"/>
  <c r="B5146" i="22"/>
  <c r="B5145" i="22"/>
  <c r="B5144" i="22"/>
  <c r="B5143" i="22"/>
  <c r="B5142" i="22"/>
  <c r="B5141" i="22"/>
  <c r="B5140" i="22"/>
  <c r="B5139" i="22"/>
  <c r="B5138" i="22"/>
  <c r="B5137" i="22"/>
  <c r="B5136" i="22"/>
  <c r="B5135" i="22"/>
  <c r="B5134" i="22"/>
  <c r="B5133" i="22"/>
  <c r="B5132" i="22"/>
  <c r="B5131" i="22"/>
  <c r="B5130" i="22"/>
  <c r="B5129" i="22"/>
  <c r="B5128" i="22"/>
  <c r="B5127" i="22"/>
  <c r="B5126" i="22"/>
  <c r="B5125" i="22"/>
  <c r="B5124" i="22"/>
  <c r="B5123" i="22"/>
  <c r="B5122" i="22"/>
  <c r="B5121" i="22"/>
  <c r="B5120" i="22"/>
  <c r="B5119" i="22"/>
  <c r="B5118" i="22"/>
  <c r="B5117" i="22"/>
  <c r="B5116" i="22"/>
  <c r="B5115" i="22"/>
  <c r="B5114" i="22"/>
  <c r="B5113" i="22"/>
  <c r="B5112" i="22"/>
  <c r="B5111" i="22"/>
  <c r="B5110" i="22"/>
  <c r="B5109" i="22"/>
  <c r="B5108" i="22"/>
  <c r="B5107" i="22"/>
  <c r="B5106" i="22"/>
  <c r="B5105" i="22"/>
  <c r="B5104" i="22"/>
  <c r="B5103" i="22"/>
  <c r="B5102" i="22"/>
  <c r="B5101" i="22"/>
  <c r="B5100" i="22"/>
  <c r="B5099" i="22"/>
  <c r="B5098" i="22"/>
  <c r="B5097" i="22"/>
  <c r="B5096" i="22"/>
  <c r="B5095" i="22"/>
  <c r="B5094" i="22"/>
  <c r="B5093" i="22"/>
  <c r="B5092" i="22"/>
  <c r="B5091" i="22"/>
  <c r="B5090" i="22"/>
  <c r="B5089" i="22"/>
  <c r="B5088" i="22"/>
  <c r="B5087" i="22"/>
  <c r="B5086" i="22"/>
  <c r="B5085" i="22"/>
  <c r="B5084" i="22"/>
  <c r="B5083" i="22"/>
  <c r="B5082" i="22"/>
  <c r="B5081" i="22"/>
  <c r="B5080" i="22"/>
  <c r="B5079" i="22"/>
  <c r="B5078" i="22"/>
  <c r="B5077" i="22"/>
  <c r="B5076" i="22"/>
  <c r="B5075" i="22"/>
  <c r="B5074" i="22"/>
  <c r="B5073" i="22"/>
  <c r="B5072" i="22"/>
  <c r="B5071" i="22"/>
  <c r="B5070" i="22"/>
  <c r="B5069" i="22"/>
  <c r="B5068" i="22"/>
  <c r="B5067" i="22"/>
  <c r="B5066" i="22"/>
  <c r="B5065" i="22"/>
  <c r="B5064" i="22"/>
  <c r="B5063" i="22"/>
  <c r="B5062" i="22"/>
  <c r="B5061" i="22"/>
  <c r="B5060" i="22"/>
  <c r="B5059" i="22"/>
  <c r="B5058" i="22"/>
  <c r="B5057" i="22"/>
  <c r="B5056" i="22"/>
  <c r="B5055" i="22"/>
  <c r="B5054" i="22"/>
  <c r="B5053" i="22"/>
  <c r="B5052" i="22"/>
  <c r="B5051" i="22"/>
  <c r="B5050" i="22"/>
  <c r="B5049" i="22"/>
  <c r="B5048" i="22"/>
  <c r="B5047" i="22"/>
  <c r="B5046" i="22"/>
  <c r="B5045" i="22"/>
  <c r="B5044" i="22"/>
  <c r="B5043" i="22"/>
  <c r="B5042" i="22"/>
  <c r="B5041" i="22"/>
  <c r="B5040" i="22"/>
  <c r="B5039" i="22"/>
  <c r="B5038" i="22"/>
  <c r="B5037" i="22"/>
  <c r="B5036" i="22"/>
  <c r="B5035" i="22"/>
  <c r="B5034" i="22"/>
  <c r="B5033" i="22"/>
  <c r="B5032" i="22"/>
  <c r="B5031" i="22"/>
  <c r="B5030" i="22"/>
  <c r="B5029" i="22"/>
  <c r="B5028" i="22"/>
  <c r="B5027" i="22"/>
  <c r="B5026" i="22"/>
  <c r="B5025" i="22"/>
  <c r="B5024" i="22"/>
  <c r="B5023" i="22"/>
  <c r="B5022" i="22"/>
  <c r="B5021" i="22"/>
  <c r="B5020" i="22"/>
  <c r="B5019" i="22"/>
  <c r="B5018" i="22"/>
  <c r="B5017" i="22"/>
  <c r="B5016" i="22"/>
  <c r="B5015" i="22"/>
  <c r="B5014" i="22"/>
  <c r="B5013" i="22"/>
  <c r="B5012" i="22"/>
  <c r="B5011" i="22"/>
  <c r="B5010" i="22"/>
  <c r="B5009" i="22"/>
  <c r="B5008" i="22"/>
  <c r="B5007" i="22"/>
  <c r="B5006" i="22"/>
  <c r="B5005" i="22"/>
  <c r="B5004" i="22"/>
  <c r="B5003" i="22"/>
  <c r="B5002" i="22"/>
  <c r="B5001" i="22"/>
  <c r="B5000" i="22"/>
  <c r="B4999" i="22"/>
  <c r="B4998" i="22"/>
  <c r="B4997" i="22"/>
  <c r="B4996" i="22"/>
  <c r="B4995" i="22"/>
  <c r="B4994" i="22"/>
  <c r="B4993" i="22"/>
  <c r="B4992" i="22"/>
  <c r="B4991" i="22"/>
  <c r="B4990" i="22"/>
  <c r="B4989" i="22"/>
  <c r="B4988" i="22"/>
  <c r="B4987" i="22"/>
  <c r="B4986" i="22"/>
  <c r="B4985" i="22"/>
  <c r="B4984" i="22"/>
  <c r="B4983" i="22"/>
  <c r="B4982" i="22"/>
  <c r="B4981" i="22"/>
  <c r="B4980" i="22"/>
  <c r="B4979" i="22"/>
  <c r="B4978" i="22"/>
  <c r="B4977" i="22"/>
  <c r="B4976" i="22"/>
  <c r="B4975" i="22"/>
  <c r="B4974" i="22"/>
  <c r="B4973" i="22"/>
  <c r="B4972" i="22"/>
  <c r="B4971" i="22"/>
  <c r="B4970" i="22"/>
  <c r="B4969" i="22"/>
  <c r="B4968" i="22"/>
  <c r="B4967" i="22"/>
  <c r="B4966" i="22"/>
  <c r="B4965" i="22"/>
  <c r="B4964" i="22"/>
  <c r="B4963" i="22"/>
  <c r="B4962" i="22"/>
  <c r="B4961" i="22"/>
  <c r="B4960" i="22"/>
  <c r="B4959" i="22"/>
  <c r="B4958" i="22"/>
  <c r="B4957" i="22"/>
  <c r="B4956" i="22"/>
  <c r="B4955" i="22"/>
  <c r="B4954" i="22"/>
  <c r="B4953" i="22"/>
  <c r="B4952" i="22"/>
  <c r="B4951" i="22"/>
  <c r="B4950" i="22"/>
  <c r="B4949" i="22"/>
  <c r="B4948" i="22"/>
  <c r="B4947" i="22"/>
  <c r="B4946" i="22"/>
  <c r="B4945" i="22"/>
  <c r="B4944" i="22"/>
  <c r="B4943" i="22"/>
  <c r="B4942" i="22"/>
  <c r="B4941" i="22"/>
  <c r="B4940" i="22"/>
  <c r="B4939" i="22"/>
  <c r="B4938" i="22"/>
  <c r="B4937" i="22"/>
  <c r="B4936" i="22"/>
  <c r="B4935" i="22"/>
  <c r="B4934" i="22"/>
  <c r="B4933" i="22"/>
  <c r="B4932" i="22"/>
  <c r="B4931" i="22"/>
  <c r="B4930" i="22"/>
  <c r="B4929" i="22"/>
  <c r="B4928" i="22"/>
  <c r="B4927" i="22"/>
  <c r="B4926" i="22"/>
  <c r="B4925" i="22"/>
  <c r="B4924" i="22"/>
  <c r="B4923" i="22"/>
  <c r="B4922" i="22"/>
  <c r="B4921" i="22"/>
  <c r="B4920" i="22"/>
  <c r="B4919" i="22"/>
  <c r="B4918" i="22"/>
  <c r="B4917" i="22"/>
  <c r="B4916" i="22"/>
  <c r="B4915" i="22"/>
  <c r="B4914" i="22"/>
  <c r="B4913" i="22"/>
  <c r="B4912" i="22"/>
  <c r="B4911" i="22"/>
  <c r="B4910" i="22"/>
  <c r="B4909" i="22"/>
  <c r="B4908" i="22"/>
  <c r="B4907" i="22"/>
  <c r="B4906" i="22"/>
  <c r="B4905" i="22"/>
  <c r="B4904" i="22"/>
  <c r="B4903" i="22"/>
  <c r="B4902" i="22"/>
  <c r="B4901" i="22"/>
  <c r="B4900" i="22"/>
  <c r="B4899" i="22"/>
  <c r="B4898" i="22"/>
  <c r="B4897" i="22"/>
  <c r="B4896" i="22"/>
  <c r="B4895" i="22"/>
  <c r="B4894" i="22"/>
  <c r="B4893" i="22"/>
  <c r="B4892" i="22"/>
  <c r="B4891" i="22"/>
  <c r="B4890" i="22"/>
  <c r="B4889" i="22"/>
  <c r="B4888" i="22"/>
  <c r="B4887" i="22"/>
  <c r="B4886" i="22"/>
  <c r="B4885" i="22"/>
  <c r="B4884" i="22"/>
  <c r="B4883" i="22"/>
  <c r="B4882" i="22"/>
  <c r="B4881" i="22"/>
  <c r="B4880" i="22"/>
  <c r="B4879" i="22"/>
  <c r="B4878" i="22"/>
  <c r="B4877" i="22"/>
  <c r="B4876" i="22"/>
  <c r="B4875" i="22"/>
  <c r="B4874" i="22"/>
  <c r="B4873" i="22"/>
  <c r="B4872" i="22"/>
  <c r="B4871" i="22"/>
  <c r="B4870" i="22"/>
  <c r="B4869" i="22"/>
  <c r="B4868" i="22"/>
  <c r="B4867" i="22"/>
  <c r="B4866" i="22"/>
  <c r="B4865" i="22"/>
  <c r="B4864" i="22"/>
  <c r="B4863" i="22"/>
  <c r="B4862" i="22"/>
  <c r="B4861" i="22"/>
  <c r="B4860" i="22"/>
  <c r="B4859" i="22"/>
  <c r="B4858" i="22"/>
  <c r="B4857" i="22"/>
  <c r="B4856" i="22"/>
  <c r="B4855" i="22"/>
  <c r="B4854" i="22"/>
  <c r="B4853" i="22"/>
  <c r="B4852" i="22"/>
  <c r="B4851" i="22"/>
  <c r="B4850" i="22"/>
  <c r="B4849" i="22"/>
  <c r="B4848" i="22"/>
  <c r="B4847" i="22"/>
  <c r="B4846" i="22"/>
  <c r="B4845" i="22"/>
  <c r="B4844" i="22"/>
  <c r="B4843" i="22"/>
  <c r="B4842" i="22"/>
  <c r="B4841" i="22"/>
  <c r="B4840" i="22"/>
  <c r="B4839" i="22"/>
  <c r="B4838" i="22"/>
  <c r="B4837" i="22"/>
  <c r="B4836" i="22"/>
  <c r="B4835" i="22"/>
  <c r="B4834" i="22"/>
  <c r="B4833" i="22"/>
  <c r="B4832" i="22"/>
  <c r="B4831" i="22"/>
  <c r="B4830" i="22"/>
  <c r="B4829" i="22"/>
  <c r="B4828" i="22"/>
  <c r="B4827" i="22"/>
  <c r="B4826" i="22"/>
  <c r="B4825" i="22"/>
  <c r="B4824" i="22"/>
  <c r="B4823" i="22"/>
  <c r="B4822" i="22"/>
  <c r="B4821" i="22"/>
  <c r="B4820" i="22"/>
  <c r="B4819" i="22"/>
  <c r="B4818" i="22"/>
  <c r="B4817" i="22"/>
  <c r="B4816" i="22"/>
  <c r="B4815" i="22"/>
  <c r="B4814" i="22"/>
  <c r="B4813" i="22"/>
  <c r="B4812" i="22"/>
  <c r="B4811" i="22"/>
  <c r="B4810" i="22"/>
  <c r="B4809" i="22"/>
  <c r="B4808" i="22"/>
  <c r="B4807" i="22"/>
  <c r="B4806" i="22"/>
  <c r="B4805" i="22"/>
  <c r="B4804" i="22"/>
  <c r="B4803" i="22"/>
  <c r="B4802" i="22"/>
  <c r="B4801" i="22"/>
  <c r="B4800" i="22"/>
  <c r="B4799" i="22"/>
  <c r="B4798" i="22"/>
  <c r="B4797" i="22"/>
  <c r="B4796" i="22"/>
  <c r="B4795" i="22"/>
  <c r="B4794" i="22"/>
  <c r="B4793" i="22"/>
  <c r="B4792" i="22"/>
  <c r="B4791" i="22"/>
  <c r="B4790" i="22"/>
  <c r="B4789" i="22"/>
  <c r="B4788" i="22"/>
  <c r="B4787" i="22"/>
  <c r="B4786" i="22"/>
  <c r="B4785" i="22"/>
  <c r="B4784" i="22"/>
  <c r="B4783" i="22"/>
  <c r="B4782" i="22"/>
  <c r="B4781" i="22"/>
  <c r="B4780" i="22"/>
  <c r="B4779" i="22"/>
  <c r="B4778" i="22"/>
  <c r="B4777" i="22"/>
  <c r="B4776" i="22"/>
  <c r="B4775" i="22"/>
  <c r="B4774" i="22"/>
  <c r="B4773" i="22"/>
  <c r="B4772" i="22"/>
  <c r="B4771" i="22"/>
  <c r="B4770" i="22"/>
  <c r="B4769" i="22"/>
  <c r="B4768" i="22"/>
  <c r="B4767" i="22"/>
  <c r="B4766" i="22"/>
  <c r="B4765" i="22"/>
  <c r="B4764" i="22"/>
  <c r="B4763" i="22"/>
  <c r="B4762" i="22"/>
  <c r="B4761" i="22"/>
  <c r="B4760" i="22"/>
  <c r="B4759" i="22"/>
  <c r="B4758" i="22"/>
  <c r="B4757" i="22"/>
  <c r="B4756" i="22"/>
  <c r="B4755" i="22"/>
  <c r="B4754" i="22"/>
  <c r="B4753" i="22"/>
  <c r="B4752" i="22"/>
  <c r="B4751" i="22"/>
  <c r="B4750" i="22"/>
  <c r="B4749" i="22"/>
  <c r="B4748" i="22"/>
  <c r="B4747" i="22"/>
  <c r="B4746" i="22"/>
  <c r="B4745" i="22"/>
  <c r="B4744" i="22"/>
  <c r="B4743" i="22"/>
  <c r="B4742" i="22"/>
  <c r="B4741" i="22"/>
  <c r="B4740" i="22"/>
  <c r="B4739" i="22"/>
  <c r="B4738" i="22"/>
  <c r="B4737" i="22"/>
  <c r="B4736" i="22"/>
  <c r="B4735" i="22"/>
  <c r="B4734" i="22"/>
  <c r="B4733" i="22"/>
  <c r="B4732" i="22"/>
  <c r="B4731" i="22"/>
  <c r="B4730" i="22"/>
  <c r="B4729" i="22"/>
  <c r="B4728" i="22"/>
  <c r="B4727" i="22"/>
  <c r="B4726" i="22"/>
  <c r="B4725" i="22"/>
  <c r="B4724" i="22"/>
  <c r="B4723" i="22"/>
  <c r="B4722" i="22"/>
  <c r="B4721" i="22"/>
  <c r="B4720" i="22"/>
  <c r="B4719" i="22"/>
  <c r="B4718" i="22"/>
  <c r="B4717" i="22"/>
  <c r="B4716" i="22"/>
  <c r="B4715" i="22"/>
  <c r="B4714" i="22"/>
  <c r="B4713" i="22"/>
  <c r="B4712" i="22"/>
  <c r="B4711" i="22"/>
  <c r="B4710" i="22"/>
  <c r="B4709" i="22"/>
  <c r="B4708" i="22"/>
  <c r="B4707" i="22"/>
  <c r="B4706" i="22"/>
  <c r="B4705" i="22"/>
  <c r="B4704" i="22"/>
  <c r="B4703" i="22"/>
  <c r="B4702" i="22"/>
  <c r="B4701" i="22"/>
  <c r="B4700" i="22"/>
  <c r="B4699" i="22"/>
  <c r="B4698" i="22"/>
  <c r="B4697" i="22"/>
  <c r="B4696" i="22"/>
  <c r="B4695" i="22"/>
  <c r="B4694" i="22"/>
  <c r="B4693" i="22"/>
  <c r="B4692" i="22"/>
  <c r="B4691" i="22"/>
  <c r="B4690" i="22"/>
  <c r="B4689" i="22"/>
  <c r="B4688" i="22"/>
  <c r="B4687" i="22"/>
  <c r="B4686" i="22"/>
  <c r="B4685" i="22"/>
  <c r="B4684" i="22"/>
  <c r="B4683" i="22"/>
  <c r="B4682" i="22"/>
  <c r="B4681" i="22"/>
  <c r="B4680" i="22"/>
  <c r="B4679" i="22"/>
  <c r="B4678" i="22"/>
  <c r="B4677" i="22"/>
  <c r="B4676" i="22"/>
  <c r="B4675" i="22"/>
  <c r="B4674" i="22"/>
  <c r="B4673" i="22"/>
  <c r="B4672" i="22"/>
  <c r="B4671" i="22"/>
  <c r="B4670" i="22"/>
  <c r="B4669" i="22"/>
  <c r="B4668" i="22"/>
  <c r="B4667" i="22"/>
  <c r="B4666" i="22"/>
  <c r="B4665" i="22"/>
  <c r="B4664" i="22"/>
  <c r="B4663" i="22"/>
  <c r="B4662" i="22"/>
  <c r="B4661" i="22"/>
  <c r="B4660" i="22"/>
  <c r="B4659" i="22"/>
  <c r="B4658" i="22"/>
  <c r="B4657" i="22"/>
  <c r="B4656" i="22"/>
  <c r="B4655" i="22"/>
  <c r="B4654" i="22"/>
  <c r="B4653" i="22"/>
  <c r="B4652" i="22"/>
  <c r="B4651" i="22"/>
  <c r="B4650" i="22"/>
  <c r="B4649" i="22"/>
  <c r="B4648" i="22"/>
  <c r="B4647" i="22"/>
  <c r="B4646" i="22"/>
  <c r="B4645" i="22"/>
  <c r="B4644" i="22"/>
  <c r="B4643" i="22"/>
  <c r="B4642" i="22"/>
  <c r="B4641" i="22"/>
  <c r="B4640" i="22"/>
  <c r="B4639" i="22"/>
  <c r="B4638" i="22"/>
  <c r="B4637" i="22"/>
  <c r="B4636" i="22"/>
  <c r="B4635" i="22"/>
  <c r="B4634" i="22"/>
  <c r="B4633" i="22"/>
  <c r="B4632" i="22"/>
  <c r="B4631" i="22"/>
  <c r="B4630" i="22"/>
  <c r="B4629" i="22"/>
  <c r="B4628" i="22"/>
  <c r="B4627" i="22"/>
  <c r="B4626" i="22"/>
  <c r="B4625" i="22"/>
  <c r="B4624" i="22"/>
  <c r="B4623" i="22"/>
  <c r="B4622" i="22"/>
  <c r="B4621" i="22"/>
  <c r="B4620" i="22"/>
  <c r="B4619" i="22"/>
  <c r="B4618" i="22"/>
  <c r="B4617" i="22"/>
  <c r="B4616" i="22"/>
  <c r="B4615" i="22"/>
  <c r="B4614" i="22"/>
  <c r="B4613" i="22"/>
  <c r="B4612" i="22"/>
  <c r="B4611" i="22"/>
  <c r="B4610" i="22"/>
  <c r="B4609" i="22"/>
  <c r="B4608" i="22"/>
  <c r="B4607" i="22"/>
  <c r="B4606" i="22"/>
  <c r="B4605" i="22"/>
  <c r="B4604" i="22"/>
  <c r="B4603" i="22"/>
  <c r="B4602" i="22"/>
  <c r="B4601" i="22"/>
  <c r="B4600" i="22"/>
  <c r="B4599" i="22"/>
  <c r="B4598" i="22"/>
  <c r="B4597" i="22"/>
  <c r="B4596" i="22"/>
  <c r="B4595" i="22"/>
  <c r="B4594" i="22"/>
  <c r="B4593" i="22"/>
  <c r="B4592" i="22"/>
  <c r="B4591" i="22"/>
  <c r="B4590" i="22"/>
  <c r="B4589" i="22"/>
  <c r="B4588" i="22"/>
  <c r="B4587" i="22"/>
  <c r="B4586" i="22"/>
  <c r="B4585" i="22"/>
  <c r="B4584" i="22"/>
  <c r="B4583" i="22"/>
  <c r="B4582" i="22"/>
  <c r="B4581" i="22"/>
  <c r="B4580" i="22"/>
  <c r="B4579" i="22"/>
  <c r="B4578" i="22"/>
  <c r="B4577" i="22"/>
  <c r="B4576" i="22"/>
  <c r="B4575" i="22"/>
  <c r="B4574" i="22"/>
  <c r="B4573" i="22"/>
  <c r="B4572" i="22"/>
  <c r="B4571" i="22"/>
  <c r="B4570" i="22"/>
  <c r="B4569" i="22"/>
  <c r="B4568" i="22"/>
  <c r="B4567" i="22"/>
  <c r="B4566" i="22"/>
  <c r="B4565" i="22"/>
  <c r="B4564" i="22"/>
  <c r="B4563" i="22"/>
  <c r="B4562" i="22"/>
  <c r="B4561" i="22"/>
  <c r="B4560" i="22"/>
  <c r="B4559" i="22"/>
  <c r="B4558" i="22"/>
  <c r="B4557" i="22"/>
  <c r="B4556" i="22"/>
  <c r="B4555" i="22"/>
  <c r="B4554" i="22"/>
  <c r="B4553" i="22"/>
  <c r="B4552" i="22"/>
  <c r="B4551" i="22"/>
  <c r="B4550" i="22"/>
  <c r="B4549" i="22"/>
  <c r="B4548" i="22"/>
  <c r="B4547" i="22"/>
  <c r="B4546" i="22"/>
  <c r="B4545" i="22"/>
  <c r="B4544" i="22"/>
  <c r="B4543" i="22"/>
  <c r="B4542" i="22"/>
  <c r="B4541" i="22"/>
  <c r="B4540" i="22"/>
  <c r="B4539" i="22"/>
  <c r="B4538" i="22"/>
  <c r="B4537" i="22"/>
  <c r="B4536" i="22"/>
  <c r="B4535" i="22"/>
  <c r="B4534" i="22"/>
  <c r="B4533" i="22"/>
  <c r="B4532" i="22"/>
  <c r="B4531" i="22"/>
  <c r="B4530" i="22"/>
  <c r="B4529" i="22"/>
  <c r="B4528" i="22"/>
  <c r="B4527" i="22"/>
  <c r="B4526" i="22"/>
  <c r="B4525" i="22"/>
  <c r="B4524" i="22"/>
  <c r="B4523" i="22"/>
  <c r="B4522" i="22"/>
  <c r="B4521" i="22"/>
  <c r="B4520" i="22"/>
  <c r="B4519" i="22"/>
  <c r="B4518" i="22"/>
  <c r="B4517" i="22"/>
  <c r="B4516" i="22"/>
  <c r="B4515" i="22"/>
  <c r="B4514" i="22"/>
  <c r="B4513" i="22"/>
  <c r="B4512" i="22"/>
  <c r="B4511" i="22"/>
  <c r="B4510" i="22"/>
  <c r="B4509" i="22"/>
  <c r="B4508" i="22"/>
  <c r="B4507" i="22"/>
  <c r="B4506" i="22"/>
  <c r="B4505" i="22"/>
  <c r="B4504" i="22"/>
  <c r="B4503" i="22"/>
  <c r="B4502" i="22"/>
  <c r="B4501" i="22"/>
  <c r="B4500" i="22"/>
  <c r="B4499" i="22"/>
  <c r="B4498" i="22"/>
  <c r="B4497" i="22"/>
  <c r="B4496" i="22"/>
  <c r="B4495" i="22"/>
  <c r="B4494" i="22"/>
  <c r="B4493" i="22"/>
  <c r="B4492" i="22"/>
  <c r="B4491" i="22"/>
  <c r="B4490" i="22"/>
  <c r="B4489" i="22"/>
  <c r="B4488" i="22"/>
  <c r="B4487" i="22"/>
  <c r="B4486" i="22"/>
  <c r="B4485" i="22"/>
  <c r="B4484" i="22"/>
  <c r="B4483" i="22"/>
  <c r="B4482" i="22"/>
  <c r="B4481" i="22"/>
  <c r="B4480" i="22"/>
  <c r="B4479" i="22"/>
  <c r="B4478" i="22"/>
  <c r="B4477" i="22"/>
  <c r="B4476" i="22"/>
  <c r="B4475" i="22"/>
  <c r="B4474" i="22"/>
  <c r="B4473" i="22"/>
  <c r="B4472" i="22"/>
  <c r="B4471" i="22"/>
  <c r="B4470" i="22"/>
  <c r="B4469" i="22"/>
  <c r="B4468" i="22"/>
  <c r="B4467" i="22"/>
  <c r="B4466" i="22"/>
  <c r="B4465" i="22"/>
  <c r="B4464" i="22"/>
  <c r="B4463" i="22"/>
  <c r="B4462" i="22"/>
  <c r="B4461" i="22"/>
  <c r="B4460" i="22"/>
  <c r="B4459" i="22"/>
  <c r="B4458" i="22"/>
  <c r="B4457" i="22"/>
  <c r="B4456" i="22"/>
  <c r="B4455" i="22"/>
  <c r="B4454" i="22"/>
  <c r="B4453" i="22"/>
  <c r="B4452" i="22"/>
  <c r="B4451" i="22"/>
  <c r="B4450" i="22"/>
  <c r="B4449" i="22"/>
  <c r="B4448" i="22"/>
  <c r="B4447" i="22"/>
  <c r="B4446" i="22"/>
  <c r="B4445" i="22"/>
  <c r="B4444" i="22"/>
  <c r="B4443" i="22"/>
  <c r="B4442" i="22"/>
  <c r="B4441" i="22"/>
  <c r="B4440" i="22"/>
  <c r="B4439" i="22"/>
  <c r="B4438" i="22"/>
  <c r="B4437" i="22"/>
  <c r="B4436" i="22"/>
  <c r="B4435" i="22"/>
  <c r="B4434" i="22"/>
  <c r="B4433" i="22"/>
  <c r="B4432" i="22"/>
  <c r="B4431" i="22"/>
  <c r="B4430" i="22"/>
  <c r="B4429" i="22"/>
  <c r="B4428" i="22"/>
  <c r="B4427" i="22"/>
  <c r="B4426" i="22"/>
  <c r="B4425" i="22"/>
  <c r="B4424" i="22"/>
  <c r="B4423" i="22"/>
  <c r="B4422" i="22"/>
  <c r="B4421" i="22"/>
  <c r="B4420" i="22"/>
  <c r="B4419" i="22"/>
  <c r="B4418" i="22"/>
  <c r="B4417" i="22"/>
  <c r="B4416" i="22"/>
  <c r="B4415" i="22"/>
  <c r="B4414" i="22"/>
  <c r="B4413" i="22"/>
  <c r="B4412" i="22"/>
  <c r="B4411" i="22"/>
  <c r="B4410" i="22"/>
  <c r="B4409" i="22"/>
  <c r="B4408" i="22"/>
  <c r="B4407" i="22"/>
  <c r="B4406" i="22"/>
  <c r="B4405" i="22"/>
  <c r="B4404" i="22"/>
  <c r="B4403" i="22"/>
  <c r="B4402" i="22"/>
  <c r="B4401" i="22"/>
  <c r="B4400" i="22"/>
  <c r="B4399" i="22"/>
  <c r="B4398" i="22"/>
  <c r="B4397" i="22"/>
  <c r="B4396" i="22"/>
  <c r="B4395" i="22"/>
  <c r="B4394" i="22"/>
  <c r="B4393" i="22"/>
  <c r="B4392" i="22"/>
  <c r="B4391" i="22"/>
  <c r="B4390" i="22"/>
  <c r="B4389" i="22"/>
  <c r="B4388" i="22"/>
  <c r="B4387" i="22"/>
  <c r="B4386" i="22"/>
  <c r="B4385" i="22"/>
  <c r="B4384" i="22"/>
  <c r="B4383" i="22"/>
  <c r="B4382" i="22"/>
  <c r="B4381" i="22"/>
  <c r="B4380" i="22"/>
  <c r="B4379" i="22"/>
  <c r="B4378" i="22"/>
  <c r="B4377" i="22"/>
  <c r="B4376" i="22"/>
  <c r="B4375" i="22"/>
  <c r="B4374" i="22"/>
  <c r="B4373" i="22"/>
  <c r="B4372" i="22"/>
  <c r="B4371" i="22"/>
  <c r="B4370" i="22"/>
  <c r="B4369" i="22"/>
  <c r="B4368" i="22"/>
  <c r="B4367" i="22"/>
  <c r="B4366" i="22"/>
  <c r="B4365" i="22"/>
  <c r="B4364" i="22"/>
  <c r="B4363" i="22"/>
  <c r="B4362" i="22"/>
  <c r="B4361" i="22"/>
  <c r="B4360" i="22"/>
  <c r="B4359" i="22"/>
  <c r="B4358" i="22"/>
  <c r="B4357" i="22"/>
  <c r="B4356" i="22"/>
  <c r="B4355" i="22"/>
  <c r="B4354" i="22"/>
  <c r="B4353" i="22"/>
  <c r="B4352" i="22"/>
  <c r="B4351" i="22"/>
  <c r="B4350" i="22"/>
  <c r="B4349" i="22"/>
  <c r="B4348" i="22"/>
  <c r="B4347" i="22"/>
  <c r="B4346" i="22"/>
  <c r="B4345" i="22"/>
  <c r="B4344" i="22"/>
  <c r="B4343" i="22"/>
  <c r="B4342" i="22"/>
  <c r="B4341" i="22"/>
  <c r="B4340" i="22"/>
  <c r="B4339" i="22"/>
  <c r="B4338" i="22"/>
  <c r="B4337" i="22"/>
  <c r="B4336" i="22"/>
  <c r="B4335" i="22"/>
  <c r="B4334" i="22"/>
  <c r="B4333" i="22"/>
  <c r="B4332" i="22"/>
  <c r="B4331" i="22"/>
  <c r="B4330" i="22"/>
  <c r="B4329" i="22"/>
  <c r="B4328" i="22"/>
  <c r="B4327" i="22"/>
  <c r="B4326" i="22"/>
  <c r="B4325" i="22"/>
  <c r="B4324" i="22"/>
  <c r="B4323" i="22"/>
  <c r="B4322" i="22"/>
  <c r="B4321" i="22"/>
  <c r="B4320" i="22"/>
  <c r="B4319" i="22"/>
  <c r="B4318" i="22"/>
  <c r="B4317" i="22"/>
  <c r="B4316" i="22"/>
  <c r="B4315" i="22"/>
  <c r="B4314" i="22"/>
  <c r="B4313" i="22"/>
  <c r="B4312" i="22"/>
  <c r="B4311" i="22"/>
  <c r="B4310" i="22"/>
  <c r="B4309" i="22"/>
  <c r="B4308" i="22"/>
  <c r="B4307" i="22"/>
  <c r="B4306" i="22"/>
  <c r="B4305" i="22"/>
  <c r="B4304" i="22"/>
  <c r="B4303" i="22"/>
  <c r="B4302" i="22"/>
  <c r="B4301" i="22"/>
  <c r="B4300" i="22"/>
  <c r="B4299" i="22"/>
  <c r="B4298" i="22"/>
  <c r="B4297" i="22"/>
  <c r="B4296" i="22"/>
  <c r="B4295" i="22"/>
  <c r="B4294" i="22"/>
  <c r="B4293" i="22"/>
  <c r="B4292" i="22"/>
  <c r="B4291" i="22"/>
  <c r="B4290" i="22"/>
  <c r="B4289" i="22"/>
  <c r="B4288" i="22"/>
  <c r="B4287" i="22"/>
  <c r="B4286" i="22"/>
  <c r="B4285" i="22"/>
  <c r="B4284" i="22"/>
  <c r="B4283" i="22"/>
  <c r="B4282" i="22"/>
  <c r="B4281" i="22"/>
  <c r="B4280" i="22"/>
  <c r="B4279" i="22"/>
  <c r="B4278" i="22"/>
  <c r="B4277" i="22"/>
  <c r="B4276" i="22"/>
  <c r="B4275" i="22"/>
  <c r="B4274" i="22"/>
  <c r="B4273" i="22"/>
  <c r="B4272" i="22"/>
  <c r="B4271" i="22"/>
  <c r="B4270" i="22"/>
  <c r="B4269" i="22"/>
  <c r="B4268" i="22"/>
  <c r="B4267" i="22"/>
  <c r="B4266" i="22"/>
  <c r="B4265" i="22"/>
  <c r="B4264" i="22"/>
  <c r="B4263" i="22"/>
  <c r="B4262" i="22"/>
  <c r="B4261" i="22"/>
  <c r="B4260" i="22"/>
  <c r="B4259" i="22"/>
  <c r="B4258" i="22"/>
  <c r="B4257" i="22"/>
  <c r="B4256" i="22"/>
  <c r="B4255" i="22"/>
  <c r="B4254" i="22"/>
  <c r="B4253" i="22"/>
  <c r="B4252" i="22"/>
  <c r="B4251" i="22"/>
  <c r="B4250" i="22"/>
  <c r="B4249" i="22"/>
  <c r="B4248" i="22"/>
  <c r="B4247" i="22"/>
  <c r="B4246" i="22"/>
  <c r="B4245" i="22"/>
  <c r="B4244" i="22"/>
  <c r="B4243" i="22"/>
  <c r="B4242" i="22"/>
  <c r="B4241" i="22"/>
  <c r="B4240" i="22"/>
  <c r="B4239" i="22"/>
  <c r="B4238" i="22"/>
  <c r="B4237" i="22"/>
  <c r="B4236" i="22"/>
  <c r="B4235" i="22"/>
  <c r="B4234" i="22"/>
  <c r="B4233" i="22"/>
  <c r="B4232" i="22"/>
  <c r="B4231" i="22"/>
  <c r="B4230" i="22"/>
  <c r="B4229" i="22"/>
  <c r="B4228" i="22"/>
  <c r="B4227" i="22"/>
  <c r="B4226" i="22"/>
  <c r="B4225" i="22"/>
  <c r="B4224" i="22"/>
  <c r="B4223" i="22"/>
  <c r="B4222" i="22"/>
  <c r="B4221" i="22"/>
  <c r="B4220" i="22"/>
  <c r="B4219" i="22"/>
  <c r="B4218" i="22"/>
  <c r="B4217" i="22"/>
  <c r="B4216" i="22"/>
  <c r="B4215" i="22"/>
  <c r="B4214" i="22"/>
  <c r="B4213" i="22"/>
  <c r="B4212" i="22"/>
  <c r="B4211" i="22"/>
  <c r="B4210" i="22"/>
  <c r="B4209" i="22"/>
  <c r="B4208" i="22"/>
  <c r="B4207" i="22"/>
  <c r="B4206" i="22"/>
  <c r="B4205" i="22"/>
  <c r="B4204" i="22"/>
  <c r="B4203" i="22"/>
  <c r="B4202" i="22"/>
  <c r="B4201" i="22"/>
  <c r="B4200" i="22"/>
  <c r="B4199" i="22"/>
  <c r="B4198" i="22"/>
  <c r="B4197" i="22"/>
  <c r="B4196" i="22"/>
  <c r="B4195" i="22"/>
  <c r="B4194" i="22"/>
  <c r="B4193" i="22"/>
  <c r="B4192" i="22"/>
  <c r="B4191" i="22"/>
  <c r="B4190" i="22"/>
  <c r="B4189" i="22"/>
  <c r="B4188" i="22"/>
  <c r="B4187" i="22"/>
  <c r="B4186" i="22"/>
  <c r="B4185" i="22"/>
  <c r="B4184" i="22"/>
  <c r="B4183" i="22"/>
  <c r="B4182" i="22"/>
  <c r="B4181" i="22"/>
  <c r="B4180" i="22"/>
  <c r="B4179" i="22"/>
  <c r="B4178" i="22"/>
  <c r="B4177" i="22"/>
  <c r="B4176" i="22"/>
  <c r="B4175" i="22"/>
  <c r="B4174" i="22"/>
  <c r="B4173" i="22"/>
  <c r="B4172" i="22"/>
  <c r="B4171" i="22"/>
  <c r="B4170" i="22"/>
  <c r="B4169" i="22"/>
  <c r="B4168" i="22"/>
  <c r="B4167" i="22"/>
  <c r="B4166" i="22"/>
  <c r="B4165" i="22"/>
  <c r="B4164" i="22"/>
  <c r="B4163" i="22"/>
  <c r="B4162" i="22"/>
  <c r="B4161" i="22"/>
  <c r="B4160" i="22"/>
  <c r="B4159" i="22"/>
  <c r="B4158" i="22"/>
  <c r="B4157" i="22"/>
  <c r="B4156" i="22"/>
  <c r="B4155" i="22"/>
  <c r="B4154" i="22"/>
  <c r="B4153" i="22"/>
  <c r="B4152" i="22"/>
  <c r="B4151" i="22"/>
  <c r="B4150" i="22"/>
  <c r="B4149" i="22"/>
  <c r="B4148" i="22"/>
  <c r="B4147" i="22"/>
  <c r="B4146" i="22"/>
  <c r="B4145" i="22"/>
  <c r="B4144" i="22"/>
  <c r="B4143" i="22"/>
  <c r="B4142" i="22"/>
  <c r="B4141" i="22"/>
  <c r="B4140" i="22"/>
  <c r="B4139" i="22"/>
  <c r="B4138" i="22"/>
  <c r="B4137" i="22"/>
  <c r="B4136" i="22"/>
  <c r="B4135" i="22"/>
  <c r="B4134" i="22"/>
  <c r="B4133" i="22"/>
  <c r="B4132" i="22"/>
  <c r="B4131" i="22"/>
  <c r="B4130" i="22"/>
  <c r="B4129" i="22"/>
  <c r="B4128" i="22"/>
  <c r="B4127" i="22"/>
  <c r="B4126" i="22"/>
  <c r="B4125" i="22"/>
  <c r="B4124" i="22"/>
  <c r="B4123" i="22"/>
  <c r="B4122" i="22"/>
  <c r="B4121" i="22"/>
  <c r="B4120" i="22"/>
  <c r="B4119" i="22"/>
  <c r="B4118" i="22"/>
  <c r="B4117" i="22"/>
  <c r="B4116" i="22"/>
  <c r="B4115" i="22"/>
  <c r="B4114" i="22"/>
  <c r="B4113" i="22"/>
  <c r="B4112" i="22"/>
  <c r="B4111" i="22"/>
  <c r="B4110" i="22"/>
  <c r="B4109" i="22"/>
  <c r="B4108" i="22"/>
  <c r="B4107" i="22"/>
  <c r="B4106" i="22"/>
  <c r="B4105" i="22"/>
  <c r="B4104" i="22"/>
  <c r="B4103" i="22"/>
  <c r="B4102" i="22"/>
  <c r="B4101" i="22"/>
  <c r="B4100" i="22"/>
  <c r="B4099" i="22"/>
  <c r="B4098" i="22"/>
  <c r="B4097" i="22"/>
  <c r="B4096" i="22"/>
  <c r="B4095" i="22"/>
  <c r="B4094" i="22"/>
  <c r="B4093" i="22"/>
  <c r="B4092" i="22"/>
  <c r="B4091" i="22"/>
  <c r="B4090" i="22"/>
  <c r="B4089" i="22"/>
  <c r="B4088" i="22"/>
  <c r="B4087" i="22"/>
  <c r="B4086" i="22"/>
  <c r="B4085" i="22"/>
  <c r="B4084" i="22"/>
  <c r="B4083" i="22"/>
  <c r="B4082" i="22"/>
  <c r="B4081" i="22"/>
  <c r="B4080" i="22"/>
  <c r="B4079" i="22"/>
  <c r="B4078" i="22"/>
  <c r="B4077" i="22"/>
  <c r="B4076" i="22"/>
  <c r="B4075" i="22"/>
  <c r="B4074" i="22"/>
  <c r="B4073" i="22"/>
  <c r="B4072" i="22"/>
  <c r="B4071" i="22"/>
  <c r="B4070" i="22"/>
  <c r="B4069" i="22"/>
  <c r="B4068" i="22"/>
  <c r="B4067" i="22"/>
  <c r="B4066" i="22"/>
  <c r="B4065" i="22"/>
  <c r="B4064" i="22"/>
  <c r="B4063" i="22"/>
  <c r="B4062" i="22"/>
  <c r="B4061" i="22"/>
  <c r="B4060" i="22"/>
  <c r="B4059" i="22"/>
  <c r="B4058" i="22"/>
  <c r="B4057" i="22"/>
  <c r="B4056" i="22"/>
  <c r="B4055" i="22"/>
  <c r="B4054" i="22"/>
  <c r="B4053" i="22"/>
  <c r="B4052" i="22"/>
  <c r="B4051" i="22"/>
  <c r="B4050" i="22"/>
  <c r="B4049" i="22"/>
  <c r="B4048" i="22"/>
  <c r="B4047" i="22"/>
  <c r="B4046" i="22"/>
  <c r="B4045" i="22"/>
  <c r="B4044" i="22"/>
  <c r="B4043" i="22"/>
  <c r="B4042" i="22"/>
  <c r="B4041" i="22"/>
  <c r="B4040" i="22"/>
  <c r="B4039" i="22"/>
  <c r="B4038" i="22"/>
  <c r="B4037" i="22"/>
  <c r="B4036" i="22"/>
  <c r="B4035" i="22"/>
  <c r="B4034" i="22"/>
  <c r="B4033" i="22"/>
  <c r="B4032" i="22"/>
  <c r="B4031" i="22"/>
  <c r="B4030" i="22"/>
  <c r="B4029" i="22"/>
  <c r="B4028" i="22"/>
  <c r="B4027" i="22"/>
  <c r="B4026" i="22"/>
  <c r="B4025" i="22"/>
  <c r="B4024" i="22"/>
  <c r="B4023" i="22"/>
  <c r="B4022" i="22"/>
  <c r="B4021" i="22"/>
  <c r="B4020" i="22"/>
  <c r="B4019" i="22"/>
  <c r="B4018" i="22"/>
  <c r="B4017" i="22"/>
  <c r="B4016" i="22"/>
  <c r="B4015" i="22"/>
  <c r="B4014" i="22"/>
  <c r="B4013" i="22"/>
  <c r="B4012" i="22"/>
  <c r="B4011" i="22"/>
  <c r="B4010" i="22"/>
  <c r="B4009" i="22"/>
  <c r="B4008" i="22"/>
  <c r="B4007" i="22"/>
  <c r="B4006" i="22"/>
  <c r="B4005" i="22"/>
  <c r="B4004" i="22"/>
  <c r="B4003" i="22"/>
  <c r="B4002" i="22"/>
  <c r="B4001" i="22"/>
  <c r="B4000" i="22"/>
  <c r="B3999" i="22"/>
  <c r="B3998" i="22"/>
  <c r="B3997" i="22"/>
  <c r="B3996" i="22"/>
  <c r="B3995" i="22"/>
  <c r="B3994" i="22"/>
  <c r="B3993" i="22"/>
  <c r="B3992" i="22"/>
  <c r="B3991" i="22"/>
  <c r="B3990" i="22"/>
  <c r="B3989" i="22"/>
  <c r="B3988" i="22"/>
  <c r="B3987" i="22"/>
  <c r="B3986" i="22"/>
  <c r="B3985" i="22"/>
  <c r="B3984" i="22"/>
  <c r="B3983" i="22"/>
  <c r="B3982" i="22"/>
  <c r="B3981" i="22"/>
  <c r="B3980" i="22"/>
  <c r="B3979" i="22"/>
  <c r="B3978" i="22"/>
  <c r="B3977" i="22"/>
  <c r="B3976" i="22"/>
  <c r="B3975" i="22"/>
  <c r="B3974" i="22"/>
  <c r="B3973" i="22"/>
  <c r="B3972" i="22"/>
  <c r="B3971" i="22"/>
  <c r="B3970" i="22"/>
  <c r="B3969" i="22"/>
  <c r="B3968" i="22"/>
  <c r="B3967" i="22"/>
  <c r="B3966" i="22"/>
  <c r="B3965" i="22"/>
  <c r="B3964" i="22"/>
  <c r="B3963" i="22"/>
  <c r="B3962" i="22"/>
  <c r="B3961" i="22"/>
  <c r="B3960" i="22"/>
  <c r="B3959" i="22"/>
  <c r="B3958" i="22"/>
  <c r="B3957" i="22"/>
  <c r="B3956" i="22"/>
  <c r="B3955" i="22"/>
  <c r="B3954" i="22"/>
  <c r="B3953" i="22"/>
  <c r="B3952" i="22"/>
  <c r="B3951" i="22"/>
  <c r="B3950" i="22"/>
  <c r="B3949" i="22"/>
  <c r="B3948" i="22"/>
  <c r="B3947" i="22"/>
  <c r="B3946" i="22"/>
  <c r="B3945" i="22"/>
  <c r="B3944" i="22"/>
  <c r="B3943" i="22"/>
  <c r="B3942" i="22"/>
  <c r="B3941" i="22"/>
  <c r="B3940" i="22"/>
  <c r="B3939" i="22"/>
  <c r="B3938" i="22"/>
  <c r="B3937" i="22"/>
  <c r="B3936" i="22"/>
  <c r="B3935" i="22"/>
  <c r="B3934" i="22"/>
  <c r="B3933" i="22"/>
  <c r="B3932" i="22"/>
  <c r="B3931" i="22"/>
  <c r="B3930" i="22"/>
  <c r="B3929" i="22"/>
  <c r="B3928" i="22"/>
  <c r="B3927" i="22"/>
  <c r="B3926" i="22"/>
  <c r="B3925" i="22"/>
  <c r="B3924" i="22"/>
  <c r="B3923" i="22"/>
  <c r="B3922" i="22"/>
  <c r="B3921" i="22"/>
  <c r="B3920" i="22"/>
  <c r="B3919" i="22"/>
  <c r="B3918" i="22"/>
  <c r="B3917" i="22"/>
  <c r="B3916" i="22"/>
  <c r="B3915" i="22"/>
  <c r="B3914" i="22"/>
  <c r="B3913" i="22"/>
  <c r="B3912" i="22"/>
  <c r="B3911" i="22"/>
  <c r="B3910" i="22"/>
  <c r="B3909" i="22"/>
  <c r="B3908" i="22"/>
  <c r="B3907" i="22"/>
  <c r="B3906" i="22"/>
  <c r="B3905" i="22"/>
  <c r="B3904" i="22"/>
  <c r="B3903" i="22"/>
  <c r="B3902" i="22"/>
  <c r="B3901" i="22"/>
  <c r="B3900" i="22"/>
  <c r="B3899" i="22"/>
  <c r="B3898" i="22"/>
  <c r="B3897" i="22"/>
  <c r="B3896" i="22"/>
  <c r="B3895" i="22"/>
  <c r="B3894" i="22"/>
  <c r="B3893" i="22"/>
  <c r="B3892" i="22"/>
  <c r="B3891" i="22"/>
  <c r="B3890" i="22"/>
  <c r="B3889" i="22"/>
  <c r="B3888" i="22"/>
  <c r="B3887" i="22"/>
  <c r="B3886" i="22"/>
  <c r="B3885" i="22"/>
  <c r="B3884" i="22"/>
  <c r="B3883" i="22"/>
  <c r="B3882" i="22"/>
  <c r="B3881" i="22"/>
  <c r="B3880" i="22"/>
  <c r="B3879" i="22"/>
  <c r="B3878" i="22"/>
  <c r="B3877" i="22"/>
  <c r="B3876" i="22"/>
  <c r="B3875" i="22"/>
  <c r="B3874" i="22"/>
  <c r="B3873" i="22"/>
  <c r="B3872" i="22"/>
  <c r="B3871" i="22"/>
  <c r="B3870" i="22"/>
  <c r="B3869" i="22"/>
  <c r="B3868" i="22"/>
  <c r="B3867" i="22"/>
  <c r="B3866" i="22"/>
  <c r="B3865" i="22"/>
  <c r="B3864" i="22"/>
  <c r="B3863" i="22"/>
  <c r="B3862" i="22"/>
  <c r="B3861" i="22"/>
  <c r="B3860" i="22"/>
  <c r="B3859" i="22"/>
  <c r="B3858" i="22"/>
  <c r="B3857" i="22"/>
  <c r="B3856" i="22"/>
  <c r="B3855" i="22"/>
  <c r="B3854" i="22"/>
  <c r="B3853" i="22"/>
  <c r="B3852" i="22"/>
  <c r="B3851" i="22"/>
  <c r="B3850" i="22"/>
  <c r="B3849" i="22"/>
  <c r="B3848" i="22"/>
  <c r="B3847" i="22"/>
  <c r="B3846" i="22"/>
  <c r="B3845" i="22"/>
  <c r="B3844" i="22"/>
  <c r="B3843" i="22"/>
  <c r="B3842" i="22"/>
  <c r="B3841" i="22"/>
  <c r="B3840" i="22"/>
  <c r="B3839" i="22"/>
  <c r="B3838" i="22"/>
  <c r="B3837" i="22"/>
  <c r="B3836" i="22"/>
  <c r="B3835" i="22"/>
  <c r="B3834" i="22"/>
  <c r="B3833" i="22"/>
  <c r="B3832" i="22"/>
  <c r="B3831" i="22"/>
  <c r="B3830" i="22"/>
  <c r="B3829" i="22"/>
  <c r="B3828" i="22"/>
  <c r="B3827" i="22"/>
  <c r="B3826" i="22"/>
  <c r="B3825" i="22"/>
  <c r="B3824" i="22"/>
  <c r="B3823" i="22"/>
  <c r="B3822" i="22"/>
  <c r="B3821" i="22"/>
  <c r="B3820" i="22"/>
  <c r="B3819" i="22"/>
  <c r="B3818" i="22"/>
  <c r="B3817" i="22"/>
  <c r="B3816" i="22"/>
  <c r="B3815" i="22"/>
  <c r="B3814" i="22"/>
  <c r="B3813" i="22"/>
  <c r="B3812" i="22"/>
  <c r="B3811" i="22"/>
  <c r="B3810" i="22"/>
  <c r="B3809" i="22"/>
  <c r="B3808" i="22"/>
  <c r="B3807" i="22"/>
  <c r="B3806" i="22"/>
  <c r="B3805" i="22"/>
  <c r="B3804" i="22"/>
  <c r="B3803" i="22"/>
  <c r="B3802" i="22"/>
  <c r="B3801" i="22"/>
  <c r="B3800" i="22"/>
  <c r="B3799" i="22"/>
  <c r="B3798" i="22"/>
  <c r="B3797" i="22"/>
  <c r="B3796" i="22"/>
  <c r="B3795" i="22"/>
  <c r="B3794" i="22"/>
  <c r="B3793" i="22"/>
  <c r="B3792" i="22"/>
  <c r="B3791" i="22"/>
  <c r="B3790" i="22"/>
  <c r="B3789" i="22"/>
  <c r="B3788" i="22"/>
  <c r="B3787" i="22"/>
  <c r="B3786" i="22"/>
  <c r="B3785" i="22"/>
  <c r="B3784" i="22"/>
  <c r="B3783" i="22"/>
  <c r="B3782" i="22"/>
  <c r="B3781" i="22"/>
  <c r="B3780" i="22"/>
  <c r="B3779" i="22"/>
  <c r="B3778" i="22"/>
  <c r="B3777" i="22"/>
  <c r="B3776" i="22"/>
  <c r="B3775" i="22"/>
  <c r="B3774" i="22"/>
  <c r="B3773" i="22"/>
  <c r="B3772" i="22"/>
  <c r="B3771" i="22"/>
  <c r="B3770" i="22"/>
  <c r="B3769" i="22"/>
  <c r="B3768" i="22"/>
  <c r="B3767" i="22"/>
  <c r="B3766" i="22"/>
  <c r="B3765" i="22"/>
  <c r="B3764" i="22"/>
  <c r="B3763" i="22"/>
  <c r="B3762" i="22"/>
  <c r="B3761" i="22"/>
  <c r="B3760" i="22"/>
  <c r="B3759" i="22"/>
  <c r="B3758" i="22"/>
  <c r="B3757" i="22"/>
  <c r="B3756" i="22"/>
  <c r="B3755" i="22"/>
  <c r="B3754" i="22"/>
  <c r="B3753" i="22"/>
  <c r="B3752" i="22"/>
  <c r="B3751" i="22"/>
  <c r="B3750" i="22"/>
  <c r="B3749" i="22"/>
  <c r="B3748" i="22"/>
  <c r="B3747" i="22"/>
  <c r="B3746" i="22"/>
  <c r="B3745" i="22"/>
  <c r="B3744" i="22"/>
  <c r="B3743" i="22"/>
  <c r="B3742" i="22"/>
  <c r="B3741" i="22"/>
  <c r="B3740" i="22"/>
  <c r="B3739" i="22"/>
  <c r="B3738" i="22"/>
  <c r="B3737" i="22"/>
  <c r="B3736" i="22"/>
  <c r="B3735" i="22"/>
  <c r="B3734" i="22"/>
  <c r="B3733" i="22"/>
  <c r="B3732" i="22"/>
  <c r="B3731" i="22"/>
  <c r="B3730" i="22"/>
  <c r="B3729" i="22"/>
  <c r="B3728" i="22"/>
  <c r="B3727" i="22"/>
  <c r="B3726" i="22"/>
  <c r="B3725" i="22"/>
  <c r="B3724" i="22"/>
  <c r="B3723" i="22"/>
  <c r="B3722" i="22"/>
  <c r="B3721" i="22"/>
  <c r="B3720" i="22"/>
  <c r="B3719" i="22"/>
  <c r="B3718" i="22"/>
  <c r="B3717" i="22"/>
  <c r="B3716" i="22"/>
  <c r="B3715" i="22"/>
  <c r="B3714" i="22"/>
  <c r="B3713" i="22"/>
  <c r="B3712" i="22"/>
  <c r="B3711" i="22"/>
  <c r="B3710" i="22"/>
  <c r="B3709" i="22"/>
  <c r="B3708" i="22"/>
  <c r="B3707" i="22"/>
  <c r="B3706" i="22"/>
  <c r="B3705" i="22"/>
  <c r="B3704" i="22"/>
  <c r="B3703" i="22"/>
  <c r="B3702" i="22"/>
  <c r="B3701" i="22"/>
  <c r="B3700" i="22"/>
  <c r="B3699" i="22"/>
  <c r="B3698" i="22"/>
  <c r="B3697" i="22"/>
  <c r="B3696" i="22"/>
  <c r="B3695" i="22"/>
  <c r="B3694" i="22"/>
  <c r="B3693" i="22"/>
  <c r="B3692" i="22"/>
  <c r="B3691" i="22"/>
  <c r="B3690" i="22"/>
  <c r="B3689" i="22"/>
  <c r="B3688" i="22"/>
  <c r="B3687" i="22"/>
  <c r="B3686" i="22"/>
  <c r="B3685" i="22"/>
  <c r="B3684" i="22"/>
  <c r="B3683" i="22"/>
  <c r="B3682" i="22"/>
  <c r="B3681" i="22"/>
  <c r="B3680" i="22"/>
  <c r="B3679" i="22"/>
  <c r="B3678" i="22"/>
  <c r="B3677" i="22"/>
  <c r="B3676" i="22"/>
  <c r="B3675" i="22"/>
  <c r="B3674" i="22"/>
  <c r="B3673" i="22"/>
  <c r="B3672" i="22"/>
  <c r="B3671" i="22"/>
  <c r="B3670" i="22"/>
  <c r="B3669" i="22"/>
  <c r="B3668" i="22"/>
  <c r="B3667" i="22"/>
  <c r="B3666" i="22"/>
  <c r="B3665" i="22"/>
  <c r="B3664" i="22"/>
  <c r="B3663" i="22"/>
  <c r="B3662" i="22"/>
  <c r="B3661" i="22"/>
  <c r="B3660" i="22"/>
  <c r="B3659" i="22"/>
  <c r="B3658" i="22"/>
  <c r="B3657" i="22"/>
  <c r="B3656" i="22"/>
  <c r="B3655" i="22"/>
  <c r="B3654" i="22"/>
  <c r="B3653" i="22"/>
  <c r="B3652" i="22"/>
  <c r="B3651" i="22"/>
  <c r="B3650" i="22"/>
  <c r="B3649" i="22"/>
  <c r="B3648" i="22"/>
  <c r="B3647" i="22"/>
  <c r="B3646" i="22"/>
  <c r="B3645" i="22"/>
  <c r="B3644" i="22"/>
  <c r="B3643" i="22"/>
  <c r="B3642" i="22"/>
  <c r="B3641" i="22"/>
  <c r="B3640" i="22"/>
  <c r="B3639" i="22"/>
  <c r="B3638" i="22"/>
  <c r="B3637" i="22"/>
  <c r="B3636" i="22"/>
  <c r="B3635" i="22"/>
  <c r="B3634" i="22"/>
  <c r="B3633" i="22"/>
  <c r="B3632" i="22"/>
  <c r="B3631" i="22"/>
  <c r="B3630" i="22"/>
  <c r="B3629" i="22"/>
  <c r="B3628" i="22"/>
  <c r="B3627" i="22"/>
  <c r="B3626" i="22"/>
  <c r="B3625" i="22"/>
  <c r="B3624" i="22"/>
  <c r="B3623" i="22"/>
  <c r="B3622" i="22"/>
  <c r="B3621" i="22"/>
  <c r="B3620" i="22"/>
  <c r="B3619" i="22"/>
  <c r="B3618" i="22"/>
  <c r="B3617" i="22"/>
  <c r="B3616" i="22"/>
  <c r="B3615" i="22"/>
  <c r="B3614" i="22"/>
  <c r="B3613" i="22"/>
  <c r="B3612" i="22"/>
  <c r="B3611" i="22"/>
  <c r="B3610" i="22"/>
  <c r="B3609" i="22"/>
  <c r="B3608" i="22"/>
  <c r="B3607" i="22"/>
  <c r="B3606" i="22"/>
  <c r="B3605" i="22"/>
  <c r="B3604" i="22"/>
  <c r="B3603" i="22"/>
  <c r="B3602" i="22"/>
  <c r="B3601" i="22"/>
  <c r="B3600" i="22"/>
  <c r="B3599" i="22"/>
  <c r="B3598" i="22"/>
  <c r="B3597" i="22"/>
  <c r="B3596" i="22"/>
  <c r="B3595" i="22"/>
  <c r="B3594" i="22"/>
  <c r="B3593" i="22"/>
  <c r="B3592" i="22"/>
  <c r="B3591" i="22"/>
  <c r="B3590" i="22"/>
  <c r="B3589" i="22"/>
  <c r="B3588" i="22"/>
  <c r="B3587" i="22"/>
  <c r="B3586" i="22"/>
  <c r="B3585" i="22"/>
  <c r="B3584" i="22"/>
  <c r="B3583" i="22"/>
  <c r="B3582" i="22"/>
  <c r="B3581" i="22"/>
  <c r="B3580" i="22"/>
  <c r="B3579" i="22"/>
  <c r="B3578" i="22"/>
  <c r="B3577" i="22"/>
  <c r="B3576" i="22"/>
  <c r="B3575" i="22"/>
  <c r="B3574" i="22"/>
  <c r="B3573" i="22"/>
  <c r="B3572" i="22"/>
  <c r="B3571" i="22"/>
  <c r="B3570" i="22"/>
  <c r="B3569" i="22"/>
  <c r="B3568" i="22"/>
  <c r="B3567" i="22"/>
  <c r="B3566" i="22"/>
  <c r="B3565" i="22"/>
  <c r="B3564" i="22"/>
  <c r="B3563" i="22"/>
  <c r="B3562" i="22"/>
  <c r="B3561" i="22"/>
  <c r="B3560" i="22"/>
  <c r="B3559" i="22"/>
  <c r="B3558" i="22"/>
  <c r="B3557" i="22"/>
  <c r="B3556" i="22"/>
  <c r="B3555" i="22"/>
  <c r="B3554" i="22"/>
  <c r="B3553" i="22"/>
  <c r="B3552" i="22"/>
  <c r="B3551" i="22"/>
  <c r="B3550" i="22"/>
  <c r="B3549" i="22"/>
  <c r="B3548" i="22"/>
  <c r="B3547" i="22"/>
  <c r="B3546" i="22"/>
  <c r="B3545" i="22"/>
  <c r="B3544" i="22"/>
  <c r="B3543" i="22"/>
  <c r="B3542" i="22"/>
  <c r="B3541" i="22"/>
  <c r="B3540" i="22"/>
  <c r="B3539" i="22"/>
  <c r="B3538" i="22"/>
  <c r="B3537" i="22"/>
  <c r="B3536" i="22"/>
  <c r="B3535" i="22"/>
  <c r="B3534" i="22"/>
  <c r="B3533" i="22"/>
  <c r="B3532" i="22"/>
  <c r="B3531" i="22"/>
  <c r="B3530" i="22"/>
  <c r="B3529" i="22"/>
  <c r="B3528" i="22"/>
  <c r="B3527" i="22"/>
  <c r="B3526" i="22"/>
  <c r="B3525" i="22"/>
  <c r="B3524" i="22"/>
  <c r="B3523" i="22"/>
  <c r="B3522" i="22"/>
  <c r="B3521" i="22"/>
  <c r="B3520" i="22"/>
  <c r="B3519" i="22"/>
  <c r="B3518" i="22"/>
  <c r="B3517" i="22"/>
  <c r="B3516" i="22"/>
  <c r="B3515" i="22"/>
  <c r="B3514" i="22"/>
  <c r="B3513" i="22"/>
  <c r="B3512" i="22"/>
  <c r="B3511" i="22"/>
  <c r="B3510" i="22"/>
  <c r="B3509" i="22"/>
  <c r="B3508" i="22"/>
  <c r="B3507" i="22"/>
  <c r="B3506" i="22"/>
  <c r="B3505" i="22"/>
  <c r="B3504" i="22"/>
  <c r="B3503" i="22"/>
  <c r="B3502" i="22"/>
  <c r="B3501" i="22"/>
  <c r="B3500" i="22"/>
  <c r="B3499" i="22"/>
  <c r="B3498" i="22"/>
  <c r="B3497" i="22"/>
  <c r="B3496" i="22"/>
  <c r="B3495" i="22"/>
  <c r="B3494" i="22"/>
  <c r="B3493" i="22"/>
  <c r="B3492" i="22"/>
  <c r="B3491" i="22"/>
  <c r="B3490" i="22"/>
  <c r="B3489" i="22"/>
  <c r="B3488" i="22"/>
  <c r="B3487" i="22"/>
  <c r="B3486" i="22"/>
  <c r="B3485" i="22"/>
  <c r="B3484" i="22"/>
  <c r="B3483" i="22"/>
  <c r="B3482" i="22"/>
  <c r="B3481" i="22"/>
  <c r="B3480" i="22"/>
  <c r="B3479" i="22"/>
  <c r="B3478" i="22"/>
  <c r="B3477" i="22"/>
  <c r="B3476" i="22"/>
  <c r="B3475" i="22"/>
  <c r="B3474" i="22"/>
  <c r="B3473" i="22"/>
  <c r="B3472" i="22"/>
  <c r="B3471" i="22"/>
  <c r="B3470" i="22"/>
  <c r="B3469" i="22"/>
  <c r="B3468" i="22"/>
  <c r="B3467" i="22"/>
  <c r="B3466" i="22"/>
  <c r="B3465" i="22"/>
  <c r="B3464" i="22"/>
  <c r="B3463" i="22"/>
  <c r="B3462" i="22"/>
  <c r="B3461" i="22"/>
  <c r="B3460" i="22"/>
  <c r="B3459" i="22"/>
  <c r="B3458" i="22"/>
  <c r="B3457" i="22"/>
  <c r="B3456" i="22"/>
  <c r="B3455" i="22"/>
  <c r="B3454" i="22"/>
  <c r="B3453" i="22"/>
  <c r="B3452" i="22"/>
  <c r="B3451" i="22"/>
  <c r="B3450" i="22"/>
  <c r="B3449" i="22"/>
  <c r="B3448" i="22"/>
  <c r="B3447" i="22"/>
  <c r="B3446" i="22"/>
  <c r="B3445" i="22"/>
  <c r="B3444" i="22"/>
  <c r="B3443" i="22"/>
  <c r="B3442" i="22"/>
  <c r="B3441" i="22"/>
  <c r="B3440" i="22"/>
  <c r="B3439" i="22"/>
  <c r="B3438" i="22"/>
  <c r="B3437" i="22"/>
  <c r="B3436" i="22"/>
  <c r="B3435" i="22"/>
  <c r="B3434" i="22"/>
  <c r="B3433" i="22"/>
  <c r="B3432" i="22"/>
  <c r="B3431" i="22"/>
  <c r="B3430" i="22"/>
  <c r="B3429" i="22"/>
  <c r="B3428" i="22"/>
  <c r="B3427" i="22"/>
  <c r="B3426" i="22"/>
  <c r="B3425" i="22"/>
  <c r="B3424" i="22"/>
  <c r="B3423" i="22"/>
  <c r="B3422" i="22"/>
  <c r="B3421" i="22"/>
  <c r="B3420" i="22"/>
  <c r="B3419" i="22"/>
  <c r="B3418" i="22"/>
  <c r="B3417" i="22"/>
  <c r="B3416" i="22"/>
  <c r="B3415" i="22"/>
  <c r="B3414" i="22"/>
  <c r="B3413" i="22"/>
  <c r="B3412" i="22"/>
  <c r="B3411" i="22"/>
  <c r="B3410" i="22"/>
  <c r="B3409" i="22"/>
  <c r="B3408" i="22"/>
  <c r="B3407" i="22"/>
  <c r="B3406" i="22"/>
  <c r="B3405" i="22"/>
  <c r="B3404" i="22"/>
  <c r="B3403" i="22"/>
  <c r="B3402" i="22"/>
  <c r="B3401" i="22"/>
  <c r="B3400" i="22"/>
  <c r="B3399" i="22"/>
  <c r="B3398" i="22"/>
  <c r="B3397" i="22"/>
  <c r="B3396" i="22"/>
  <c r="B3395" i="22"/>
  <c r="B3394" i="22"/>
  <c r="B3393" i="22"/>
  <c r="B3392" i="22"/>
  <c r="B3391" i="22"/>
  <c r="B3390" i="22"/>
  <c r="B3389" i="22"/>
  <c r="B3388" i="22"/>
  <c r="B3387" i="22"/>
  <c r="B3386" i="22"/>
  <c r="B3385" i="22"/>
  <c r="B3384" i="22"/>
  <c r="B3383" i="22"/>
  <c r="B3382" i="22"/>
  <c r="B3381" i="22"/>
  <c r="B3380" i="22"/>
  <c r="B3379" i="22"/>
  <c r="B3378" i="22"/>
  <c r="B3377" i="22"/>
  <c r="B3376" i="22"/>
  <c r="B3375" i="22"/>
  <c r="B3374" i="22"/>
  <c r="B3373" i="22"/>
  <c r="B3372" i="22"/>
  <c r="B3371" i="22"/>
  <c r="B3370" i="22"/>
  <c r="B3369" i="22"/>
  <c r="B3368" i="22"/>
  <c r="B3367" i="22"/>
  <c r="B3366" i="22"/>
  <c r="B3365" i="22"/>
  <c r="B3364" i="22"/>
  <c r="B3363" i="22"/>
  <c r="B3362" i="22"/>
  <c r="B3361" i="22"/>
  <c r="B3360" i="22"/>
  <c r="B3359" i="22"/>
  <c r="B3358" i="22"/>
  <c r="B3357" i="22"/>
  <c r="B3356" i="22"/>
  <c r="B3355" i="22"/>
  <c r="B3354" i="22"/>
  <c r="B3353" i="22"/>
  <c r="B3352" i="22"/>
  <c r="B3351" i="22"/>
  <c r="B3350" i="22"/>
  <c r="B3349" i="22"/>
  <c r="B3348" i="22"/>
  <c r="B3347" i="22"/>
  <c r="B3346" i="22"/>
  <c r="B3345" i="22"/>
  <c r="B3344" i="22"/>
  <c r="B3343" i="22"/>
  <c r="B3342" i="22"/>
  <c r="B3341" i="22"/>
  <c r="B3340" i="22"/>
  <c r="B3339" i="22"/>
  <c r="B3338" i="22"/>
  <c r="B3337" i="22"/>
  <c r="B3336" i="22"/>
  <c r="B3335" i="22"/>
  <c r="B3334" i="22"/>
  <c r="B3333" i="22"/>
  <c r="B3332" i="22"/>
  <c r="B3331" i="22"/>
  <c r="B3330" i="22"/>
  <c r="B3329" i="22"/>
  <c r="B3328" i="22"/>
  <c r="B3327" i="22"/>
  <c r="B3326" i="22"/>
  <c r="B3325" i="22"/>
  <c r="B3324" i="22"/>
  <c r="B3323" i="22"/>
  <c r="B3322" i="22"/>
  <c r="B3321" i="22"/>
  <c r="B3320" i="22"/>
  <c r="B3319" i="22"/>
  <c r="B3318" i="22"/>
  <c r="B3317" i="22"/>
  <c r="B3316" i="22"/>
  <c r="B3315" i="22"/>
  <c r="B3314" i="22"/>
  <c r="B3313" i="22"/>
  <c r="B3312" i="22"/>
  <c r="B3311" i="22"/>
  <c r="B3310" i="22"/>
  <c r="B3309" i="22"/>
  <c r="B3308" i="22"/>
  <c r="B3307" i="22"/>
  <c r="B3306" i="22"/>
  <c r="B3305" i="22"/>
  <c r="B3304" i="22"/>
  <c r="B3303" i="22"/>
  <c r="B3302" i="22"/>
  <c r="B3301" i="22"/>
  <c r="B3300" i="22"/>
  <c r="B3299" i="22"/>
  <c r="B3298" i="22"/>
  <c r="B3297" i="22"/>
  <c r="B3296" i="22"/>
  <c r="B3295" i="22"/>
  <c r="B3294" i="22"/>
  <c r="B3293" i="22"/>
  <c r="B3292" i="22"/>
  <c r="B3291" i="22"/>
  <c r="B3290" i="22"/>
  <c r="B3289" i="22"/>
  <c r="B3288" i="22"/>
  <c r="B3287" i="22"/>
  <c r="B3286" i="22"/>
  <c r="B3285" i="22"/>
  <c r="B3284" i="22"/>
  <c r="B3283" i="22"/>
  <c r="B3282" i="22"/>
  <c r="B3281" i="22"/>
  <c r="B3280" i="22"/>
  <c r="B3279" i="22"/>
  <c r="B3278" i="22"/>
  <c r="B3277" i="22"/>
  <c r="B3276" i="22"/>
  <c r="B3275" i="22"/>
  <c r="B3274" i="22"/>
  <c r="B3273" i="22"/>
  <c r="B3272" i="22"/>
  <c r="B3271" i="22"/>
  <c r="B3270" i="22"/>
  <c r="B3269" i="22"/>
  <c r="B3268" i="22"/>
  <c r="B3267" i="22"/>
  <c r="B3266" i="22"/>
  <c r="B3265" i="22"/>
  <c r="B3264" i="22"/>
  <c r="B3263" i="22"/>
  <c r="B3262" i="22"/>
  <c r="B3261" i="22"/>
  <c r="B3260" i="22"/>
  <c r="B3259" i="22"/>
  <c r="B3258" i="22"/>
  <c r="B3257" i="22"/>
  <c r="B3256" i="22"/>
  <c r="B3255" i="22"/>
  <c r="B3254" i="22"/>
  <c r="B3253" i="22"/>
  <c r="B3252" i="22"/>
  <c r="B3251" i="22"/>
  <c r="B3250" i="22"/>
  <c r="B3249" i="22"/>
  <c r="B3248" i="22"/>
  <c r="B3247" i="22"/>
  <c r="B3246" i="22"/>
  <c r="B3245" i="22"/>
  <c r="B3244" i="22"/>
  <c r="B3243" i="22"/>
  <c r="B3242" i="22"/>
  <c r="B3241" i="22"/>
  <c r="B3240" i="22"/>
  <c r="B3239" i="22"/>
  <c r="B3238" i="22"/>
  <c r="B3237" i="22"/>
  <c r="B3236" i="22"/>
  <c r="B3235" i="22"/>
  <c r="B3234" i="22"/>
  <c r="B3233" i="22"/>
  <c r="B3232" i="22"/>
  <c r="B3231" i="22"/>
  <c r="B3230" i="22"/>
  <c r="B3229" i="22"/>
  <c r="B3228" i="22"/>
  <c r="B3227" i="22"/>
  <c r="B3226" i="22"/>
  <c r="B3225" i="22"/>
  <c r="B3224" i="22"/>
  <c r="B3223" i="22"/>
  <c r="B3222" i="22"/>
  <c r="B3221" i="22"/>
  <c r="B3220" i="22"/>
  <c r="B3219" i="22"/>
  <c r="B3218" i="22"/>
  <c r="B3217" i="22"/>
  <c r="B3216" i="22"/>
  <c r="B3215" i="22"/>
  <c r="B3214" i="22"/>
  <c r="B3213" i="22"/>
  <c r="B3212" i="22"/>
  <c r="B3211" i="22"/>
  <c r="B3210" i="22"/>
  <c r="B3209" i="22"/>
  <c r="B3208" i="22"/>
  <c r="B3207" i="22"/>
  <c r="B3206" i="22"/>
  <c r="B3205" i="22"/>
  <c r="B3204" i="22"/>
  <c r="B3203" i="22"/>
  <c r="B3202" i="22"/>
  <c r="B3201" i="22"/>
  <c r="B3200" i="22"/>
  <c r="B3199" i="22"/>
  <c r="B3198" i="22"/>
  <c r="B3197" i="22"/>
  <c r="B3196" i="22"/>
  <c r="B3195" i="22"/>
  <c r="B3194" i="22"/>
  <c r="B3193" i="22"/>
  <c r="B3192" i="22"/>
  <c r="B3191" i="22"/>
  <c r="B3190" i="22"/>
  <c r="B3189" i="22"/>
  <c r="B3188" i="22"/>
  <c r="B3187" i="22"/>
  <c r="B3186" i="22"/>
  <c r="B3185" i="22"/>
  <c r="B3184" i="22"/>
  <c r="B3183" i="22"/>
  <c r="B3182" i="22"/>
  <c r="B3181" i="22"/>
  <c r="B3180" i="22"/>
  <c r="B3179" i="22"/>
  <c r="B3178" i="22"/>
  <c r="B3177" i="22"/>
  <c r="B3176" i="22"/>
  <c r="B3175" i="22"/>
  <c r="B3174" i="22"/>
  <c r="B3173" i="22"/>
  <c r="B3172" i="22"/>
  <c r="B3171" i="22"/>
  <c r="B3170" i="22"/>
  <c r="B3169" i="22"/>
  <c r="B3168" i="22"/>
  <c r="B3167" i="22"/>
  <c r="B3166" i="22"/>
  <c r="B3165" i="22"/>
  <c r="B3164" i="22"/>
  <c r="B3163" i="22"/>
  <c r="B3162" i="22"/>
  <c r="B3161" i="22"/>
  <c r="B3160" i="22"/>
  <c r="B3159" i="22"/>
  <c r="B3158" i="22"/>
  <c r="B3157" i="22"/>
  <c r="B3156" i="22"/>
  <c r="B3155" i="22"/>
  <c r="B3154" i="22"/>
  <c r="B3153" i="22"/>
  <c r="B3152" i="22"/>
  <c r="B3151" i="22"/>
  <c r="B3150" i="22"/>
  <c r="B3149" i="22"/>
  <c r="B3148" i="22"/>
  <c r="B3147" i="22"/>
  <c r="B3146" i="22"/>
  <c r="B3145" i="22"/>
  <c r="B3144" i="22"/>
  <c r="B3143" i="22"/>
  <c r="B3142" i="22"/>
  <c r="B3141" i="22"/>
  <c r="B3140" i="22"/>
  <c r="B3139" i="22"/>
  <c r="B3138" i="22"/>
  <c r="B3137" i="22"/>
  <c r="B3136" i="22"/>
  <c r="B3135" i="22"/>
  <c r="B3134" i="22"/>
  <c r="B3133" i="22"/>
  <c r="B3132" i="22"/>
  <c r="B3131" i="22"/>
  <c r="B3130" i="22"/>
  <c r="B3129" i="22"/>
  <c r="B3128" i="22"/>
  <c r="B3127" i="22"/>
  <c r="B3126" i="22"/>
  <c r="B3125" i="22"/>
  <c r="B3124" i="22"/>
  <c r="B3123" i="22"/>
  <c r="B3122" i="22"/>
  <c r="B3121" i="22"/>
  <c r="B3120" i="22"/>
  <c r="B3119" i="22"/>
  <c r="B3118" i="22"/>
  <c r="B3117" i="22"/>
  <c r="B3116" i="22"/>
  <c r="B3115" i="22"/>
  <c r="B3114" i="22"/>
  <c r="B3113" i="22"/>
  <c r="B3112" i="22"/>
  <c r="B3111" i="22"/>
  <c r="B3110" i="22"/>
  <c r="B3109" i="22"/>
  <c r="B3108" i="22"/>
  <c r="B3107" i="22"/>
  <c r="B3106" i="22"/>
  <c r="B3105" i="22"/>
  <c r="B3104" i="22"/>
  <c r="B3103" i="22"/>
  <c r="B3102" i="22"/>
  <c r="B3101" i="22"/>
  <c r="B3100" i="22"/>
  <c r="B3099" i="22"/>
  <c r="B3098" i="22"/>
  <c r="B3097" i="22"/>
  <c r="B3096" i="22"/>
  <c r="B3095" i="22"/>
  <c r="B3094" i="22"/>
  <c r="B3093" i="22"/>
  <c r="B3092" i="22"/>
  <c r="B3091" i="22"/>
  <c r="B3090" i="22"/>
  <c r="B3089" i="22"/>
  <c r="B3088" i="22"/>
  <c r="B3087" i="22"/>
  <c r="B3086" i="22"/>
  <c r="B3085" i="22"/>
  <c r="B3084" i="22"/>
  <c r="B3083" i="22"/>
  <c r="B3082" i="22"/>
  <c r="B3081" i="22"/>
  <c r="B3080" i="22"/>
  <c r="B3079" i="22"/>
  <c r="B3078" i="22"/>
  <c r="B3077" i="22"/>
  <c r="B3076" i="22"/>
  <c r="B3075" i="22"/>
  <c r="B3074" i="22"/>
  <c r="B3073" i="22"/>
  <c r="B3072" i="22"/>
  <c r="B3071" i="22"/>
  <c r="B3070" i="22"/>
  <c r="B3069" i="22"/>
  <c r="B3068" i="22"/>
  <c r="B3067" i="22"/>
  <c r="B3066" i="22"/>
  <c r="B3065" i="22"/>
  <c r="B3064" i="22"/>
  <c r="B3063" i="22"/>
  <c r="B3062" i="22"/>
  <c r="B3061" i="22"/>
  <c r="B3060" i="22"/>
  <c r="B3059" i="22"/>
  <c r="B3058" i="22"/>
  <c r="B3057" i="22"/>
  <c r="B3056" i="22"/>
  <c r="B3055" i="22"/>
  <c r="B3054" i="22"/>
  <c r="B3053" i="22"/>
  <c r="B3052" i="22"/>
  <c r="B3051" i="22"/>
  <c r="B3050" i="22"/>
  <c r="B3049" i="22"/>
  <c r="B3048" i="22"/>
  <c r="B3047" i="22"/>
  <c r="B3046" i="22"/>
  <c r="B3045" i="22"/>
  <c r="B3044" i="22"/>
  <c r="B3043" i="22"/>
  <c r="B3042" i="22"/>
  <c r="B3041" i="22"/>
  <c r="B3040" i="22"/>
  <c r="B3039" i="22"/>
  <c r="B3038" i="22"/>
  <c r="B3037" i="22"/>
  <c r="B3036" i="22"/>
  <c r="B3035" i="22"/>
  <c r="B3034" i="22"/>
  <c r="B3033" i="22"/>
  <c r="B3032" i="22"/>
  <c r="B3031" i="22"/>
  <c r="B3030" i="22"/>
  <c r="B3029" i="22"/>
  <c r="B3028" i="22"/>
  <c r="B3027" i="22"/>
  <c r="B3026" i="22"/>
  <c r="B3025" i="22"/>
  <c r="B3024" i="22"/>
  <c r="B3023" i="22"/>
  <c r="B3022" i="22"/>
  <c r="B3021" i="22"/>
  <c r="B3020" i="22"/>
  <c r="B3019" i="22"/>
  <c r="B3018" i="22"/>
  <c r="B3017" i="22"/>
  <c r="B3016" i="22"/>
  <c r="B3015" i="22"/>
  <c r="B3014" i="22"/>
  <c r="B3013" i="22"/>
  <c r="B3012" i="22"/>
  <c r="B3011" i="22"/>
  <c r="B3010" i="22"/>
  <c r="B3009" i="22"/>
  <c r="B3008" i="22"/>
  <c r="B3007" i="22"/>
  <c r="B3006" i="22"/>
  <c r="B3005" i="22"/>
  <c r="B3004" i="22"/>
  <c r="B3003" i="22"/>
  <c r="B3002" i="22"/>
  <c r="B3001" i="22"/>
  <c r="B3000" i="22"/>
  <c r="B2999" i="22"/>
  <c r="B2998" i="22"/>
  <c r="B2997" i="22"/>
  <c r="B2996" i="22"/>
  <c r="B2995" i="22"/>
  <c r="B2994" i="22"/>
  <c r="B2993" i="22"/>
  <c r="B2992" i="22"/>
  <c r="B2991" i="22"/>
  <c r="B2990" i="22"/>
  <c r="B2989" i="22"/>
  <c r="B2988" i="22"/>
  <c r="B2987" i="22"/>
  <c r="B2986" i="22"/>
  <c r="B2985" i="22"/>
  <c r="B2984" i="22"/>
  <c r="B2983" i="22"/>
  <c r="B2982" i="22"/>
  <c r="B2981" i="22"/>
  <c r="B2980" i="22"/>
  <c r="B2979" i="22"/>
  <c r="B2978" i="22"/>
  <c r="B2977" i="22"/>
  <c r="B2976" i="22"/>
  <c r="B2975" i="22"/>
  <c r="B2974" i="22"/>
  <c r="B2973" i="22"/>
  <c r="B2972" i="22"/>
  <c r="B2971" i="22"/>
  <c r="B2970" i="22"/>
  <c r="B2969" i="22"/>
  <c r="B2968" i="22"/>
  <c r="B2967" i="22"/>
  <c r="B2966" i="22"/>
  <c r="B2965" i="22"/>
  <c r="B2964" i="22"/>
  <c r="B2963" i="22"/>
  <c r="B2962" i="22"/>
  <c r="B2961" i="22"/>
  <c r="B2960" i="22"/>
  <c r="B2959" i="22"/>
  <c r="B2958" i="22"/>
  <c r="B2957" i="22"/>
  <c r="B2956" i="22"/>
  <c r="B2955" i="22"/>
  <c r="B2954" i="22"/>
  <c r="B2953" i="22"/>
  <c r="B2952" i="22"/>
  <c r="B2951" i="22"/>
  <c r="B2950" i="22"/>
  <c r="B2949" i="22"/>
  <c r="B2948" i="22"/>
  <c r="B2947" i="22"/>
  <c r="B2946" i="22"/>
  <c r="B2945" i="22"/>
  <c r="B2944" i="22"/>
  <c r="B2943" i="22"/>
  <c r="B2942" i="22"/>
  <c r="B2941" i="22"/>
  <c r="B2940" i="22"/>
  <c r="B2939" i="22"/>
  <c r="B2938" i="22"/>
  <c r="B2937" i="22"/>
  <c r="B2936" i="22"/>
  <c r="B2935" i="22"/>
  <c r="B2934" i="22"/>
  <c r="B2933" i="22"/>
  <c r="B2932" i="22"/>
  <c r="B2931" i="22"/>
  <c r="B2930" i="22"/>
  <c r="B2929" i="22"/>
  <c r="B2928" i="22"/>
  <c r="B2927" i="22"/>
  <c r="B2926" i="22"/>
  <c r="B2925" i="22"/>
  <c r="B2924" i="22"/>
  <c r="B2923" i="22"/>
  <c r="B2922" i="22"/>
  <c r="B2921" i="22"/>
  <c r="B2920" i="22"/>
  <c r="B2919" i="22"/>
  <c r="B2918" i="22"/>
  <c r="B2917" i="22"/>
  <c r="B2916" i="22"/>
  <c r="B2915" i="22"/>
  <c r="B2914" i="22"/>
  <c r="B2913" i="22"/>
  <c r="B2912" i="22"/>
  <c r="B2911" i="22"/>
  <c r="B2910" i="22"/>
  <c r="B2909" i="22"/>
  <c r="B2908" i="22"/>
  <c r="B2907" i="22"/>
  <c r="B2906" i="22"/>
  <c r="B2905" i="22"/>
  <c r="B2904" i="22"/>
  <c r="B2903" i="22"/>
  <c r="B2902" i="22"/>
  <c r="B2901" i="22"/>
  <c r="B2900" i="22"/>
  <c r="B2899" i="22"/>
  <c r="B2898" i="22"/>
  <c r="B2897" i="22"/>
  <c r="B2896" i="22"/>
  <c r="B2895" i="22"/>
  <c r="B2894" i="22"/>
  <c r="B2893" i="22"/>
  <c r="B2892" i="22"/>
  <c r="B2891" i="22"/>
  <c r="B2890" i="22"/>
  <c r="B2889" i="22"/>
  <c r="B2888" i="22"/>
  <c r="B2887" i="22"/>
  <c r="B2886" i="22"/>
  <c r="B2885" i="22"/>
  <c r="B2884" i="22"/>
  <c r="B2883" i="22"/>
  <c r="B2882" i="22"/>
  <c r="B2881" i="22"/>
  <c r="B2880" i="22"/>
  <c r="B2879" i="22"/>
  <c r="B2878" i="22"/>
  <c r="B2877" i="22"/>
  <c r="B2876" i="22"/>
  <c r="B2875" i="22"/>
  <c r="B2874" i="22"/>
  <c r="B2873" i="22"/>
  <c r="B2872" i="22"/>
  <c r="B2871" i="22"/>
  <c r="B2870" i="22"/>
  <c r="B2869" i="22"/>
  <c r="B2868" i="22"/>
  <c r="B2867" i="22"/>
  <c r="B2866" i="22"/>
  <c r="B2865" i="22"/>
  <c r="B2864" i="22"/>
  <c r="B2863" i="22"/>
  <c r="B2862" i="22"/>
  <c r="B2861" i="22"/>
  <c r="B2860" i="22"/>
  <c r="B2859" i="22"/>
  <c r="B2858" i="22"/>
  <c r="B2857" i="22"/>
  <c r="B2856" i="22"/>
  <c r="B2855" i="22"/>
  <c r="B2854" i="22"/>
  <c r="B2853" i="22"/>
  <c r="B2852" i="22"/>
  <c r="B2851" i="22"/>
  <c r="B2850" i="22"/>
  <c r="B2849" i="22"/>
  <c r="B2848" i="22"/>
  <c r="B2847" i="22"/>
  <c r="B2846" i="22"/>
  <c r="B2845" i="22"/>
  <c r="B2844" i="22"/>
  <c r="B2843" i="22"/>
  <c r="B2842" i="22"/>
  <c r="B2841" i="22"/>
  <c r="B2840" i="22"/>
  <c r="B2839" i="22"/>
  <c r="B2838" i="22"/>
  <c r="B2837" i="22"/>
  <c r="B2836" i="22"/>
  <c r="B2835" i="22"/>
  <c r="B2834" i="22"/>
  <c r="B2833" i="22"/>
  <c r="B2832" i="22"/>
  <c r="B2831" i="22"/>
  <c r="B2830" i="22"/>
  <c r="B2829" i="22"/>
  <c r="B2828" i="22"/>
  <c r="B2827" i="22"/>
  <c r="B2826" i="22"/>
  <c r="B2825" i="22"/>
  <c r="B2824" i="22"/>
  <c r="B2823" i="22"/>
  <c r="B2822" i="22"/>
  <c r="B2821" i="22"/>
  <c r="B2820" i="22"/>
  <c r="B2819" i="22"/>
  <c r="B2818" i="22"/>
  <c r="B2817" i="22"/>
  <c r="B2816" i="22"/>
  <c r="B2815" i="22"/>
  <c r="B2814" i="22"/>
  <c r="B2813" i="22"/>
  <c r="B2812" i="22"/>
  <c r="B2811" i="22"/>
  <c r="B2810" i="22"/>
  <c r="B2809" i="22"/>
  <c r="B2808" i="22"/>
  <c r="B2807" i="22"/>
  <c r="B2806" i="22"/>
  <c r="B2805" i="22"/>
  <c r="B2804" i="22"/>
  <c r="B2803" i="22"/>
  <c r="B2802" i="22"/>
  <c r="B2801" i="22"/>
  <c r="B2800" i="22"/>
  <c r="B2799" i="22"/>
  <c r="B2798" i="22"/>
  <c r="B2797" i="22"/>
  <c r="B2796" i="22"/>
  <c r="B2795" i="22"/>
  <c r="B2794" i="22"/>
  <c r="B2793" i="22"/>
  <c r="B2792" i="22"/>
  <c r="B2791" i="22"/>
  <c r="B2790" i="22"/>
  <c r="B2789" i="22"/>
  <c r="B2788" i="22"/>
  <c r="B2787" i="22"/>
  <c r="B2786" i="22"/>
  <c r="B2785" i="22"/>
  <c r="B2784" i="22"/>
  <c r="B2783" i="22"/>
  <c r="B2782" i="22"/>
  <c r="B2781" i="22"/>
  <c r="B2780" i="22"/>
  <c r="B2779" i="22"/>
  <c r="B2778" i="22"/>
  <c r="B2777" i="22"/>
  <c r="B2776" i="22"/>
  <c r="B2775" i="22"/>
  <c r="B2774" i="22"/>
  <c r="B2773" i="22"/>
  <c r="B2772" i="22"/>
  <c r="B2771" i="22"/>
  <c r="B2770" i="22"/>
  <c r="B2769" i="22"/>
  <c r="B2768" i="22"/>
  <c r="B2767" i="22"/>
  <c r="B2766" i="22"/>
  <c r="B2765" i="22"/>
  <c r="B2764" i="22"/>
  <c r="B2763" i="22"/>
  <c r="B2762" i="22"/>
  <c r="B2761" i="22"/>
  <c r="B2760" i="22"/>
  <c r="B2759" i="22"/>
  <c r="B2758" i="22"/>
  <c r="B2757" i="22"/>
  <c r="B2756" i="22"/>
  <c r="B2755" i="22"/>
  <c r="B2754" i="22"/>
  <c r="B2753" i="22"/>
  <c r="B2752" i="22"/>
  <c r="B2751" i="22"/>
  <c r="B2750" i="22"/>
  <c r="B2749" i="22"/>
  <c r="B2748" i="22"/>
  <c r="B2747" i="22"/>
  <c r="B2746" i="22"/>
  <c r="B2745" i="22"/>
  <c r="B2744" i="22"/>
  <c r="B2743" i="22"/>
  <c r="B2742" i="22"/>
  <c r="B2741" i="22"/>
  <c r="B2740" i="22"/>
  <c r="B2739" i="22"/>
  <c r="B2738" i="22"/>
  <c r="B2737" i="22"/>
  <c r="B2736" i="22"/>
  <c r="B2735" i="22"/>
  <c r="B2734" i="22"/>
  <c r="B2733" i="22"/>
  <c r="B2732" i="22"/>
  <c r="B2731" i="22"/>
  <c r="B2730" i="22"/>
  <c r="B2729" i="22"/>
  <c r="B2728" i="22"/>
  <c r="B2727" i="22"/>
  <c r="B2726" i="22"/>
  <c r="B2725" i="22"/>
  <c r="B2724" i="22"/>
  <c r="B2723" i="22"/>
  <c r="B2722" i="22"/>
  <c r="B2721" i="22"/>
  <c r="B2720" i="22"/>
  <c r="B2719" i="22"/>
  <c r="B2718" i="22"/>
  <c r="B2717" i="22"/>
  <c r="B2716" i="22"/>
  <c r="B2715" i="22"/>
  <c r="B2714" i="22"/>
  <c r="B2713" i="22"/>
  <c r="B2712" i="22"/>
  <c r="B2711" i="22"/>
  <c r="B2710" i="22"/>
  <c r="B2709" i="22"/>
  <c r="B2708" i="22"/>
  <c r="B2707" i="22"/>
  <c r="B2706" i="22"/>
  <c r="B2705" i="22"/>
  <c r="B2704" i="22"/>
  <c r="B2703" i="22"/>
  <c r="B2702" i="22"/>
  <c r="B2701" i="22"/>
  <c r="B2700" i="22"/>
  <c r="B2699" i="22"/>
  <c r="B2698" i="22"/>
  <c r="B2697" i="22"/>
  <c r="B2696" i="22"/>
  <c r="B2695" i="22"/>
  <c r="B2694" i="22"/>
  <c r="B2693" i="22"/>
  <c r="B2692" i="22"/>
  <c r="B2691" i="22"/>
  <c r="B2690" i="22"/>
  <c r="B2689" i="22"/>
  <c r="B2688" i="22"/>
  <c r="B2687" i="22"/>
  <c r="B2686" i="22"/>
  <c r="B2685" i="22"/>
  <c r="B2684" i="22"/>
  <c r="B2683" i="22"/>
  <c r="B2682" i="22"/>
  <c r="B2681" i="22"/>
  <c r="B2680" i="22"/>
  <c r="B2679" i="22"/>
  <c r="B2678" i="22"/>
  <c r="B2677" i="22"/>
  <c r="B2676" i="22"/>
  <c r="B2675" i="22"/>
  <c r="B2674" i="22"/>
  <c r="B2673" i="22"/>
  <c r="B2672" i="22"/>
  <c r="B2671" i="22"/>
  <c r="B2670" i="22"/>
  <c r="B2669" i="22"/>
  <c r="B2668" i="22"/>
  <c r="B2667" i="22"/>
  <c r="B2666" i="22"/>
  <c r="B2665" i="22"/>
  <c r="B2664" i="22"/>
  <c r="B2663" i="22"/>
  <c r="B2662" i="22"/>
  <c r="B2661" i="22"/>
  <c r="B2660" i="22"/>
  <c r="B2659" i="22"/>
  <c r="B2658" i="22"/>
  <c r="B2657" i="22"/>
  <c r="B2656" i="22"/>
  <c r="B2655" i="22"/>
  <c r="B2654" i="22"/>
  <c r="B2653" i="22"/>
  <c r="B2652" i="22"/>
  <c r="B2651" i="22"/>
  <c r="B2650" i="22"/>
  <c r="B2649" i="22"/>
  <c r="B2648" i="22"/>
  <c r="B2647" i="22"/>
  <c r="B2646" i="22"/>
  <c r="B2645" i="22"/>
  <c r="B2644" i="22"/>
  <c r="B2643" i="22"/>
  <c r="B2642" i="22"/>
  <c r="B2641" i="22"/>
  <c r="B2640" i="22"/>
  <c r="B2639" i="22"/>
  <c r="B2638" i="22"/>
  <c r="B2637" i="22"/>
  <c r="B2636" i="22"/>
  <c r="B2635" i="22"/>
  <c r="B2634" i="22"/>
  <c r="B2633" i="22"/>
  <c r="B2632" i="22"/>
  <c r="B2631" i="22"/>
  <c r="B2630" i="22"/>
  <c r="B2629" i="22"/>
  <c r="B2628" i="22"/>
  <c r="B2627" i="22"/>
  <c r="B2626" i="22"/>
  <c r="B2625" i="22"/>
  <c r="B2624" i="22"/>
  <c r="B2623" i="22"/>
  <c r="B2622" i="22"/>
  <c r="B2621" i="22"/>
  <c r="B2620" i="22"/>
  <c r="B2619" i="22"/>
  <c r="B2618" i="22"/>
  <c r="B2617" i="22"/>
  <c r="B2616" i="22"/>
  <c r="B2615" i="22"/>
  <c r="B2614" i="22"/>
  <c r="B2613" i="22"/>
  <c r="B2612" i="22"/>
  <c r="B2611" i="22"/>
  <c r="B2610" i="22"/>
  <c r="B2609" i="22"/>
  <c r="B2608" i="22"/>
  <c r="B2607" i="22"/>
  <c r="B2606" i="22"/>
  <c r="B2605" i="22"/>
  <c r="B2604" i="22"/>
  <c r="B2603" i="22"/>
  <c r="B2602" i="22"/>
  <c r="B2601" i="22"/>
  <c r="B2600" i="22"/>
  <c r="B2599" i="22"/>
  <c r="B2598" i="22"/>
  <c r="B2597" i="22"/>
  <c r="B2596" i="22"/>
  <c r="B2595" i="22"/>
  <c r="B2594" i="22"/>
  <c r="B2593" i="22"/>
  <c r="B2592" i="22"/>
  <c r="B2591" i="22"/>
  <c r="B2590" i="22"/>
  <c r="B2589" i="22"/>
  <c r="B2588" i="22"/>
  <c r="B2587" i="22"/>
  <c r="B2586" i="22"/>
  <c r="B2585" i="22"/>
  <c r="B2584" i="22"/>
  <c r="B2583" i="22"/>
  <c r="B2582" i="22"/>
  <c r="B2581" i="22"/>
  <c r="B2580" i="22"/>
  <c r="B2579" i="22"/>
  <c r="B2578" i="22"/>
  <c r="B2577" i="22"/>
  <c r="B2576" i="22"/>
  <c r="B2575" i="22"/>
  <c r="B2574" i="22"/>
  <c r="B2573" i="22"/>
  <c r="B2572" i="22"/>
  <c r="B2571" i="22"/>
  <c r="B2570" i="22"/>
  <c r="B2569" i="22"/>
  <c r="B2568" i="22"/>
  <c r="B2567" i="22"/>
  <c r="B2566" i="22"/>
  <c r="B2565" i="22"/>
  <c r="B2564" i="22"/>
  <c r="B2563" i="22"/>
  <c r="B2562" i="22"/>
  <c r="B2561" i="22"/>
  <c r="B2560" i="22"/>
  <c r="B2559" i="22"/>
  <c r="B2558" i="22"/>
  <c r="B2557" i="22"/>
  <c r="B2556" i="22"/>
  <c r="B2555" i="22"/>
  <c r="B2554" i="22"/>
  <c r="B2553" i="22"/>
  <c r="B2552" i="22"/>
  <c r="B2551" i="22"/>
  <c r="B2550" i="22"/>
  <c r="B2549" i="22"/>
  <c r="B2548" i="22"/>
  <c r="B2547" i="22"/>
  <c r="B2546" i="22"/>
  <c r="B2545" i="22"/>
  <c r="B2544" i="22"/>
  <c r="B2543" i="22"/>
  <c r="B2542" i="22"/>
  <c r="B2541" i="22"/>
  <c r="B2540" i="22"/>
  <c r="B2539" i="22"/>
  <c r="B2538" i="22"/>
  <c r="B2537" i="22"/>
  <c r="B2536" i="22"/>
  <c r="B2535" i="22"/>
  <c r="B2534" i="22"/>
  <c r="B2533" i="22"/>
  <c r="B2532" i="22"/>
  <c r="B2531" i="22"/>
  <c r="B2530" i="22"/>
  <c r="B2529" i="22"/>
  <c r="B2528" i="22"/>
  <c r="B2527" i="22"/>
  <c r="B2526" i="22"/>
  <c r="B2525" i="22"/>
  <c r="B2524" i="22"/>
  <c r="B2523" i="22"/>
  <c r="B2522" i="22"/>
  <c r="B2521" i="22"/>
  <c r="B2520" i="22"/>
  <c r="B2519" i="22"/>
  <c r="B2518" i="22"/>
  <c r="B2517" i="22"/>
  <c r="B2516" i="22"/>
  <c r="B2515" i="22"/>
  <c r="B2514" i="22"/>
  <c r="B2513" i="22"/>
  <c r="B2512" i="22"/>
  <c r="B2511" i="22"/>
  <c r="B2510" i="22"/>
  <c r="B2509" i="22"/>
  <c r="B2508" i="22"/>
  <c r="B2507" i="22"/>
  <c r="B2506" i="22"/>
  <c r="B2505" i="22"/>
  <c r="B2504" i="22"/>
  <c r="B2503" i="22"/>
  <c r="B2502" i="22"/>
  <c r="B2501" i="22"/>
  <c r="B2500" i="22"/>
  <c r="B2499" i="22"/>
  <c r="B2498" i="22"/>
  <c r="B2497" i="22"/>
  <c r="B2496" i="22"/>
  <c r="B2495" i="22"/>
  <c r="B2494" i="22"/>
  <c r="B2493" i="22"/>
  <c r="B2492" i="22"/>
  <c r="B2491" i="22"/>
  <c r="B2490" i="22"/>
  <c r="B2489" i="22"/>
  <c r="B2488" i="22"/>
  <c r="B2487" i="22"/>
  <c r="B2486" i="22"/>
  <c r="B2485" i="22"/>
  <c r="B2484" i="22"/>
  <c r="B2483" i="22"/>
  <c r="B2482" i="22"/>
  <c r="B2481" i="22"/>
  <c r="B2480" i="22"/>
  <c r="B2479" i="22"/>
  <c r="B2478" i="22"/>
  <c r="B2477" i="22"/>
  <c r="B2476" i="22"/>
  <c r="B2475" i="22"/>
  <c r="B2474" i="22"/>
  <c r="B2473" i="22"/>
  <c r="B2472" i="22"/>
  <c r="B2471" i="22"/>
  <c r="B2470" i="22"/>
  <c r="B2469" i="22"/>
  <c r="B2468" i="22"/>
  <c r="B2467" i="22"/>
  <c r="B2466" i="22"/>
  <c r="B2465" i="22"/>
  <c r="B2464" i="22"/>
  <c r="B2463" i="22"/>
  <c r="B2462" i="22"/>
  <c r="B2461" i="22"/>
  <c r="B2460" i="22"/>
  <c r="B2459" i="22"/>
  <c r="B2458" i="22"/>
  <c r="B2457" i="22"/>
  <c r="B2456" i="22"/>
  <c r="B2455" i="22"/>
  <c r="B2454" i="22"/>
  <c r="B2453" i="22"/>
  <c r="B2452" i="22"/>
  <c r="B2451" i="22"/>
  <c r="B2450" i="22"/>
  <c r="B2449" i="22"/>
  <c r="B2448" i="22"/>
  <c r="B2447" i="22"/>
  <c r="B2446" i="22"/>
  <c r="B2445" i="22"/>
  <c r="B2444" i="22"/>
  <c r="B2443" i="22"/>
  <c r="B2442" i="22"/>
  <c r="B2441" i="22"/>
  <c r="B2440" i="22"/>
  <c r="B2439" i="22"/>
  <c r="B2438" i="22"/>
  <c r="B2437" i="22"/>
  <c r="B2436" i="22"/>
  <c r="B2435" i="22"/>
  <c r="B2434" i="22"/>
  <c r="B2433" i="22"/>
  <c r="B2432" i="22"/>
  <c r="B2431" i="22"/>
  <c r="B2430" i="22"/>
  <c r="B2429" i="22"/>
  <c r="B2428" i="22"/>
  <c r="B2427" i="22"/>
  <c r="B2426" i="22"/>
  <c r="B2425" i="22"/>
  <c r="B2424" i="22"/>
  <c r="B2423" i="22"/>
  <c r="B2422" i="22"/>
  <c r="B2421" i="22"/>
  <c r="B2420" i="22"/>
  <c r="B2419" i="22"/>
  <c r="B2418" i="22"/>
  <c r="B2417" i="22"/>
  <c r="B2416" i="22"/>
  <c r="B2415" i="22"/>
  <c r="B2414" i="22"/>
  <c r="B2413" i="22"/>
  <c r="B2412" i="22"/>
  <c r="B2411" i="22"/>
  <c r="B2410" i="22"/>
  <c r="B2409" i="22"/>
  <c r="B2408" i="22"/>
  <c r="B2407" i="22"/>
  <c r="B2406" i="22"/>
  <c r="B2405" i="22"/>
  <c r="B2404" i="22"/>
  <c r="B2403" i="22"/>
  <c r="B2402" i="22"/>
  <c r="B2401" i="22"/>
  <c r="B2400" i="22"/>
  <c r="B2399" i="22"/>
  <c r="B2398" i="22"/>
  <c r="B2397" i="22"/>
  <c r="B2396" i="22"/>
  <c r="B2395" i="22"/>
  <c r="B2394" i="22"/>
  <c r="B2393" i="22"/>
  <c r="B2392" i="22"/>
  <c r="B2391" i="22"/>
  <c r="B2390" i="22"/>
  <c r="B2389" i="22"/>
  <c r="B2388" i="22"/>
  <c r="B2387" i="22"/>
  <c r="B2386" i="22"/>
  <c r="B2385" i="22"/>
  <c r="B2384" i="22"/>
  <c r="B2383" i="22"/>
  <c r="B2382" i="22"/>
  <c r="B2381" i="22"/>
  <c r="B2380" i="22"/>
  <c r="B2379" i="22"/>
  <c r="B2378" i="22"/>
  <c r="B2377" i="22"/>
  <c r="B2376" i="22"/>
  <c r="B2375" i="22"/>
  <c r="B2374" i="22"/>
  <c r="B2373" i="22"/>
  <c r="B2372" i="22"/>
  <c r="B2371" i="22"/>
  <c r="B2370" i="22"/>
  <c r="B2369" i="22"/>
  <c r="B2368" i="22"/>
  <c r="B2367" i="22"/>
  <c r="B2366" i="22"/>
  <c r="B2365" i="22"/>
  <c r="B2364" i="22"/>
  <c r="B2363" i="22"/>
  <c r="B2362" i="22"/>
  <c r="B2361" i="22"/>
  <c r="B2360" i="22"/>
  <c r="B2359" i="22"/>
  <c r="B2358" i="22"/>
  <c r="B2357" i="22"/>
  <c r="B2356" i="22"/>
  <c r="B2355" i="22"/>
  <c r="B2354" i="22"/>
  <c r="B2353" i="22"/>
  <c r="B2352" i="22"/>
  <c r="B2351" i="22"/>
  <c r="B2350" i="22"/>
  <c r="B2349" i="22"/>
  <c r="B2348" i="22"/>
  <c r="B2347" i="22"/>
  <c r="B2346" i="22"/>
  <c r="B2345" i="22"/>
  <c r="B2344" i="22"/>
  <c r="B2343" i="22"/>
  <c r="B2342" i="22"/>
  <c r="B2341" i="22"/>
  <c r="B2340" i="22"/>
  <c r="B2339" i="22"/>
  <c r="B2338" i="22"/>
  <c r="B2337" i="22"/>
  <c r="B2336" i="22"/>
  <c r="B2335" i="22"/>
  <c r="B2334" i="22"/>
  <c r="B2333" i="22"/>
  <c r="B2332" i="22"/>
  <c r="B2331" i="22"/>
  <c r="B2330" i="22"/>
  <c r="B2329" i="22"/>
  <c r="B2328" i="22"/>
  <c r="B2327" i="22"/>
  <c r="B2326" i="22"/>
  <c r="B2325" i="22"/>
  <c r="B2324" i="22"/>
  <c r="B2323" i="22"/>
  <c r="B2322" i="22"/>
  <c r="B2321" i="22"/>
  <c r="B2320" i="22"/>
  <c r="B2319" i="22"/>
  <c r="B2318" i="22"/>
  <c r="B2317" i="22"/>
  <c r="B2316" i="22"/>
  <c r="B2315" i="22"/>
  <c r="B2314" i="22"/>
  <c r="B2313" i="22"/>
  <c r="B2312" i="22"/>
  <c r="B2311" i="22"/>
  <c r="B2310" i="22"/>
  <c r="B2309" i="22"/>
  <c r="B2308" i="22"/>
  <c r="B2307" i="22"/>
  <c r="B2306" i="22"/>
  <c r="B2305" i="22"/>
  <c r="B2304" i="22"/>
  <c r="B2303" i="22"/>
  <c r="B2302" i="22"/>
  <c r="B2301" i="22"/>
  <c r="B2300" i="22"/>
  <c r="B2299" i="22"/>
  <c r="B2298" i="22"/>
  <c r="B2297" i="22"/>
  <c r="B2296" i="22"/>
  <c r="B2295" i="22"/>
  <c r="B2294" i="22"/>
  <c r="B2293" i="22"/>
  <c r="B2292" i="22"/>
  <c r="B2291" i="22"/>
  <c r="B2290" i="22"/>
  <c r="B2289" i="22"/>
  <c r="B2288" i="22"/>
  <c r="B2287" i="22"/>
  <c r="B2286" i="22"/>
  <c r="B2285" i="22"/>
  <c r="B2284" i="22"/>
  <c r="B2283" i="22"/>
  <c r="B2282" i="22"/>
  <c r="B2281" i="22"/>
  <c r="B2280" i="22"/>
  <c r="B2279" i="22"/>
  <c r="B2278" i="22"/>
  <c r="B2277" i="22"/>
  <c r="B2276" i="22"/>
  <c r="B2275" i="22"/>
  <c r="B2274" i="22"/>
  <c r="B2273" i="22"/>
  <c r="B2272" i="22"/>
  <c r="B2271" i="22"/>
  <c r="B2270" i="22"/>
  <c r="B2269" i="22"/>
  <c r="B2268" i="22"/>
  <c r="B2267" i="22"/>
  <c r="B2266" i="22"/>
  <c r="B2265" i="22"/>
  <c r="B2264" i="22"/>
  <c r="B2263" i="22"/>
  <c r="B2262" i="22"/>
  <c r="B2261" i="22"/>
  <c r="B2260" i="22"/>
  <c r="B2259" i="22"/>
  <c r="B2258" i="22"/>
  <c r="B2257" i="22"/>
  <c r="B2256" i="22"/>
  <c r="B2255" i="22"/>
  <c r="B2254" i="22"/>
  <c r="B2253" i="22"/>
  <c r="B2252" i="22"/>
  <c r="B2251" i="22"/>
  <c r="B2250" i="22"/>
  <c r="B2249" i="22"/>
  <c r="B2248" i="22"/>
  <c r="B2247" i="22"/>
  <c r="B2246" i="22"/>
  <c r="B2245" i="22"/>
  <c r="B2244" i="22"/>
  <c r="B2243" i="22"/>
  <c r="B2242" i="22"/>
  <c r="B2241" i="22"/>
  <c r="B2240" i="22"/>
  <c r="B2239" i="22"/>
  <c r="B2238" i="22"/>
  <c r="B2237" i="22"/>
  <c r="B2236" i="22"/>
  <c r="B2235" i="22"/>
  <c r="B2234" i="22"/>
  <c r="B2233" i="22"/>
  <c r="B2232" i="22"/>
  <c r="B2231" i="22"/>
  <c r="B2230" i="22"/>
  <c r="B2229" i="22"/>
  <c r="B2228" i="22"/>
  <c r="B2227" i="22"/>
  <c r="B2226" i="22"/>
  <c r="B2225" i="22"/>
  <c r="B2224" i="22"/>
  <c r="B2223" i="22"/>
  <c r="B2222" i="22"/>
  <c r="B2221" i="22"/>
  <c r="B2220" i="22"/>
  <c r="B2219" i="22"/>
  <c r="B2218" i="22"/>
  <c r="B2217" i="22"/>
  <c r="B2216" i="22"/>
  <c r="B2215" i="22"/>
  <c r="B2214" i="22"/>
  <c r="B2213" i="22"/>
  <c r="B2212" i="22"/>
  <c r="B2211" i="22"/>
  <c r="B2210" i="22"/>
  <c r="B2209" i="22"/>
  <c r="B2208" i="22"/>
  <c r="B2207" i="22"/>
  <c r="B2206" i="22"/>
  <c r="B2205" i="22"/>
  <c r="B2204" i="22"/>
  <c r="B2203" i="22"/>
  <c r="B2202" i="22"/>
  <c r="B2201" i="22"/>
  <c r="B2200" i="22"/>
  <c r="B2199" i="22"/>
  <c r="B2198" i="22"/>
  <c r="B2197" i="22"/>
  <c r="B2196" i="22"/>
  <c r="B2195" i="22"/>
  <c r="B2194" i="22"/>
  <c r="B2193" i="22"/>
  <c r="B2192" i="22"/>
  <c r="B2191" i="22"/>
  <c r="B2190" i="22"/>
  <c r="B2189" i="22"/>
  <c r="B2188" i="22"/>
  <c r="B2187" i="22"/>
  <c r="B2186" i="22"/>
  <c r="B2185" i="22"/>
  <c r="B2184" i="22"/>
  <c r="B2183" i="22"/>
  <c r="B2182" i="22"/>
  <c r="B2181" i="22"/>
  <c r="B2180" i="22"/>
  <c r="B2179" i="22"/>
  <c r="B2178" i="22"/>
  <c r="B2177" i="22"/>
  <c r="B2176" i="22"/>
  <c r="B2175" i="22"/>
  <c r="B2174" i="22"/>
  <c r="B2173" i="22"/>
  <c r="B2172" i="22"/>
  <c r="B2171" i="22"/>
  <c r="B2170" i="22"/>
  <c r="B2169" i="22"/>
  <c r="B2168" i="22"/>
  <c r="B2167" i="22"/>
  <c r="B2166" i="22"/>
  <c r="B2165" i="22"/>
  <c r="B2164" i="22"/>
  <c r="B2163" i="22"/>
  <c r="B2162" i="22"/>
  <c r="B2161" i="22"/>
  <c r="B2160" i="22"/>
  <c r="B2159" i="22"/>
  <c r="B2158" i="22"/>
  <c r="B2157" i="22"/>
  <c r="B2156" i="22"/>
  <c r="B2155" i="22"/>
  <c r="B2154" i="22"/>
  <c r="B2153" i="22"/>
  <c r="B2152" i="22"/>
  <c r="B2151" i="22"/>
  <c r="B2150" i="22"/>
  <c r="B2149" i="22"/>
  <c r="B2148" i="22"/>
  <c r="B2147" i="22"/>
  <c r="B2146" i="22"/>
  <c r="B2145" i="22"/>
  <c r="B2144" i="22"/>
  <c r="B2143" i="22"/>
  <c r="B2142" i="22"/>
  <c r="B2141" i="22"/>
  <c r="B2140" i="22"/>
  <c r="B2139" i="22"/>
  <c r="B2138" i="22"/>
  <c r="B2137" i="22"/>
  <c r="B2136" i="22"/>
  <c r="B2135" i="22"/>
  <c r="B2134" i="22"/>
  <c r="B2133" i="22"/>
  <c r="B2132" i="22"/>
  <c r="B2131" i="22"/>
  <c r="B2130" i="22"/>
  <c r="B2129" i="22"/>
  <c r="B2128" i="22"/>
  <c r="B2127" i="22"/>
  <c r="B2126" i="22"/>
  <c r="B2125" i="22"/>
  <c r="B2124" i="22"/>
  <c r="B2123" i="22"/>
  <c r="B2122" i="22"/>
  <c r="B2121" i="22"/>
  <c r="B2120" i="22"/>
  <c r="B2119" i="22"/>
  <c r="B2118" i="22"/>
  <c r="B2117" i="22"/>
  <c r="B2116" i="22"/>
  <c r="B2115" i="22"/>
  <c r="B2114" i="22"/>
  <c r="B2113" i="22"/>
  <c r="B2112" i="22"/>
  <c r="B2111" i="22"/>
  <c r="B2110" i="22"/>
  <c r="B2109" i="22"/>
  <c r="B2108" i="22"/>
  <c r="B2107" i="22"/>
  <c r="B2106" i="22"/>
  <c r="B2105" i="22"/>
  <c r="B2104" i="22"/>
  <c r="B2103" i="22"/>
  <c r="B2102" i="22"/>
  <c r="B2101" i="22"/>
  <c r="B2100" i="22"/>
  <c r="B2099" i="22"/>
  <c r="B2098" i="22"/>
  <c r="B2097" i="22"/>
  <c r="B2096" i="22"/>
  <c r="B2095" i="22"/>
  <c r="B2094" i="22"/>
  <c r="B2093" i="22"/>
  <c r="B2092" i="22"/>
  <c r="B2091" i="22"/>
  <c r="B2090" i="22"/>
  <c r="B2089" i="22"/>
  <c r="B2088" i="22"/>
  <c r="B2087" i="22"/>
  <c r="B2086" i="22"/>
  <c r="B2085" i="22"/>
  <c r="B2084" i="22"/>
  <c r="B2083" i="22"/>
  <c r="B2082" i="22"/>
  <c r="B2081" i="22"/>
  <c r="B2080" i="22"/>
  <c r="B2079" i="22"/>
  <c r="B2078" i="22"/>
  <c r="B2077" i="22"/>
  <c r="B2076" i="22"/>
  <c r="B2075" i="22"/>
  <c r="B2074" i="22"/>
  <c r="B2073" i="22"/>
  <c r="B2072" i="22"/>
  <c r="B2071" i="22"/>
  <c r="B2070" i="22"/>
  <c r="B2069" i="22"/>
  <c r="B2068" i="22"/>
  <c r="B2067" i="22"/>
  <c r="B2066" i="22"/>
  <c r="B2065" i="22"/>
  <c r="B2064" i="22"/>
  <c r="B2063" i="22"/>
  <c r="B2062" i="22"/>
  <c r="B2061" i="22"/>
  <c r="B2060" i="22"/>
  <c r="B2059" i="22"/>
  <c r="B2058" i="22"/>
  <c r="B2057" i="22"/>
  <c r="B2056" i="22"/>
  <c r="B2055" i="22"/>
  <c r="B2054" i="22"/>
  <c r="B2053" i="22"/>
  <c r="B2052" i="22"/>
  <c r="B2051" i="22"/>
  <c r="B2050" i="22"/>
  <c r="B2049" i="22"/>
  <c r="B2048" i="22"/>
  <c r="B2047" i="22"/>
  <c r="B2046" i="22"/>
  <c r="B2045" i="22"/>
  <c r="B2044" i="22"/>
  <c r="B2043" i="22"/>
  <c r="B2042" i="22"/>
  <c r="B2041" i="22"/>
  <c r="B2040" i="22"/>
  <c r="B2039" i="22"/>
  <c r="B2038" i="22"/>
  <c r="B2037" i="22"/>
  <c r="B2036" i="22"/>
  <c r="B2035" i="22"/>
  <c r="B2034" i="22"/>
  <c r="B2033" i="22"/>
  <c r="B2032" i="22"/>
  <c r="B2031" i="22"/>
  <c r="B2030" i="22"/>
  <c r="B2029" i="22"/>
  <c r="B2028" i="22"/>
  <c r="B2027" i="22"/>
  <c r="B2026" i="22"/>
  <c r="B2025" i="22"/>
  <c r="B2024" i="22"/>
  <c r="B2023" i="22"/>
  <c r="B2022" i="22"/>
  <c r="B2021" i="22"/>
  <c r="B2020" i="22"/>
  <c r="B2019" i="22"/>
  <c r="B2018" i="22"/>
  <c r="B2017" i="22"/>
  <c r="B2016" i="22"/>
  <c r="B2015" i="22"/>
  <c r="B2014" i="22"/>
  <c r="B2013" i="22"/>
  <c r="B2012" i="22"/>
  <c r="B2011" i="22"/>
  <c r="B2010" i="22"/>
  <c r="B2009" i="22"/>
  <c r="B2008" i="22"/>
  <c r="B2007" i="22"/>
  <c r="B2006" i="22"/>
  <c r="B2005" i="22"/>
  <c r="B2004" i="22"/>
  <c r="B2003" i="22"/>
  <c r="B2002" i="22"/>
  <c r="B2001" i="22"/>
  <c r="B2000" i="22"/>
  <c r="B1999" i="22"/>
  <c r="B1998" i="22"/>
  <c r="B1997" i="22"/>
  <c r="B1996" i="22"/>
  <c r="B1995" i="22"/>
  <c r="B1994" i="22"/>
  <c r="B1993" i="22"/>
  <c r="B1992" i="22"/>
  <c r="B1991" i="22"/>
  <c r="B1990" i="22"/>
  <c r="B1989" i="22"/>
  <c r="B1988" i="22"/>
  <c r="B1987" i="22"/>
  <c r="B1986" i="22"/>
  <c r="B1985" i="22"/>
  <c r="B1984" i="22"/>
  <c r="B1983" i="22"/>
  <c r="B1982" i="22"/>
  <c r="B1981" i="22"/>
  <c r="B1980" i="22"/>
  <c r="B1979" i="22"/>
  <c r="B1978" i="22"/>
  <c r="B1977" i="22"/>
  <c r="B1976" i="22"/>
  <c r="B1975" i="22"/>
  <c r="B1974" i="22"/>
  <c r="B1973" i="22"/>
  <c r="B1972" i="22"/>
  <c r="B1971" i="22"/>
  <c r="B1970" i="22"/>
  <c r="B1969" i="22"/>
  <c r="B1968" i="22"/>
  <c r="B1967" i="22"/>
  <c r="B1966" i="22"/>
  <c r="B1965" i="22"/>
  <c r="B1964" i="22"/>
  <c r="B1963" i="22"/>
  <c r="B1962" i="22"/>
  <c r="B1961" i="22"/>
  <c r="B1960" i="22"/>
  <c r="B1959" i="22"/>
  <c r="B1958" i="22"/>
  <c r="B1957" i="22"/>
  <c r="B1956" i="22"/>
  <c r="B1955" i="22"/>
  <c r="B1954" i="22"/>
  <c r="B1953" i="22"/>
  <c r="B1952" i="22"/>
  <c r="B1951" i="22"/>
  <c r="B1950" i="22"/>
  <c r="B1949" i="22"/>
  <c r="B1948" i="22"/>
  <c r="B1947" i="22"/>
  <c r="B1946" i="22"/>
  <c r="B1945" i="22"/>
  <c r="B1944" i="22"/>
  <c r="B1943" i="22"/>
  <c r="B1942" i="22"/>
  <c r="B1941" i="22"/>
  <c r="B1940" i="22"/>
  <c r="B1939" i="22"/>
  <c r="B1938" i="22"/>
  <c r="B1937" i="22"/>
  <c r="B1936" i="22"/>
  <c r="B1935" i="22"/>
  <c r="B1934" i="22"/>
  <c r="B1933" i="22"/>
  <c r="B1932" i="22"/>
  <c r="B1931" i="22"/>
  <c r="B1930" i="22"/>
  <c r="B1929" i="22"/>
  <c r="B1928" i="22"/>
  <c r="B1927" i="22"/>
  <c r="B1926" i="22"/>
  <c r="B1925" i="22"/>
  <c r="B1924" i="22"/>
  <c r="B1923" i="22"/>
  <c r="B1922" i="22"/>
  <c r="B1921" i="22"/>
  <c r="B1920" i="22"/>
  <c r="B1919" i="22"/>
  <c r="B1918" i="22"/>
  <c r="B1917" i="22"/>
  <c r="B1916" i="22"/>
  <c r="B1915" i="22"/>
  <c r="B1914" i="22"/>
  <c r="B1913" i="22"/>
  <c r="B1912" i="22"/>
  <c r="B1911" i="22"/>
  <c r="B1910" i="22"/>
  <c r="B1909" i="22"/>
  <c r="B1908" i="22"/>
  <c r="B1907" i="22"/>
  <c r="B1906" i="22"/>
  <c r="B1905" i="22"/>
  <c r="B1904" i="22"/>
  <c r="B1903" i="22"/>
  <c r="B1902" i="22"/>
  <c r="B1901" i="22"/>
  <c r="B1900" i="22"/>
  <c r="B1899" i="22"/>
  <c r="B1898" i="22"/>
  <c r="B1897" i="22"/>
  <c r="B1896" i="22"/>
  <c r="B1895" i="22"/>
  <c r="B1894" i="22"/>
  <c r="B1893" i="22"/>
  <c r="B1892" i="22"/>
  <c r="B1891" i="22"/>
  <c r="B1890" i="22"/>
  <c r="B1889" i="22"/>
  <c r="B1888" i="22"/>
  <c r="B1887" i="22"/>
  <c r="B1886" i="22"/>
  <c r="B1885" i="22"/>
  <c r="B1884" i="22"/>
  <c r="B1883" i="22"/>
  <c r="B1882" i="22"/>
  <c r="B1881" i="22"/>
  <c r="B1880" i="22"/>
  <c r="B1879" i="22"/>
  <c r="B1878" i="22"/>
  <c r="B1877" i="22"/>
  <c r="B1876" i="22"/>
  <c r="B1875" i="22"/>
  <c r="B1874" i="22"/>
  <c r="B1873" i="22"/>
  <c r="B1872" i="22"/>
  <c r="B1871" i="22"/>
  <c r="B1870" i="22"/>
  <c r="B1869" i="22"/>
  <c r="B1868" i="22"/>
  <c r="B1867" i="22"/>
  <c r="B1866" i="22"/>
  <c r="B1865" i="22"/>
  <c r="B1864" i="22"/>
  <c r="B1863" i="22"/>
  <c r="B1862" i="22"/>
  <c r="B1861" i="22"/>
  <c r="B1860" i="22"/>
  <c r="B1859" i="22"/>
  <c r="B1858" i="22"/>
  <c r="B1857" i="22"/>
  <c r="B1856" i="22"/>
  <c r="B1855" i="22"/>
  <c r="B1854" i="22"/>
  <c r="B1853" i="22"/>
  <c r="B1852" i="22"/>
  <c r="B1851" i="22"/>
  <c r="B1850" i="22"/>
  <c r="B1849" i="22"/>
  <c r="B1848" i="22"/>
  <c r="B1847" i="22"/>
  <c r="B1846" i="22"/>
  <c r="B1845" i="22"/>
  <c r="B1844" i="22"/>
  <c r="B1843" i="22"/>
  <c r="B1842" i="22"/>
  <c r="B1841" i="22"/>
  <c r="B1840" i="22"/>
  <c r="B1839" i="22"/>
  <c r="B1838" i="22"/>
  <c r="B1837" i="22"/>
  <c r="B1836" i="22"/>
  <c r="B1835" i="22"/>
  <c r="B1834" i="22"/>
  <c r="B1833" i="22"/>
  <c r="B1832" i="22"/>
  <c r="B1831" i="22"/>
  <c r="B1830" i="22"/>
  <c r="B1829" i="22"/>
  <c r="B1828" i="22"/>
  <c r="B1827" i="22"/>
  <c r="B1826" i="22"/>
  <c r="B1825" i="22"/>
  <c r="B1824" i="22"/>
  <c r="B1823" i="22"/>
  <c r="B1822" i="22"/>
  <c r="B1821" i="22"/>
  <c r="B1820" i="22"/>
  <c r="B1819" i="22"/>
  <c r="B1818" i="22"/>
  <c r="B1817" i="22"/>
  <c r="B1816" i="22"/>
  <c r="B1815" i="22"/>
  <c r="B1814" i="22"/>
  <c r="B1813" i="22"/>
  <c r="B1812" i="22"/>
  <c r="B1811" i="22"/>
  <c r="B1810" i="22"/>
  <c r="B1809" i="22"/>
  <c r="B1808" i="22"/>
  <c r="B1807" i="22"/>
  <c r="B1806" i="22"/>
  <c r="B1805" i="22"/>
  <c r="B1804" i="22"/>
  <c r="B1803" i="22"/>
  <c r="B1802" i="22"/>
  <c r="B1801" i="22"/>
  <c r="B1800" i="22"/>
  <c r="B1799" i="22"/>
  <c r="B1798" i="22"/>
  <c r="B1797" i="22"/>
  <c r="B1796" i="22"/>
  <c r="B1795" i="22"/>
  <c r="B1794" i="22"/>
  <c r="B1793" i="22"/>
  <c r="B1792" i="22"/>
  <c r="B1791" i="22"/>
  <c r="B1790" i="22"/>
  <c r="B1789" i="22"/>
  <c r="B1788" i="22"/>
  <c r="B1787" i="22"/>
  <c r="B1786" i="22"/>
  <c r="B1785" i="22"/>
  <c r="B1784" i="22"/>
  <c r="B1783" i="22"/>
  <c r="B1782" i="22"/>
  <c r="B1781" i="22"/>
  <c r="B1780" i="22"/>
  <c r="B1779" i="22"/>
  <c r="B1778" i="22"/>
  <c r="B1777" i="22"/>
  <c r="B1776" i="22"/>
  <c r="B1775" i="22"/>
  <c r="B1774" i="22"/>
  <c r="B1773" i="22"/>
  <c r="B1772" i="22"/>
  <c r="B1771" i="22"/>
  <c r="B1770" i="22"/>
  <c r="B1769" i="22"/>
  <c r="B1768" i="22"/>
  <c r="B1767" i="22"/>
  <c r="B1766" i="22"/>
  <c r="B1765" i="22"/>
  <c r="B1764" i="22"/>
  <c r="B1763" i="22"/>
  <c r="B1762" i="22"/>
  <c r="B1761" i="22"/>
  <c r="B1760" i="22"/>
  <c r="B1759" i="22"/>
  <c r="B1758" i="22"/>
  <c r="B1757" i="22"/>
  <c r="B1756" i="22"/>
  <c r="B1755" i="22"/>
  <c r="B1754" i="22"/>
  <c r="B1753" i="22"/>
  <c r="B1752" i="22"/>
  <c r="B1751" i="22"/>
  <c r="B1750" i="22"/>
  <c r="B1749" i="22"/>
  <c r="B1748" i="22"/>
  <c r="B1747" i="22"/>
  <c r="B1746" i="22"/>
  <c r="B1745" i="22"/>
  <c r="B1744" i="22"/>
  <c r="B1743" i="22"/>
  <c r="B1742" i="22"/>
  <c r="B1741" i="22"/>
  <c r="B1740" i="22"/>
  <c r="B1739" i="22"/>
  <c r="B1738" i="22"/>
  <c r="B1737" i="22"/>
  <c r="B1736" i="22"/>
  <c r="B1735" i="22"/>
  <c r="B1734" i="22"/>
  <c r="B1733" i="22"/>
  <c r="B1732" i="22"/>
  <c r="B1731" i="22"/>
  <c r="B1730" i="22"/>
  <c r="B1729" i="22"/>
  <c r="B1728" i="22"/>
  <c r="B1727" i="22"/>
  <c r="B1726" i="22"/>
  <c r="B1725" i="22"/>
  <c r="B1724" i="22"/>
  <c r="B1723" i="22"/>
  <c r="B1722" i="22"/>
  <c r="B1721" i="22"/>
  <c r="B1720" i="22"/>
  <c r="B1719" i="22"/>
  <c r="B1718" i="22"/>
  <c r="B1717" i="22"/>
  <c r="B1716" i="22"/>
  <c r="B1715" i="22"/>
  <c r="B1714" i="22"/>
  <c r="B1713" i="22"/>
  <c r="B1712" i="22"/>
  <c r="B1711" i="22"/>
  <c r="B1710" i="22"/>
  <c r="B1709" i="22"/>
  <c r="B1708" i="22"/>
  <c r="B1707" i="22"/>
  <c r="B1706" i="22"/>
  <c r="B1705" i="22"/>
  <c r="B1704" i="22"/>
  <c r="B1703" i="22"/>
  <c r="B1702" i="22"/>
  <c r="B1701" i="22"/>
  <c r="B1700" i="22"/>
  <c r="B1699" i="22"/>
  <c r="B1698" i="22"/>
  <c r="B1697" i="22"/>
  <c r="B1696" i="22"/>
  <c r="B1695" i="22"/>
  <c r="B1694" i="22"/>
  <c r="B1693" i="22"/>
  <c r="B1692" i="22"/>
  <c r="B1691" i="22"/>
  <c r="B1690" i="22"/>
  <c r="B1689" i="22"/>
  <c r="B1688" i="22"/>
  <c r="B1687" i="22"/>
  <c r="B1686" i="22"/>
  <c r="B1685" i="22"/>
  <c r="B1684" i="22"/>
  <c r="B1683" i="22"/>
  <c r="B1682" i="22"/>
  <c r="B1681" i="22"/>
  <c r="B1680" i="22"/>
  <c r="B1679" i="22"/>
  <c r="B1678" i="22"/>
  <c r="B1677" i="22"/>
  <c r="B1676" i="22"/>
  <c r="B1675" i="22"/>
  <c r="B1674" i="22"/>
  <c r="B1673" i="22"/>
  <c r="B1672" i="22"/>
  <c r="B1671" i="22"/>
  <c r="B1670" i="22"/>
  <c r="B1669" i="22"/>
  <c r="B1668" i="22"/>
  <c r="B1667" i="22"/>
  <c r="B1666" i="22"/>
  <c r="B1665" i="22"/>
  <c r="B1664" i="22"/>
  <c r="B1663" i="22"/>
  <c r="B1662" i="22"/>
  <c r="B1661" i="22"/>
  <c r="B1660" i="22"/>
  <c r="B1659" i="22"/>
  <c r="B1658" i="22"/>
  <c r="B1657" i="22"/>
  <c r="B1656" i="22"/>
  <c r="B1655" i="22"/>
  <c r="B1654" i="22"/>
  <c r="B1653" i="22"/>
  <c r="B1652" i="22"/>
  <c r="B1651" i="22"/>
  <c r="B1650" i="22"/>
  <c r="B1649" i="22"/>
  <c r="B1648" i="22"/>
  <c r="B1647" i="22"/>
  <c r="B1646" i="22"/>
  <c r="B1645" i="22"/>
  <c r="B1644" i="22"/>
  <c r="B1643" i="22"/>
  <c r="B1642" i="22"/>
  <c r="B1641" i="22"/>
  <c r="B1640" i="22"/>
  <c r="B1639" i="22"/>
  <c r="B1638" i="22"/>
  <c r="B1637" i="22"/>
  <c r="B1636" i="22"/>
  <c r="B1635" i="22"/>
  <c r="B1634" i="22"/>
  <c r="B1633" i="22"/>
  <c r="B1632" i="22"/>
  <c r="B1631" i="22"/>
  <c r="B1630" i="22"/>
  <c r="B1629" i="22"/>
  <c r="B1628" i="22"/>
  <c r="B1627" i="22"/>
  <c r="B1626" i="22"/>
  <c r="B1625" i="22"/>
  <c r="B1624" i="22"/>
  <c r="B1623" i="22"/>
  <c r="B1622" i="22"/>
  <c r="B1621" i="22"/>
  <c r="B1620" i="22"/>
  <c r="B1619" i="22"/>
  <c r="B1618" i="22"/>
  <c r="B1617" i="22"/>
  <c r="B1616" i="22"/>
  <c r="B1615" i="22"/>
  <c r="B1614" i="22"/>
  <c r="B1613" i="22"/>
  <c r="B1612" i="22"/>
  <c r="B1611" i="22"/>
  <c r="B1610" i="22"/>
  <c r="B1609" i="22"/>
  <c r="B1608" i="22"/>
  <c r="B1607" i="22"/>
  <c r="B1606" i="22"/>
  <c r="B1605" i="22"/>
  <c r="B1604" i="22"/>
  <c r="B1603" i="22"/>
  <c r="B1602" i="22"/>
  <c r="B1601" i="22"/>
  <c r="B1600" i="22"/>
  <c r="B1599" i="22"/>
  <c r="B1598" i="22"/>
  <c r="B1597" i="22"/>
  <c r="B1596" i="22"/>
  <c r="B1595" i="22"/>
  <c r="B1594" i="22"/>
  <c r="B1593" i="22"/>
  <c r="B1592" i="22"/>
  <c r="B1591" i="22"/>
  <c r="B1590" i="22"/>
  <c r="B1589" i="22"/>
  <c r="B1588" i="22"/>
  <c r="B1587" i="22"/>
  <c r="B1586" i="22"/>
  <c r="B1585" i="22"/>
  <c r="B1584" i="22"/>
  <c r="B1583" i="22"/>
  <c r="B1582" i="22"/>
  <c r="B1581" i="22"/>
  <c r="B1580" i="22"/>
  <c r="B1579" i="22"/>
  <c r="B1578" i="22"/>
  <c r="B1577" i="22"/>
  <c r="B1576" i="22"/>
  <c r="B1575" i="22"/>
  <c r="B1574" i="22"/>
  <c r="B1573" i="22"/>
  <c r="B1572" i="22"/>
  <c r="B1571" i="22"/>
  <c r="B1570" i="22"/>
  <c r="B1569" i="22"/>
  <c r="B1568" i="22"/>
  <c r="B1567" i="22"/>
  <c r="B1566" i="22"/>
  <c r="B1565" i="22"/>
  <c r="B1564" i="22"/>
  <c r="B1563" i="22"/>
  <c r="B1562" i="22"/>
  <c r="B1561" i="22"/>
  <c r="B1560" i="22"/>
  <c r="B1559" i="22"/>
  <c r="B1558" i="22"/>
  <c r="B1557" i="22"/>
  <c r="B1556" i="22"/>
  <c r="B1555" i="22"/>
  <c r="B1554" i="22"/>
  <c r="B1553" i="22"/>
  <c r="B1552" i="22"/>
  <c r="B1551" i="22"/>
  <c r="B1550" i="22"/>
  <c r="B1549" i="22"/>
  <c r="B1548" i="22"/>
  <c r="B1547" i="22"/>
  <c r="B1546" i="22"/>
  <c r="B1545" i="22"/>
  <c r="B1544" i="22"/>
  <c r="B1543" i="22"/>
  <c r="B1542" i="22"/>
  <c r="B1541" i="22"/>
  <c r="B1540" i="22"/>
  <c r="B1539" i="22"/>
  <c r="B1538" i="22"/>
  <c r="B1537" i="22"/>
  <c r="B1536" i="22"/>
  <c r="B1535" i="22"/>
  <c r="B1534" i="22"/>
  <c r="B1533" i="22"/>
  <c r="B1532" i="22"/>
  <c r="B1531" i="22"/>
  <c r="B1530" i="22"/>
  <c r="B1529" i="22"/>
  <c r="B1528" i="22"/>
  <c r="B1527" i="22"/>
  <c r="B1526" i="22"/>
  <c r="B1525" i="22"/>
  <c r="B1524" i="22"/>
  <c r="B1523" i="22"/>
  <c r="B1522" i="22"/>
  <c r="B1521" i="22"/>
  <c r="B1520" i="22"/>
  <c r="B1519" i="22"/>
  <c r="B1518" i="22"/>
  <c r="B1517" i="22"/>
  <c r="B1516" i="22"/>
  <c r="B1515" i="22"/>
  <c r="B1514" i="22"/>
  <c r="B1513" i="22"/>
  <c r="B1512" i="22"/>
  <c r="B1511" i="22"/>
  <c r="B1510" i="22"/>
  <c r="B1509" i="22"/>
  <c r="B1508" i="22"/>
  <c r="B1507" i="22"/>
  <c r="B1506" i="22"/>
  <c r="B1505" i="22"/>
  <c r="B1504" i="22"/>
  <c r="B1503" i="22"/>
  <c r="B1502" i="22"/>
  <c r="B1501" i="22"/>
  <c r="B1500" i="22"/>
  <c r="B1499" i="22"/>
  <c r="B1498" i="22"/>
  <c r="B1497" i="22"/>
  <c r="B1496" i="22"/>
  <c r="B1495" i="22"/>
  <c r="B1494" i="22"/>
  <c r="B1493" i="22"/>
  <c r="B1492" i="22"/>
  <c r="B1491" i="22"/>
  <c r="B1490" i="22"/>
  <c r="B1489" i="22"/>
  <c r="B1488" i="22"/>
  <c r="B1487" i="22"/>
  <c r="B1486" i="22"/>
  <c r="B1485" i="22"/>
  <c r="B1484" i="22"/>
  <c r="B1483" i="22"/>
  <c r="B1482" i="22"/>
  <c r="B1481" i="22"/>
  <c r="B1480" i="22"/>
  <c r="B1479" i="22"/>
  <c r="B1478" i="22"/>
  <c r="B1477" i="22"/>
  <c r="B1476" i="22"/>
  <c r="B1475" i="22"/>
  <c r="B1474" i="22"/>
  <c r="B1473" i="22"/>
  <c r="B1472" i="22"/>
  <c r="B1471" i="22"/>
  <c r="B1470" i="22"/>
  <c r="B1469" i="22"/>
  <c r="B1468" i="22"/>
  <c r="B1467" i="22"/>
  <c r="B1466" i="22"/>
  <c r="B1465" i="22"/>
  <c r="B1464" i="22"/>
  <c r="B1463" i="22"/>
  <c r="B1462" i="22"/>
  <c r="B1461" i="22"/>
  <c r="B1460" i="22"/>
  <c r="B1459" i="22"/>
  <c r="B1458" i="22"/>
  <c r="B1457" i="22"/>
  <c r="B1456" i="22"/>
  <c r="B1455" i="22"/>
  <c r="B1454" i="22"/>
  <c r="B1453" i="22"/>
  <c r="B1452" i="22"/>
  <c r="B1451" i="22"/>
  <c r="B1450" i="22"/>
  <c r="B1449" i="22"/>
  <c r="B1448" i="22"/>
  <c r="B1447" i="22"/>
  <c r="B1446" i="22"/>
  <c r="B1445" i="22"/>
  <c r="B1444" i="22"/>
  <c r="B1443" i="22"/>
  <c r="B1442" i="22"/>
  <c r="B1441" i="22"/>
  <c r="B1440" i="22"/>
  <c r="B1439" i="22"/>
  <c r="B1438" i="22"/>
  <c r="B1437" i="22"/>
  <c r="B1436" i="22"/>
  <c r="B1435" i="22"/>
  <c r="B1434" i="22"/>
  <c r="B1433" i="22"/>
  <c r="B1432" i="22"/>
  <c r="B1431" i="22"/>
  <c r="B1430" i="22"/>
  <c r="B1429" i="22"/>
  <c r="B1428" i="22"/>
  <c r="B1427" i="22"/>
  <c r="B1426" i="22"/>
  <c r="B1425" i="22"/>
  <c r="B1424" i="22"/>
  <c r="B1423" i="22"/>
  <c r="B1422" i="22"/>
  <c r="B1421" i="22"/>
  <c r="B1420" i="22"/>
  <c r="B1419" i="22"/>
  <c r="B1418" i="22"/>
  <c r="B1417" i="22"/>
  <c r="B1416" i="22"/>
  <c r="B1415" i="22"/>
  <c r="B1414" i="22"/>
  <c r="B1413" i="22"/>
  <c r="B1412" i="22"/>
  <c r="B1411" i="22"/>
  <c r="B1410" i="22"/>
  <c r="B1409" i="22"/>
  <c r="B1408" i="22"/>
  <c r="B1407" i="22"/>
  <c r="B1406" i="22"/>
  <c r="B1405" i="22"/>
  <c r="B1404" i="22"/>
  <c r="B1403" i="22"/>
  <c r="B1402" i="22"/>
  <c r="B1401" i="22"/>
  <c r="B1400" i="22"/>
  <c r="B1399" i="22"/>
  <c r="B1398" i="22"/>
  <c r="B1397" i="22"/>
  <c r="B1396" i="22"/>
  <c r="B1395" i="22"/>
  <c r="B1394" i="22"/>
  <c r="B1393" i="22"/>
  <c r="B1392" i="22"/>
  <c r="B1391" i="22"/>
  <c r="B1390" i="22"/>
  <c r="B1389" i="22"/>
  <c r="B1388" i="22"/>
  <c r="B1387" i="22"/>
  <c r="B1386" i="22"/>
  <c r="B1385" i="22"/>
  <c r="B1384" i="22"/>
  <c r="B1383" i="22"/>
  <c r="B1382" i="22"/>
  <c r="B1381" i="22"/>
  <c r="B1380" i="22"/>
  <c r="B1379" i="22"/>
  <c r="B1378" i="22"/>
  <c r="B1377" i="22"/>
  <c r="B1376" i="22"/>
  <c r="B1375" i="22"/>
  <c r="B1374" i="22"/>
  <c r="B1373" i="22"/>
  <c r="B1372" i="22"/>
  <c r="B1371" i="22"/>
  <c r="B1370" i="22"/>
  <c r="B1369" i="22"/>
  <c r="B1368" i="22"/>
  <c r="B1367" i="22"/>
  <c r="B1366" i="22"/>
  <c r="B1365" i="22"/>
  <c r="B1364" i="22"/>
  <c r="B1363" i="22"/>
  <c r="B1362" i="22"/>
  <c r="B1361" i="22"/>
  <c r="B1360" i="22"/>
  <c r="B1359" i="22"/>
  <c r="B1358" i="22"/>
  <c r="B1357" i="22"/>
  <c r="B1356" i="22"/>
  <c r="B1355" i="22"/>
  <c r="B1354" i="22"/>
  <c r="B1353" i="22"/>
  <c r="B1352" i="22"/>
  <c r="B1351" i="22"/>
  <c r="B1350" i="22"/>
  <c r="B1349" i="22"/>
  <c r="B1348" i="22"/>
  <c r="B1347" i="22"/>
  <c r="B1346" i="22"/>
  <c r="B1345" i="22"/>
  <c r="B1344" i="22"/>
  <c r="B1343" i="22"/>
  <c r="B1342" i="22"/>
  <c r="B1341" i="22"/>
  <c r="B1340" i="22"/>
  <c r="B1339" i="22"/>
  <c r="B1338" i="22"/>
  <c r="B1337" i="22"/>
  <c r="B1336" i="22"/>
  <c r="B1335" i="22"/>
  <c r="B1334" i="22"/>
  <c r="B1333" i="22"/>
  <c r="B1332" i="22"/>
  <c r="B1331" i="22"/>
  <c r="B1330" i="22"/>
  <c r="B1329" i="22"/>
  <c r="B1328" i="22"/>
  <c r="B1327" i="22"/>
  <c r="B1326" i="22"/>
  <c r="B1325" i="22"/>
  <c r="B1324" i="22"/>
  <c r="B1323" i="22"/>
  <c r="B1322" i="22"/>
  <c r="B1321" i="22"/>
  <c r="B1320" i="22"/>
  <c r="B1319" i="22"/>
  <c r="B1318" i="22"/>
  <c r="B1317" i="22"/>
  <c r="B1316" i="22"/>
  <c r="B1315" i="22"/>
  <c r="B1314" i="22"/>
  <c r="B1313" i="22"/>
  <c r="B1312" i="22"/>
  <c r="B1311" i="22"/>
  <c r="B1310" i="22"/>
  <c r="B1309" i="22"/>
  <c r="B1308" i="22"/>
  <c r="B1307" i="22"/>
  <c r="B1306" i="22"/>
  <c r="B1305" i="22"/>
  <c r="B1304" i="22"/>
  <c r="B1303" i="22"/>
  <c r="B1302" i="22"/>
  <c r="B1301" i="22"/>
  <c r="B1300" i="22"/>
  <c r="B1299" i="22"/>
  <c r="B1298" i="22"/>
  <c r="B1297" i="22"/>
  <c r="B1296" i="22"/>
  <c r="B1295" i="22"/>
  <c r="B1294" i="22"/>
  <c r="B1293" i="22"/>
  <c r="B1292" i="22"/>
  <c r="B1291" i="22"/>
  <c r="B1290" i="22"/>
  <c r="B1289" i="22"/>
  <c r="B1288" i="22"/>
  <c r="B1287" i="22"/>
  <c r="B1286" i="22"/>
  <c r="B1285" i="22"/>
  <c r="B1284" i="22"/>
  <c r="B1283" i="22"/>
  <c r="B1282" i="22"/>
  <c r="B1281" i="22"/>
  <c r="B1280" i="22"/>
  <c r="B1279" i="22"/>
  <c r="B1278" i="22"/>
  <c r="B1277" i="22"/>
  <c r="B1276" i="22"/>
  <c r="B1275" i="22"/>
  <c r="B1274" i="22"/>
  <c r="B1273" i="22"/>
  <c r="B1272" i="22"/>
  <c r="B1271" i="22"/>
  <c r="B1270" i="22"/>
  <c r="B1269" i="22"/>
  <c r="B1268" i="22"/>
  <c r="B1267" i="22"/>
  <c r="B1266" i="22"/>
  <c r="B1265" i="22"/>
  <c r="B1264" i="22"/>
  <c r="B1263" i="22"/>
  <c r="B1262" i="22"/>
  <c r="B1261" i="22"/>
  <c r="B1260" i="22"/>
  <c r="B1259" i="22"/>
  <c r="B1258" i="22"/>
  <c r="B1257" i="22"/>
  <c r="B1256" i="22"/>
  <c r="B1255" i="22"/>
  <c r="B1254" i="22"/>
  <c r="B1253" i="22"/>
  <c r="B1252" i="22"/>
  <c r="B1251" i="22"/>
  <c r="B1250" i="22"/>
  <c r="B1249" i="22"/>
  <c r="B1248" i="22"/>
  <c r="B1247" i="22"/>
  <c r="B1246" i="22"/>
  <c r="B1245" i="22"/>
  <c r="B1244" i="22"/>
  <c r="B1243" i="22"/>
  <c r="B1242" i="22"/>
  <c r="B1241" i="22"/>
  <c r="B1240" i="22"/>
  <c r="B1239" i="22"/>
  <c r="B1238" i="22"/>
  <c r="B1237" i="22"/>
  <c r="B1236" i="22"/>
  <c r="B1235" i="22"/>
  <c r="B1234" i="22"/>
  <c r="B1233" i="22"/>
  <c r="B1232" i="22"/>
  <c r="B1231" i="22"/>
  <c r="B1230" i="22"/>
  <c r="B1229" i="22"/>
  <c r="B1228" i="22"/>
  <c r="B1227" i="22"/>
  <c r="B1226" i="22"/>
  <c r="B1225" i="22"/>
  <c r="B1224" i="22"/>
  <c r="B1223" i="22"/>
  <c r="B1222" i="22"/>
  <c r="B1221" i="22"/>
  <c r="B1220" i="22"/>
  <c r="B1219" i="22"/>
  <c r="B1218" i="22"/>
  <c r="B1217" i="22"/>
  <c r="B1216" i="22"/>
  <c r="B1215" i="22"/>
  <c r="B1214" i="22"/>
  <c r="B1213" i="22"/>
  <c r="B1212" i="22"/>
  <c r="B1211" i="22"/>
  <c r="B1210" i="22"/>
  <c r="B1209" i="22"/>
  <c r="B1208" i="22"/>
  <c r="B1207" i="22"/>
  <c r="B1206" i="22"/>
  <c r="B1205" i="22"/>
  <c r="B1204" i="22"/>
  <c r="B1203" i="22"/>
  <c r="B1202" i="22"/>
  <c r="B1201" i="22"/>
  <c r="B1200" i="22"/>
  <c r="B1199" i="22"/>
  <c r="B1198" i="22"/>
  <c r="B1197" i="22"/>
  <c r="B1196" i="22"/>
  <c r="B1195" i="22"/>
  <c r="B1194" i="22"/>
  <c r="B1193" i="22"/>
  <c r="B1192" i="22"/>
  <c r="B1191" i="22"/>
  <c r="B1190" i="22"/>
  <c r="B1189" i="22"/>
  <c r="B1188" i="22"/>
  <c r="B1187" i="22"/>
  <c r="B1186" i="22"/>
  <c r="B1185" i="22"/>
  <c r="B1184" i="22"/>
  <c r="B1183" i="22"/>
  <c r="B1182" i="22"/>
  <c r="B1181" i="22"/>
  <c r="B1180" i="22"/>
  <c r="B1179" i="22"/>
  <c r="B1178" i="22"/>
  <c r="B1177" i="22"/>
  <c r="B1176" i="22"/>
  <c r="B1175" i="22"/>
  <c r="B1174" i="22"/>
  <c r="B1173" i="22"/>
  <c r="B1172" i="22"/>
  <c r="B1171" i="22"/>
  <c r="B1170" i="22"/>
  <c r="B1169" i="22"/>
  <c r="B1168" i="22"/>
  <c r="B1167" i="22"/>
  <c r="B1166" i="22"/>
  <c r="B1165" i="22"/>
  <c r="B1164" i="22"/>
  <c r="B1163" i="22"/>
  <c r="B1162" i="22"/>
  <c r="B1161" i="22"/>
  <c r="B1160" i="22"/>
  <c r="B1159" i="22"/>
  <c r="B1158" i="22"/>
  <c r="B1157" i="22"/>
  <c r="B1156" i="22"/>
  <c r="B1155" i="22"/>
  <c r="B1154" i="22"/>
  <c r="B1153" i="22"/>
  <c r="B1152" i="22"/>
  <c r="B1151" i="22"/>
  <c r="B1150" i="22"/>
  <c r="B1149" i="22"/>
  <c r="B1148" i="22"/>
  <c r="B1147" i="22"/>
  <c r="B1146" i="22"/>
  <c r="B1145" i="22"/>
  <c r="B1144" i="22"/>
  <c r="B1143" i="22"/>
  <c r="B1142" i="22"/>
  <c r="B1141" i="22"/>
  <c r="B1140" i="22"/>
  <c r="B1139" i="22"/>
  <c r="B1138" i="22"/>
  <c r="B1137" i="22"/>
  <c r="B1136" i="22"/>
  <c r="B1135" i="22"/>
  <c r="B1134" i="22"/>
  <c r="B1133" i="22"/>
  <c r="B1132" i="22"/>
  <c r="B1131" i="22"/>
  <c r="B1130" i="22"/>
  <c r="B1129" i="22"/>
  <c r="B1128" i="22"/>
  <c r="B1127" i="22"/>
  <c r="B1126" i="22"/>
  <c r="B1125" i="22"/>
  <c r="B1124" i="22"/>
  <c r="B1123" i="22"/>
  <c r="B1122" i="22"/>
  <c r="B1121" i="22"/>
  <c r="B1120" i="22"/>
  <c r="B1119" i="22"/>
  <c r="B1118" i="22"/>
  <c r="B1117" i="22"/>
  <c r="B1116" i="22"/>
  <c r="B1115" i="22"/>
  <c r="B1114" i="22"/>
  <c r="B1113" i="22"/>
  <c r="B1112" i="22"/>
  <c r="B1111" i="22"/>
  <c r="B1110" i="22"/>
  <c r="B1109" i="22"/>
  <c r="B1108" i="22"/>
  <c r="B1107" i="22"/>
  <c r="B1106" i="22"/>
  <c r="B1105" i="22"/>
  <c r="B1104" i="22"/>
  <c r="B1103" i="22"/>
  <c r="B1102" i="22"/>
  <c r="B1101" i="22"/>
  <c r="B1100" i="22"/>
  <c r="B1099" i="22"/>
  <c r="B1098" i="22"/>
  <c r="B1097" i="22"/>
  <c r="B1096" i="22"/>
  <c r="B1095" i="22"/>
  <c r="B1094" i="22"/>
  <c r="B1093" i="22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X22" i="1"/>
  <c r="X20" i="1"/>
  <c r="Q22" i="21"/>
  <c r="Q24" i="21"/>
  <c r="P21" i="21"/>
  <c r="P22" i="21"/>
  <c r="P23" i="21"/>
  <c r="O21" i="21"/>
  <c r="O22" i="21"/>
  <c r="O23" i="21"/>
  <c r="O24" i="21"/>
  <c r="N21" i="21"/>
  <c r="N22" i="21"/>
  <c r="N23" i="21"/>
  <c r="N24" i="21"/>
  <c r="M22" i="21"/>
  <c r="M23" i="21"/>
  <c r="M21" i="21"/>
  <c r="M24" i="21"/>
  <c r="L21" i="21"/>
  <c r="L22" i="21"/>
  <c r="L23" i="21"/>
  <c r="L24" i="21"/>
  <c r="K21" i="21"/>
  <c r="K22" i="21"/>
  <c r="K23" i="21"/>
  <c r="K24" i="21"/>
  <c r="J24" i="21"/>
  <c r="J21" i="21"/>
  <c r="J22" i="21"/>
  <c r="J23" i="21"/>
  <c r="I24" i="21"/>
  <c r="I21" i="21"/>
  <c r="I22" i="21"/>
  <c r="I23" i="21"/>
  <c r="H24" i="21"/>
  <c r="H21" i="21"/>
  <c r="H22" i="21"/>
  <c r="H23" i="21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G21" i="21" s="1"/>
  <c r="AA21" i="6"/>
  <c r="G22" i="21" s="1"/>
  <c r="AA22" i="6"/>
  <c r="G23" i="21" s="1"/>
  <c r="AA23" i="6"/>
  <c r="G24" i="21" s="1"/>
  <c r="AA5" i="6"/>
  <c r="AA75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21" i="4"/>
  <c r="E22" i="21" s="1"/>
  <c r="AA20" i="4"/>
  <c r="E21" i="21" s="1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E31" i="21" s="1"/>
  <c r="AA41" i="4"/>
  <c r="E30" i="21" s="1"/>
  <c r="AA40" i="4"/>
  <c r="E29" i="21" s="1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F21" i="21" s="1"/>
  <c r="AA21" i="5"/>
  <c r="F22" i="21" s="1"/>
  <c r="AA22" i="5"/>
  <c r="F23" i="21" s="1"/>
  <c r="AA23" i="5"/>
  <c r="F24" i="21" s="1"/>
  <c r="AA5" i="5"/>
  <c r="C24" i="21"/>
  <c r="E24" i="21"/>
  <c r="M98" i="16"/>
  <c r="AJ22" i="15"/>
  <c r="AI22" i="15"/>
  <c r="AK22" i="15"/>
  <c r="AL22" i="15"/>
  <c r="AK23" i="15"/>
  <c r="AL23" i="15"/>
  <c r="F93" i="3"/>
  <c r="F58" i="3"/>
  <c r="F23" i="3"/>
  <c r="H23" i="3"/>
  <c r="H58" i="3"/>
  <c r="H93" i="3"/>
  <c r="J93" i="3"/>
  <c r="J58" i="3"/>
  <c r="J23" i="3"/>
  <c r="Z92" i="3"/>
  <c r="X92" i="3"/>
  <c r="X57" i="3"/>
  <c r="Z22" i="3"/>
  <c r="X22" i="3"/>
  <c r="AF78" i="13"/>
  <c r="W165" i="10"/>
  <c r="W170" i="10" s="1"/>
  <c r="D22" i="21"/>
  <c r="D21" i="21"/>
  <c r="C22" i="21"/>
  <c r="C23" i="21"/>
  <c r="C21" i="21"/>
  <c r="E23" i="21"/>
  <c r="M63" i="16"/>
  <c r="Q23" i="21" s="1"/>
  <c r="K98" i="16"/>
  <c r="J98" i="16"/>
  <c r="J92" i="3"/>
  <c r="J22" i="3"/>
  <c r="J57" i="3"/>
  <c r="H92" i="3"/>
  <c r="H57" i="3"/>
  <c r="H22" i="3"/>
  <c r="G92" i="3"/>
  <c r="G57" i="3"/>
  <c r="G22" i="3"/>
  <c r="F92" i="3"/>
  <c r="F57" i="3"/>
  <c r="F22" i="3"/>
  <c r="K92" i="3"/>
  <c r="K57" i="3"/>
  <c r="K22" i="3"/>
  <c r="I92" i="3"/>
  <c r="I57" i="3"/>
  <c r="I22" i="3"/>
  <c r="X157" i="9"/>
  <c r="AP7" i="15"/>
  <c r="AL5" i="15"/>
  <c r="AG6" i="15"/>
  <c r="AH6" i="15"/>
  <c r="AJ6" i="15"/>
  <c r="AM6" i="15"/>
  <c r="AR6" i="15"/>
  <c r="AI7" i="15"/>
  <c r="AK7" i="15"/>
  <c r="AL7" i="15"/>
  <c r="AT7" i="15"/>
  <c r="AG8" i="15"/>
  <c r="AG34" i="15" s="1"/>
  <c r="AI8" i="15"/>
  <c r="AL8" i="15"/>
  <c r="AN8" i="15"/>
  <c r="AP8" i="15"/>
  <c r="AK9" i="15"/>
  <c r="AL9" i="15"/>
  <c r="AN9" i="15"/>
  <c r="AP9" i="15"/>
  <c r="AL10" i="15"/>
  <c r="AN10" i="15"/>
  <c r="AT10" i="15"/>
  <c r="AL11" i="15"/>
  <c r="AJ12" i="15"/>
  <c r="AL12" i="15"/>
  <c r="AN12" i="15"/>
  <c r="AO12" i="15"/>
  <c r="AV12" i="15"/>
  <c r="AV34" i="15" s="1"/>
  <c r="AK13" i="15"/>
  <c r="AL13" i="15"/>
  <c r="AR13" i="15"/>
  <c r="AS13" i="15"/>
  <c r="AS34" i="15" s="1"/>
  <c r="AI14" i="15"/>
  <c r="AL14" i="15"/>
  <c r="AN14" i="15"/>
  <c r="AH15" i="15"/>
  <c r="AL15" i="15"/>
  <c r="AM15" i="15"/>
  <c r="AK16" i="15"/>
  <c r="AN16" i="15"/>
  <c r="AP16" i="15"/>
  <c r="AI17" i="15"/>
  <c r="AJ17" i="15"/>
  <c r="AK17" i="15"/>
  <c r="AL17" i="15"/>
  <c r="AM17" i="15"/>
  <c r="AR17" i="15"/>
  <c r="AU17" i="15"/>
  <c r="AU34" i="15" s="1"/>
  <c r="AI18" i="15"/>
  <c r="AK18" i="15"/>
  <c r="AM18" i="15"/>
  <c r="AI19" i="15"/>
  <c r="AN19" i="15"/>
  <c r="AO19" i="15"/>
  <c r="AH20" i="15"/>
  <c r="AJ20" i="15"/>
  <c r="AL20" i="15"/>
  <c r="AI21" i="15"/>
  <c r="AK21" i="15"/>
  <c r="AL21" i="15"/>
  <c r="AP21" i="15"/>
  <c r="AE7" i="15"/>
  <c r="F165" i="10"/>
  <c r="F170" i="10" s="1"/>
  <c r="G165" i="10"/>
  <c r="G177" i="10" s="1"/>
  <c r="H165" i="10"/>
  <c r="H170" i="10" s="1"/>
  <c r="I165" i="10"/>
  <c r="I190" i="10" s="1"/>
  <c r="J165" i="10"/>
  <c r="K165" i="10"/>
  <c r="K175" i="10" s="1"/>
  <c r="L165" i="10"/>
  <c r="L173" i="10" s="1"/>
  <c r="M165" i="10"/>
  <c r="M173" i="10" s="1"/>
  <c r="N165" i="10"/>
  <c r="O165" i="10"/>
  <c r="P165" i="10"/>
  <c r="P174" i="10" s="1"/>
  <c r="Q165" i="10"/>
  <c r="Q174" i="10" s="1"/>
  <c r="R165" i="10"/>
  <c r="R169" i="10" s="1"/>
  <c r="R195" i="10" s="1"/>
  <c r="S165" i="10"/>
  <c r="S174" i="10" s="1"/>
  <c r="T165" i="10"/>
  <c r="U165" i="10"/>
  <c r="U178" i="10" s="1"/>
  <c r="V165" i="10"/>
  <c r="J221" i="10"/>
  <c r="J222" i="10"/>
  <c r="J220" i="10"/>
  <c r="AA91" i="2"/>
  <c r="AB91" i="2" s="1"/>
  <c r="AA77" i="2"/>
  <c r="AB77" i="2" s="1"/>
  <c r="AA78" i="2"/>
  <c r="AB78" i="2" s="1"/>
  <c r="AA79" i="2"/>
  <c r="AB79" i="2" s="1"/>
  <c r="AA80" i="2"/>
  <c r="AB80" i="2" s="1"/>
  <c r="AA81" i="2"/>
  <c r="AB81" i="2" s="1"/>
  <c r="AA82" i="2"/>
  <c r="AB82" i="2" s="1"/>
  <c r="AA83" i="2"/>
  <c r="AB83" i="2" s="1"/>
  <c r="AA84" i="2"/>
  <c r="AB84" i="2" s="1"/>
  <c r="AA85" i="2"/>
  <c r="AB85" i="2" s="1"/>
  <c r="AA86" i="2"/>
  <c r="AB86" i="2" s="1"/>
  <c r="AA87" i="2"/>
  <c r="AB87" i="2" s="1"/>
  <c r="AA88" i="2"/>
  <c r="AB88" i="2" s="1"/>
  <c r="AA89" i="2"/>
  <c r="AB89" i="2" s="1"/>
  <c r="AA90" i="2"/>
  <c r="AB90" i="2" s="1"/>
  <c r="AA92" i="2"/>
  <c r="AB92" i="2" s="1"/>
  <c r="AA76" i="2"/>
  <c r="AB76" i="2" s="1"/>
  <c r="AB35" i="2"/>
  <c r="AA20" i="2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M148" i="19"/>
  <c r="N148" i="19"/>
  <c r="N90" i="19"/>
  <c r="M90" i="19"/>
  <c r="N21" i="19"/>
  <c r="M21" i="19"/>
  <c r="AA76" i="11"/>
  <c r="AB76" i="11" s="1"/>
  <c r="AA77" i="11"/>
  <c r="AB77" i="11" s="1"/>
  <c r="AA78" i="11"/>
  <c r="AB78" i="11" s="1"/>
  <c r="AA79" i="11"/>
  <c r="AB79" i="11" s="1"/>
  <c r="AA80" i="11"/>
  <c r="AB80" i="11" s="1"/>
  <c r="AA81" i="11"/>
  <c r="AB81" i="11" s="1"/>
  <c r="AA82" i="11"/>
  <c r="AB82" i="11" s="1"/>
  <c r="AA83" i="11"/>
  <c r="AB83" i="11" s="1"/>
  <c r="AA84" i="11"/>
  <c r="AB84" i="11" s="1"/>
  <c r="AA85" i="11"/>
  <c r="AB85" i="11" s="1"/>
  <c r="AA86" i="11"/>
  <c r="AB86" i="11" s="1"/>
  <c r="AA87" i="11"/>
  <c r="AB87" i="11" s="1"/>
  <c r="AA88" i="11"/>
  <c r="AB88" i="11" s="1"/>
  <c r="AA89" i="11"/>
  <c r="AB89" i="11" s="1"/>
  <c r="AA75" i="11"/>
  <c r="AB75" i="11" s="1"/>
  <c r="AA56" i="11"/>
  <c r="AB56" i="11" s="1"/>
  <c r="AA41" i="11"/>
  <c r="AB41" i="11" s="1"/>
  <c r="AA42" i="11"/>
  <c r="AB42" i="11" s="1"/>
  <c r="AA43" i="11"/>
  <c r="AB43" i="11" s="1"/>
  <c r="AA44" i="11"/>
  <c r="AB44" i="11" s="1"/>
  <c r="AA45" i="11"/>
  <c r="AB45" i="11" s="1"/>
  <c r="AA46" i="11"/>
  <c r="AB46" i="11" s="1"/>
  <c r="AA47" i="11"/>
  <c r="AB47" i="11" s="1"/>
  <c r="AA48" i="11"/>
  <c r="AB48" i="11" s="1"/>
  <c r="AA49" i="11"/>
  <c r="AB49" i="11" s="1"/>
  <c r="AA50" i="11"/>
  <c r="AB50" i="11" s="1"/>
  <c r="AA51" i="11"/>
  <c r="AB51" i="11" s="1"/>
  <c r="AA52" i="11"/>
  <c r="AB52" i="11" s="1"/>
  <c r="AA53" i="11"/>
  <c r="AB53" i="11" s="1"/>
  <c r="AA54" i="11"/>
  <c r="AB54" i="11" s="1"/>
  <c r="AA40" i="11"/>
  <c r="AB40" i="11" s="1"/>
  <c r="AA5" i="11"/>
  <c r="AB5" i="11" s="1"/>
  <c r="AA6" i="11"/>
  <c r="AB6" i="11" s="1"/>
  <c r="AA7" i="11"/>
  <c r="AB7" i="11" s="1"/>
  <c r="AA8" i="11"/>
  <c r="AB8" i="11" s="1"/>
  <c r="AA9" i="11"/>
  <c r="AB9" i="11" s="1"/>
  <c r="AA11" i="11"/>
  <c r="AB11" i="11" s="1"/>
  <c r="AA12" i="11"/>
  <c r="AB12" i="11" s="1"/>
  <c r="AA16" i="11"/>
  <c r="AB16" i="11" s="1"/>
  <c r="AA17" i="11"/>
  <c r="AB17" i="11" s="1"/>
  <c r="AA18" i="11"/>
  <c r="AB18" i="11" s="1"/>
  <c r="AA19" i="11"/>
  <c r="AB19" i="11" s="1"/>
  <c r="AB13" i="6"/>
  <c r="AC13" i="6" s="1"/>
  <c r="AB19" i="6"/>
  <c r="AC19" i="6" s="1"/>
  <c r="X34" i="6"/>
  <c r="AB90" i="6"/>
  <c r="AC90" i="6" s="1"/>
  <c r="AB91" i="6"/>
  <c r="AC91" i="6" s="1"/>
  <c r="AB84" i="6"/>
  <c r="AC84" i="6" s="1"/>
  <c r="AB77" i="6"/>
  <c r="AC77" i="6" s="1"/>
  <c r="AB78" i="6"/>
  <c r="AC78" i="6" s="1"/>
  <c r="AB79" i="6"/>
  <c r="AC79" i="6" s="1"/>
  <c r="AB80" i="6"/>
  <c r="AC80" i="6" s="1"/>
  <c r="AB81" i="6"/>
  <c r="AC81" i="6" s="1"/>
  <c r="AB82" i="6"/>
  <c r="AC82" i="6" s="1"/>
  <c r="AB83" i="6"/>
  <c r="AC83" i="6" s="1"/>
  <c r="AB85" i="6"/>
  <c r="AC85" i="6" s="1"/>
  <c r="AB86" i="6"/>
  <c r="AC86" i="6" s="1"/>
  <c r="AB87" i="6"/>
  <c r="AC87" i="6" s="1"/>
  <c r="AB88" i="6"/>
  <c r="AC88" i="6" s="1"/>
  <c r="AB89" i="6"/>
  <c r="AC89" i="6" s="1"/>
  <c r="AB43" i="6"/>
  <c r="AC43" i="6" s="1"/>
  <c r="AB44" i="6"/>
  <c r="AC44" i="6" s="1"/>
  <c r="AB45" i="6"/>
  <c r="AC45" i="6" s="1"/>
  <c r="AB46" i="6"/>
  <c r="AC46" i="6" s="1"/>
  <c r="AB47" i="6"/>
  <c r="AC47" i="6" s="1"/>
  <c r="AB48" i="6"/>
  <c r="AC48" i="6" s="1"/>
  <c r="AB49" i="6"/>
  <c r="AC49" i="6" s="1"/>
  <c r="AB50" i="6"/>
  <c r="AC50" i="6" s="1"/>
  <c r="AB51" i="6"/>
  <c r="AC51" i="6" s="1"/>
  <c r="AB52" i="6"/>
  <c r="AC52" i="6" s="1"/>
  <c r="AB53" i="6"/>
  <c r="AC53" i="6" s="1"/>
  <c r="AB54" i="6"/>
  <c r="AC54" i="6" s="1"/>
  <c r="AB42" i="6"/>
  <c r="AC42" i="6" s="1"/>
  <c r="AC105" i="4"/>
  <c r="AB7" i="6"/>
  <c r="AC7" i="6" s="1"/>
  <c r="AB8" i="6"/>
  <c r="AC8" i="6" s="1"/>
  <c r="AB9" i="6"/>
  <c r="AC9" i="6" s="1"/>
  <c r="AB10" i="6"/>
  <c r="AC10" i="6" s="1"/>
  <c r="AB11" i="6"/>
  <c r="AC11" i="6" s="1"/>
  <c r="AB12" i="6"/>
  <c r="AC12" i="6" s="1"/>
  <c r="AB14" i="6"/>
  <c r="AC14" i="6" s="1"/>
  <c r="AB15" i="6"/>
  <c r="AC15" i="6" s="1"/>
  <c r="AB16" i="6"/>
  <c r="AC16" i="6" s="1"/>
  <c r="AB17" i="6"/>
  <c r="AC17" i="6" s="1"/>
  <c r="AB18" i="6"/>
  <c r="AC18" i="6" s="1"/>
  <c r="AC104" i="4"/>
  <c r="AB75" i="4"/>
  <c r="AC75" i="4" s="1"/>
  <c r="AB76" i="4"/>
  <c r="AC76" i="4" s="1"/>
  <c r="AB77" i="4"/>
  <c r="AC77" i="4" s="1"/>
  <c r="AB78" i="4"/>
  <c r="AC78" i="4" s="1"/>
  <c r="AB79" i="4"/>
  <c r="AC79" i="4" s="1"/>
  <c r="AB80" i="4"/>
  <c r="AC80" i="4" s="1"/>
  <c r="AB81" i="4"/>
  <c r="AC81" i="4" s="1"/>
  <c r="AB82" i="4"/>
  <c r="AC82" i="4" s="1"/>
  <c r="AB83" i="4"/>
  <c r="AC83" i="4" s="1"/>
  <c r="AB84" i="4"/>
  <c r="AC84" i="4" s="1"/>
  <c r="AB85" i="4"/>
  <c r="AC85" i="4" s="1"/>
  <c r="AB86" i="4"/>
  <c r="AC86" i="4" s="1"/>
  <c r="AB87" i="4"/>
  <c r="AC87" i="4" s="1"/>
  <c r="AB88" i="4"/>
  <c r="AC88" i="4" s="1"/>
  <c r="AB89" i="4"/>
  <c r="AC89" i="4" s="1"/>
  <c r="AB91" i="4"/>
  <c r="O147" i="19"/>
  <c r="L147" i="19"/>
  <c r="J147" i="19"/>
  <c r="J89" i="19"/>
  <c r="L89" i="19"/>
  <c r="O89" i="19"/>
  <c r="L20" i="19"/>
  <c r="J20" i="19"/>
  <c r="P96" i="16"/>
  <c r="N96" i="16"/>
  <c r="K96" i="16"/>
  <c r="P61" i="16"/>
  <c r="N61" i="16"/>
  <c r="K61" i="16"/>
  <c r="P26" i="16"/>
  <c r="AA26" i="16" s="1"/>
  <c r="U108" i="18"/>
  <c r="T108" i="18"/>
  <c r="S108" i="18"/>
  <c r="R108" i="18"/>
  <c r="Q108" i="18"/>
  <c r="P108" i="18"/>
  <c r="O108" i="18"/>
  <c r="N108" i="18"/>
  <c r="M108" i="18"/>
  <c r="L108" i="18"/>
  <c r="K108" i="18"/>
  <c r="J108" i="18"/>
  <c r="I108" i="18"/>
  <c r="H108" i="18"/>
  <c r="G108" i="18"/>
  <c r="F108" i="18"/>
  <c r="E108" i="18"/>
  <c r="D108" i="18"/>
  <c r="C108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S110" i="16"/>
  <c r="R110" i="16"/>
  <c r="Q110" i="16"/>
  <c r="P110" i="16"/>
  <c r="O110" i="16"/>
  <c r="N110" i="16"/>
  <c r="M110" i="16"/>
  <c r="L110" i="16"/>
  <c r="K110" i="16"/>
  <c r="J110" i="16"/>
  <c r="I110" i="16"/>
  <c r="H110" i="16"/>
  <c r="G110" i="16"/>
  <c r="F110" i="16"/>
  <c r="S75" i="16"/>
  <c r="R75" i="16"/>
  <c r="Q75" i="16"/>
  <c r="P75" i="16"/>
  <c r="O75" i="16"/>
  <c r="N75" i="16"/>
  <c r="M75" i="16"/>
  <c r="L75" i="16"/>
  <c r="K75" i="16"/>
  <c r="J75" i="16"/>
  <c r="I75" i="16"/>
  <c r="G75" i="16"/>
  <c r="F75" i="16"/>
  <c r="S69" i="15"/>
  <c r="R69" i="15"/>
  <c r="Q69" i="15"/>
  <c r="P69" i="15"/>
  <c r="O69" i="15"/>
  <c r="M69" i="15"/>
  <c r="L69" i="15"/>
  <c r="K69" i="15"/>
  <c r="J69" i="15"/>
  <c r="I69" i="15"/>
  <c r="H69" i="15"/>
  <c r="G69" i="15"/>
  <c r="F69" i="15"/>
  <c r="E69" i="15"/>
  <c r="D69" i="15"/>
  <c r="S34" i="15"/>
  <c r="R34" i="15"/>
  <c r="Q34" i="15"/>
  <c r="P34" i="15"/>
  <c r="O34" i="15"/>
  <c r="M34" i="15"/>
  <c r="L34" i="15"/>
  <c r="K34" i="15"/>
  <c r="J34" i="15"/>
  <c r="I34" i="15"/>
  <c r="H34" i="15"/>
  <c r="G34" i="15"/>
  <c r="F34" i="15"/>
  <c r="E34" i="15"/>
  <c r="D34" i="15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D104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D69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D34" i="14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D34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D69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D104" i="13"/>
  <c r="U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U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C34" i="11"/>
  <c r="R69" i="11"/>
  <c r="Q69" i="11"/>
  <c r="P69" i="11"/>
  <c r="O69" i="11"/>
  <c r="N69" i="11"/>
  <c r="L69" i="11"/>
  <c r="K69" i="11"/>
  <c r="J69" i="11"/>
  <c r="I69" i="11"/>
  <c r="H69" i="11"/>
  <c r="G69" i="11"/>
  <c r="F69" i="11"/>
  <c r="E69" i="11"/>
  <c r="C69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C104" i="11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D69" i="8"/>
  <c r="C69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D104" i="8"/>
  <c r="C104" i="8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U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U69" i="5"/>
  <c r="S69" i="5"/>
  <c r="R69" i="5"/>
  <c r="Q69" i="5"/>
  <c r="P69" i="5"/>
  <c r="N69" i="5"/>
  <c r="M69" i="5"/>
  <c r="L69" i="5"/>
  <c r="K69" i="5"/>
  <c r="J69" i="5"/>
  <c r="I69" i="5"/>
  <c r="H69" i="5"/>
  <c r="G69" i="5"/>
  <c r="F69" i="5"/>
  <c r="U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D104" i="3"/>
  <c r="C104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D69" i="3"/>
  <c r="C69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D34" i="3"/>
  <c r="C34" i="3"/>
  <c r="S105" i="2"/>
  <c r="R105" i="2"/>
  <c r="Q105" i="2"/>
  <c r="P105" i="2"/>
  <c r="O105" i="2"/>
  <c r="N105" i="2"/>
  <c r="M105" i="2"/>
  <c r="L105" i="2"/>
  <c r="K105" i="2"/>
  <c r="J105" i="2"/>
  <c r="I105" i="2"/>
  <c r="G105" i="2"/>
  <c r="F105" i="2"/>
  <c r="E105" i="2"/>
  <c r="D105" i="2"/>
  <c r="C105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V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D104" i="1"/>
  <c r="C104" i="1"/>
  <c r="Z69" i="1"/>
  <c r="X69" i="1"/>
  <c r="V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C69" i="1"/>
  <c r="D34" i="1"/>
  <c r="F34" i="1"/>
  <c r="G34" i="1"/>
  <c r="H34" i="1"/>
  <c r="I34" i="1"/>
  <c r="J34" i="1"/>
  <c r="K34" i="1"/>
  <c r="L34" i="1"/>
  <c r="M34" i="1"/>
  <c r="N34" i="1"/>
  <c r="O34" i="1"/>
  <c r="P34" i="1"/>
  <c r="Q34" i="1"/>
  <c r="S34" i="1"/>
  <c r="V34" i="1"/>
  <c r="C34" i="1"/>
  <c r="Z108" i="18"/>
  <c r="X108" i="18"/>
  <c r="Z73" i="18"/>
  <c r="X73" i="18"/>
  <c r="Z38" i="18"/>
  <c r="X38" i="18"/>
  <c r="Z75" i="16"/>
  <c r="X75" i="16"/>
  <c r="Z40" i="16"/>
  <c r="X40" i="16"/>
  <c r="Z69" i="15"/>
  <c r="X69" i="15"/>
  <c r="Z34" i="15"/>
  <c r="X34" i="15"/>
  <c r="X34" i="14"/>
  <c r="Z69" i="14"/>
  <c r="X69" i="14"/>
  <c r="Z104" i="14"/>
  <c r="X104" i="14"/>
  <c r="Z104" i="13"/>
  <c r="X104" i="13"/>
  <c r="Z69" i="13"/>
  <c r="X69" i="13"/>
  <c r="X34" i="13"/>
  <c r="Z34" i="11"/>
  <c r="X34" i="11"/>
  <c r="Z69" i="11"/>
  <c r="X69" i="11"/>
  <c r="Z104" i="11"/>
  <c r="X104" i="11"/>
  <c r="X104" i="10"/>
  <c r="Z104" i="10"/>
  <c r="X69" i="10"/>
  <c r="Z69" i="10"/>
  <c r="Z34" i="10"/>
  <c r="X34" i="10"/>
  <c r="Z34" i="9"/>
  <c r="X34" i="9"/>
  <c r="X69" i="9"/>
  <c r="Z69" i="9"/>
  <c r="Z104" i="9"/>
  <c r="X104" i="9"/>
  <c r="X34" i="8"/>
  <c r="Z34" i="8"/>
  <c r="X69" i="8"/>
  <c r="Z69" i="8"/>
  <c r="X104" i="8"/>
  <c r="Z104" i="8"/>
  <c r="X104" i="7"/>
  <c r="Z104" i="7"/>
  <c r="Z69" i="7"/>
  <c r="X69" i="7"/>
  <c r="Z34" i="7"/>
  <c r="X34" i="7"/>
  <c r="X104" i="6"/>
  <c r="Z69" i="6"/>
  <c r="X69" i="6"/>
  <c r="Z104" i="5"/>
  <c r="X104" i="5"/>
  <c r="Z69" i="5"/>
  <c r="X69" i="5"/>
  <c r="Z34" i="5"/>
  <c r="X34" i="5"/>
  <c r="Z34" i="4"/>
  <c r="X34" i="4"/>
  <c r="Z69" i="4"/>
  <c r="X69" i="4"/>
  <c r="Z104" i="4"/>
  <c r="X104" i="4"/>
  <c r="X104" i="3"/>
  <c r="Z69" i="3"/>
  <c r="X69" i="3"/>
  <c r="Z34" i="3"/>
  <c r="X34" i="3"/>
  <c r="Z69" i="2"/>
  <c r="Z105" i="2"/>
  <c r="X105" i="2"/>
  <c r="X69" i="2"/>
  <c r="Z104" i="1"/>
  <c r="X104" i="1"/>
  <c r="Z34" i="1"/>
  <c r="X34" i="1"/>
  <c r="Z34" i="12"/>
  <c r="Z34" i="13"/>
  <c r="Z34" i="17"/>
  <c r="X69" i="17"/>
  <c r="Z69" i="17"/>
  <c r="X104" i="17"/>
  <c r="AX18" i="3"/>
  <c r="BB16" i="3"/>
  <c r="BB15" i="3"/>
  <c r="AQ12" i="9"/>
  <c r="AJ17" i="9"/>
  <c r="AX146" i="23"/>
  <c r="BB128" i="23"/>
  <c r="BB112" i="23"/>
  <c r="BB93" i="23"/>
  <c r="BB94" i="23"/>
  <c r="BB75" i="23"/>
  <c r="BB72" i="23"/>
  <c r="BB54" i="23"/>
  <c r="AQ145" i="23"/>
  <c r="AQ127" i="23"/>
  <c r="AQ106" i="23"/>
  <c r="AQ110" i="23"/>
  <c r="AQ43" i="23"/>
  <c r="AQ41" i="23"/>
  <c r="AQ29" i="23"/>
  <c r="AM32" i="23"/>
  <c r="AQ26" i="23"/>
  <c r="BQ28" i="23"/>
  <c r="BQ11" i="23"/>
  <c r="BB174" i="23"/>
  <c r="BB171" i="23"/>
  <c r="CB88" i="23"/>
  <c r="CB62" i="23"/>
  <c r="AQ59" i="23"/>
  <c r="AQ87" i="23"/>
  <c r="AQ94" i="23"/>
  <c r="AQ109" i="23"/>
  <c r="AQ142" i="23"/>
  <c r="CB86" i="23"/>
  <c r="BQ12" i="23"/>
  <c r="AQ57" i="23"/>
  <c r="BB158" i="23"/>
  <c r="BB176" i="23"/>
  <c r="BQ13" i="23"/>
  <c r="BB144" i="23"/>
  <c r="AQ91" i="23"/>
  <c r="J120" i="16"/>
  <c r="AX7" i="16"/>
  <c r="AX6" i="16"/>
  <c r="AB61" i="16" l="1"/>
  <c r="Q188" i="10"/>
  <c r="Q177" i="10"/>
  <c r="Q175" i="10"/>
  <c r="W188" i="10"/>
  <c r="Q185" i="10"/>
  <c r="Q183" i="10"/>
  <c r="AM15" i="9"/>
  <c r="AQ11" i="9"/>
  <c r="AA58" i="5"/>
  <c r="F181" i="10"/>
  <c r="W172" i="10"/>
  <c r="W182" i="10"/>
  <c r="AB63" i="16"/>
  <c r="W184" i="10"/>
  <c r="AA20" i="19"/>
  <c r="AA90" i="19"/>
  <c r="M184" i="10"/>
  <c r="BB155" i="23"/>
  <c r="CB119" i="23"/>
  <c r="W186" i="10"/>
  <c r="W185" i="10"/>
  <c r="L190" i="10"/>
  <c r="M178" i="10"/>
  <c r="W181" i="10"/>
  <c r="M181" i="10"/>
  <c r="W175" i="10"/>
  <c r="U189" i="10"/>
  <c r="W179" i="10"/>
  <c r="W169" i="10"/>
  <c r="M186" i="10"/>
  <c r="AO34" i="15"/>
  <c r="BB125" i="23"/>
  <c r="CB45" i="23"/>
  <c r="BX72" i="23"/>
  <c r="AU99" i="23"/>
  <c r="AX114" i="23"/>
  <c r="AQ28" i="23"/>
  <c r="AU65" i="23"/>
  <c r="AQ92" i="23"/>
  <c r="BQ10" i="23"/>
  <c r="AQ27" i="23"/>
  <c r="AM34" i="23" s="1"/>
  <c r="BB74" i="23"/>
  <c r="BB92" i="23"/>
  <c r="AU163" i="23"/>
  <c r="CB46" i="23"/>
  <c r="BB109" i="23"/>
  <c r="CB93" i="23"/>
  <c r="AQ60" i="23"/>
  <c r="BB156" i="23"/>
  <c r="AU180" i="23"/>
  <c r="BU74" i="23"/>
  <c r="BB110" i="23"/>
  <c r="AQ74" i="23"/>
  <c r="BB142" i="23"/>
  <c r="AX131" i="23"/>
  <c r="AJ133" i="23"/>
  <c r="BB173" i="23"/>
  <c r="BB77" i="23"/>
  <c r="BB124" i="23"/>
  <c r="AQ44" i="23"/>
  <c r="AJ65" i="23"/>
  <c r="AQ107" i="23"/>
  <c r="BB73" i="23"/>
  <c r="CB64" i="23"/>
  <c r="BB141" i="23"/>
  <c r="AQ111" i="23"/>
  <c r="AM48" i="23"/>
  <c r="BB57" i="23"/>
  <c r="CB67" i="23"/>
  <c r="Q189" i="10"/>
  <c r="H186" i="10"/>
  <c r="U183" i="10"/>
  <c r="U180" i="10"/>
  <c r="U177" i="10"/>
  <c r="P175" i="10"/>
  <c r="AM131" i="23"/>
  <c r="BB16" i="23"/>
  <c r="M175" i="10"/>
  <c r="U190" i="10"/>
  <c r="M188" i="10"/>
  <c r="P185" i="10"/>
  <c r="M183" i="10"/>
  <c r="L180" i="10"/>
  <c r="M177" i="10"/>
  <c r="U174" i="10"/>
  <c r="Q190" i="10"/>
  <c r="U187" i="10"/>
  <c r="M185" i="10"/>
  <c r="L183" i="10"/>
  <c r="Q179" i="10"/>
  <c r="L177" i="10"/>
  <c r="M174" i="10"/>
  <c r="BB58" i="23"/>
  <c r="BB90" i="23"/>
  <c r="AU116" i="23"/>
  <c r="BB157" i="23"/>
  <c r="M190" i="10"/>
  <c r="M187" i="10"/>
  <c r="H185" i="10"/>
  <c r="U182" i="10"/>
  <c r="H179" i="10"/>
  <c r="U176" i="10"/>
  <c r="U173" i="10"/>
  <c r="AQ9" i="9"/>
  <c r="AQ90" i="23"/>
  <c r="AU82" i="23"/>
  <c r="J138" i="16"/>
  <c r="M180" i="10"/>
  <c r="U186" i="10"/>
  <c r="U184" i="10"/>
  <c r="Q182" i="10"/>
  <c r="Q178" i="10"/>
  <c r="Q176" i="10"/>
  <c r="Q173" i="10"/>
  <c r="AP34" i="15"/>
  <c r="AB22" i="3"/>
  <c r="AJ80" i="23"/>
  <c r="BB60" i="23"/>
  <c r="BQ25" i="23"/>
  <c r="CB30" i="23"/>
  <c r="CB68" i="23"/>
  <c r="AH21" i="21"/>
  <c r="Q186" i="10"/>
  <c r="Q184" i="10"/>
  <c r="U181" i="10"/>
  <c r="P178" i="10"/>
  <c r="U175" i="10"/>
  <c r="AQ126" i="23"/>
  <c r="AX8" i="16"/>
  <c r="Q21" i="21"/>
  <c r="Q33" i="21" s="1"/>
  <c r="AT15" i="16"/>
  <c r="AX5" i="16"/>
  <c r="CB13" i="23"/>
  <c r="AU40" i="23"/>
  <c r="BJ17" i="23"/>
  <c r="BQ26" i="23"/>
  <c r="CB10" i="23"/>
  <c r="AJ34" i="23"/>
  <c r="BM30" i="23"/>
  <c r="G182" i="10"/>
  <c r="S176" i="10"/>
  <c r="K176" i="10"/>
  <c r="G175" i="10"/>
  <c r="K173" i="10"/>
  <c r="AK34" i="15"/>
  <c r="H189" i="10"/>
  <c r="L187" i="10"/>
  <c r="L184" i="10"/>
  <c r="P182" i="10"/>
  <c r="S180" i="10"/>
  <c r="P179" i="10"/>
  <c r="G173" i="10"/>
  <c r="AB59" i="3"/>
  <c r="AM78" i="23"/>
  <c r="AQ73" i="23"/>
  <c r="AM97" i="23"/>
  <c r="AQ124" i="23"/>
  <c r="AJ150" i="23"/>
  <c r="BB55" i="23"/>
  <c r="BB76" i="23"/>
  <c r="BB108" i="23"/>
  <c r="AU133" i="23"/>
  <c r="BB127" i="23"/>
  <c r="AX133" i="23" s="1"/>
  <c r="AU148" i="23"/>
  <c r="BB172" i="23"/>
  <c r="BB175" i="23"/>
  <c r="BM15" i="23"/>
  <c r="BJ32" i="23"/>
  <c r="BQ40" i="23"/>
  <c r="BU55" i="23"/>
  <c r="CB49" i="23"/>
  <c r="CB65" i="23"/>
  <c r="CB66" i="23"/>
  <c r="CB90" i="23"/>
  <c r="CB89" i="23"/>
  <c r="CB87" i="23"/>
  <c r="J142" i="16"/>
  <c r="AM65" i="16"/>
  <c r="CB111" i="23"/>
  <c r="CB44" i="23"/>
  <c r="BQ24" i="23"/>
  <c r="AQ128" i="23"/>
  <c r="BB59" i="23"/>
  <c r="AQ10" i="9"/>
  <c r="P189" i="10"/>
  <c r="S187" i="10"/>
  <c r="G186" i="10"/>
  <c r="H183" i="10"/>
  <c r="L181" i="10"/>
  <c r="K180" i="10"/>
  <c r="G179" i="10"/>
  <c r="K177" i="10"/>
  <c r="H174" i="10"/>
  <c r="P173" i="10"/>
  <c r="AM34" i="15"/>
  <c r="AR34" i="15"/>
  <c r="AB58" i="3"/>
  <c r="V24" i="21" s="1"/>
  <c r="BB91" i="23"/>
  <c r="BB56" i="23"/>
  <c r="AA21" i="19"/>
  <c r="P190" i="10"/>
  <c r="H190" i="10"/>
  <c r="M189" i="10"/>
  <c r="U188" i="10"/>
  <c r="L188" i="10"/>
  <c r="Q187" i="10"/>
  <c r="H187" i="10"/>
  <c r="P186" i="10"/>
  <c r="U185" i="10"/>
  <c r="L185" i="10"/>
  <c r="S184" i="10"/>
  <c r="K184" i="10"/>
  <c r="P183" i="10"/>
  <c r="G183" i="10"/>
  <c r="M182" i="10"/>
  <c r="Q181" i="10"/>
  <c r="K181" i="10"/>
  <c r="Q180" i="10"/>
  <c r="U179" i="10"/>
  <c r="M179" i="10"/>
  <c r="H178" i="10"/>
  <c r="P177" i="10"/>
  <c r="H177" i="10"/>
  <c r="M176" i="10"/>
  <c r="S175" i="10"/>
  <c r="L175" i="10"/>
  <c r="G174" i="10"/>
  <c r="P171" i="10"/>
  <c r="AT34" i="15"/>
  <c r="AQ42" i="23"/>
  <c r="AM63" i="23"/>
  <c r="AJ116" i="23"/>
  <c r="AQ141" i="23"/>
  <c r="AM148" i="23"/>
  <c r="BB143" i="23"/>
  <c r="BU19" i="23"/>
  <c r="CB69" i="23"/>
  <c r="CB84" i="23"/>
  <c r="K189" i="10"/>
  <c r="S183" i="10"/>
  <c r="AB96" i="16"/>
  <c r="L189" i="10"/>
  <c r="S188" i="10"/>
  <c r="K188" i="10"/>
  <c r="P187" i="10"/>
  <c r="G187" i="10"/>
  <c r="K185" i="10"/>
  <c r="H182" i="10"/>
  <c r="P181" i="10"/>
  <c r="H181" i="10"/>
  <c r="S179" i="10"/>
  <c r="L179" i="10"/>
  <c r="G178" i="10"/>
  <c r="L176" i="10"/>
  <c r="H175" i="10"/>
  <c r="AH34" i="15"/>
  <c r="AA100" i="16"/>
  <c r="BJ50" i="23"/>
  <c r="CB83" i="23"/>
  <c r="BQ42" i="23"/>
  <c r="CB63" i="23"/>
  <c r="CB70" i="23"/>
  <c r="CB85" i="23"/>
  <c r="CB48" i="23"/>
  <c r="BM45" i="23"/>
  <c r="BX52" i="23"/>
  <c r="BU98" i="23"/>
  <c r="AQ140" i="23"/>
  <c r="AQ143" i="23"/>
  <c r="AJ99" i="23"/>
  <c r="AQ58" i="23"/>
  <c r="AM65" i="23" s="1"/>
  <c r="AQ88" i="23"/>
  <c r="AQ93" i="23"/>
  <c r="AQ75" i="23"/>
  <c r="AQ108" i="23"/>
  <c r="AQ125" i="23"/>
  <c r="AJ50" i="23"/>
  <c r="J121" i="16"/>
  <c r="J124" i="16"/>
  <c r="AX11" i="16"/>
  <c r="AM44" i="16"/>
  <c r="BB11" i="23"/>
  <c r="BB34" i="23"/>
  <c r="AQ12" i="23"/>
  <c r="AQ11" i="23"/>
  <c r="BB31" i="23"/>
  <c r="BB32" i="23"/>
  <c r="CB29" i="23"/>
  <c r="AI21" i="21"/>
  <c r="AM51" i="16"/>
  <c r="AD106" i="6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71" i="10"/>
  <c r="V169" i="10"/>
  <c r="V195" i="10" s="1"/>
  <c r="V170" i="10"/>
  <c r="V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71" i="10"/>
  <c r="R172" i="10"/>
  <c r="R189" i="10"/>
  <c r="R190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70" i="10"/>
  <c r="N190" i="10"/>
  <c r="N169" i="10"/>
  <c r="N195" i="10" s="1"/>
  <c r="N171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69" i="10"/>
  <c r="J195" i="10" s="1"/>
  <c r="J171" i="10"/>
  <c r="J172" i="10"/>
  <c r="J190" i="10"/>
  <c r="J170" i="10"/>
  <c r="F176" i="10"/>
  <c r="F180" i="10"/>
  <c r="F184" i="10"/>
  <c r="F188" i="10"/>
  <c r="F171" i="10"/>
  <c r="F169" i="10"/>
  <c r="F177" i="10"/>
  <c r="F182" i="10"/>
  <c r="F187" i="10"/>
  <c r="F172" i="10"/>
  <c r="F190" i="10"/>
  <c r="F175" i="10"/>
  <c r="F178" i="10"/>
  <c r="F183" i="10"/>
  <c r="F189" i="10"/>
  <c r="F173" i="10"/>
  <c r="F185" i="10"/>
  <c r="F179" i="10"/>
  <c r="F174" i="10"/>
  <c r="V190" i="10"/>
  <c r="V189" i="10"/>
  <c r="N172" i="10"/>
  <c r="BM17" i="23"/>
  <c r="AX99" i="23"/>
  <c r="AM150" i="23"/>
  <c r="F186" i="10"/>
  <c r="R170" i="10"/>
  <c r="R196" i="10" s="1"/>
  <c r="AC91" i="4"/>
  <c r="AD91" i="4" s="1"/>
  <c r="AJ34" i="15"/>
  <c r="AA98" i="16"/>
  <c r="AB98" i="16"/>
  <c r="AM50" i="23"/>
  <c r="W178" i="10"/>
  <c r="W171" i="10"/>
  <c r="W187" i="10"/>
  <c r="W180" i="10"/>
  <c r="W177" i="10"/>
  <c r="AA89" i="19"/>
  <c r="T170" i="10"/>
  <c r="T171" i="10"/>
  <c r="T172" i="10"/>
  <c r="T169" i="10"/>
  <c r="T195" i="10" s="1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P169" i="10"/>
  <c r="P195" i="10" s="1"/>
  <c r="P170" i="10"/>
  <c r="P172" i="10"/>
  <c r="L170" i="10"/>
  <c r="L171" i="10"/>
  <c r="L172" i="10"/>
  <c r="H169" i="10"/>
  <c r="H195" i="10" s="1"/>
  <c r="H196" i="10" s="1"/>
  <c r="H173" i="10"/>
  <c r="T190" i="10"/>
  <c r="T189" i="10"/>
  <c r="G189" i="10"/>
  <c r="P188" i="10"/>
  <c r="H188" i="10"/>
  <c r="K187" i="10"/>
  <c r="S186" i="10"/>
  <c r="L186" i="10"/>
  <c r="G185" i="10"/>
  <c r="P184" i="10"/>
  <c r="H184" i="10"/>
  <c r="K183" i="10"/>
  <c r="S182" i="10"/>
  <c r="L182" i="10"/>
  <c r="G181" i="10"/>
  <c r="P180" i="10"/>
  <c r="H180" i="10"/>
  <c r="K179" i="10"/>
  <c r="S178" i="10"/>
  <c r="L178" i="10"/>
  <c r="P176" i="10"/>
  <c r="H176" i="10"/>
  <c r="L174" i="10"/>
  <c r="H172" i="10"/>
  <c r="H171" i="10"/>
  <c r="L169" i="10"/>
  <c r="L195" i="10" s="1"/>
  <c r="W174" i="10"/>
  <c r="W190" i="10"/>
  <c r="W183" i="10"/>
  <c r="W176" i="10"/>
  <c r="W173" i="10"/>
  <c r="W189" i="10"/>
  <c r="S169" i="10"/>
  <c r="S195" i="10" s="1"/>
  <c r="S170" i="10"/>
  <c r="S171" i="10"/>
  <c r="S172" i="10"/>
  <c r="S189" i="10"/>
  <c r="S190" i="10"/>
  <c r="O169" i="10"/>
  <c r="O195" i="10" s="1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K169" i="10"/>
  <c r="K195" i="10" s="1"/>
  <c r="K170" i="10"/>
  <c r="K171" i="10"/>
  <c r="K172" i="10"/>
  <c r="K190" i="10"/>
  <c r="G169" i="10"/>
  <c r="G195" i="10" s="1"/>
  <c r="G170" i="10"/>
  <c r="G171" i="10"/>
  <c r="G172" i="10"/>
  <c r="G190" i="10"/>
  <c r="G188" i="10"/>
  <c r="K186" i="10"/>
  <c r="S185" i="10"/>
  <c r="G184" i="10"/>
  <c r="K182" i="10"/>
  <c r="S181" i="10"/>
  <c r="G180" i="10"/>
  <c r="K178" i="10"/>
  <c r="S177" i="10"/>
  <c r="G176" i="10"/>
  <c r="K174" i="10"/>
  <c r="S173" i="10"/>
  <c r="AI34" i="15"/>
  <c r="AA96" i="16"/>
  <c r="AA147" i="19"/>
  <c r="AA148" i="19"/>
  <c r="U169" i="10"/>
  <c r="U195" i="10" s="1"/>
  <c r="U170" i="10"/>
  <c r="U171" i="10"/>
  <c r="U172" i="10"/>
  <c r="Q169" i="10"/>
  <c r="Q195" i="10" s="1"/>
  <c r="Q170" i="10"/>
  <c r="Q171" i="10"/>
  <c r="Q172" i="10"/>
  <c r="M169" i="10"/>
  <c r="M195" i="10" s="1"/>
  <c r="M170" i="10"/>
  <c r="M171" i="10"/>
  <c r="M172" i="10"/>
  <c r="I169" i="10"/>
  <c r="I195" i="10" s="1"/>
  <c r="I170" i="10"/>
  <c r="I171" i="10"/>
  <c r="I172" i="10"/>
  <c r="I173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AN34" i="15"/>
  <c r="AM80" i="23"/>
  <c r="BQ27" i="23"/>
  <c r="BQ41" i="23"/>
  <c r="AX12" i="16"/>
  <c r="BU100" i="23"/>
  <c r="AU21" i="23"/>
  <c r="CB28" i="23"/>
  <c r="BU54" i="23"/>
  <c r="BU76" i="23"/>
  <c r="CB118" i="23"/>
  <c r="AJ19" i="23"/>
  <c r="AQ89" i="23"/>
  <c r="BB10" i="23"/>
  <c r="BB12" i="23"/>
  <c r="BB35" i="23"/>
  <c r="BB107" i="23"/>
  <c r="CB12" i="23"/>
  <c r="CB92" i="23"/>
  <c r="J119" i="16"/>
  <c r="AB100" i="16"/>
  <c r="AX38" i="23"/>
  <c r="CB91" i="23"/>
  <c r="AF72" i="16"/>
  <c r="CB117" i="23"/>
  <c r="AF41" i="23"/>
  <c r="AE41" i="23"/>
  <c r="AB92" i="3"/>
  <c r="AB57" i="3"/>
  <c r="V23" i="21" s="1"/>
  <c r="D24" i="21"/>
  <c r="AA92" i="3"/>
  <c r="AB95" i="3"/>
  <c r="AB93" i="3"/>
  <c r="AA93" i="3"/>
  <c r="AB94" i="3"/>
  <c r="AA94" i="3"/>
  <c r="D23" i="21"/>
  <c r="AB23" i="3"/>
  <c r="BU36" i="23"/>
  <c r="BU37" i="23"/>
  <c r="BB15" i="23"/>
  <c r="AQ14" i="23"/>
  <c r="BB30" i="23"/>
  <c r="BB33" i="23"/>
  <c r="BX17" i="23"/>
  <c r="BX34" i="23"/>
  <c r="AX19" i="23"/>
  <c r="BB14" i="23"/>
  <c r="BB28" i="23"/>
  <c r="CB14" i="23"/>
  <c r="CB27" i="23"/>
  <c r="AI70" i="16"/>
  <c r="AF55" i="16"/>
  <c r="AI53" i="16"/>
  <c r="AM47" i="16"/>
  <c r="AI14" i="16"/>
  <c r="AM21" i="16"/>
  <c r="AM26" i="16"/>
  <c r="P33" i="21"/>
  <c r="AL34" i="15"/>
  <c r="AD24" i="21"/>
  <c r="AD23" i="21"/>
  <c r="BP41" i="8"/>
  <c r="BB35" i="8"/>
  <c r="BE35" i="8"/>
  <c r="AC105" i="6"/>
  <c r="AD105" i="6" s="1"/>
  <c r="AQ11" i="3"/>
  <c r="BX96" i="23"/>
  <c r="AQ12" i="3"/>
  <c r="CX18" i="3"/>
  <c r="AQ13" i="3"/>
  <c r="AB60" i="3"/>
  <c r="BF20" i="3"/>
  <c r="CE20" i="3"/>
  <c r="D25" i="21"/>
  <c r="CB11" i="23"/>
  <c r="AM17" i="23"/>
  <c r="BU20" i="23"/>
  <c r="CB31" i="23"/>
  <c r="AQ13" i="23"/>
  <c r="BB13" i="23"/>
  <c r="BB36" i="23"/>
  <c r="BB29" i="23"/>
  <c r="AQ10" i="23"/>
  <c r="AM66" i="16"/>
  <c r="AM4" i="16"/>
  <c r="AI30" i="16"/>
  <c r="AM23" i="16"/>
  <c r="AM25" i="16"/>
  <c r="AF16" i="16"/>
  <c r="AM45" i="16"/>
  <c r="AM48" i="16"/>
  <c r="AM62" i="16"/>
  <c r="AI22" i="21" s="1"/>
  <c r="AM64" i="16"/>
  <c r="AI24" i="21" s="1"/>
  <c r="AM63" i="16"/>
  <c r="AM27" i="16"/>
  <c r="AM60" i="16"/>
  <c r="AQ17" i="16"/>
  <c r="AM6" i="16"/>
  <c r="AM7" i="16"/>
  <c r="AM9" i="16"/>
  <c r="AM11" i="16"/>
  <c r="AM20" i="16"/>
  <c r="AF32" i="16"/>
  <c r="C148" i="16"/>
  <c r="J143" i="16"/>
  <c r="F146" i="16"/>
  <c r="F127" i="16"/>
  <c r="C129" i="16"/>
  <c r="J123" i="16"/>
  <c r="J137" i="16"/>
  <c r="J140" i="16"/>
  <c r="J122" i="16"/>
  <c r="J118" i="16"/>
  <c r="J117" i="16"/>
  <c r="J139" i="16"/>
  <c r="AM8" i="16"/>
  <c r="AM22" i="16"/>
  <c r="AM10" i="16"/>
  <c r="AM5" i="16"/>
  <c r="AM28" i="16"/>
  <c r="AM24" i="16"/>
  <c r="N33" i="21"/>
  <c r="M33" i="21"/>
  <c r="AD22" i="21"/>
  <c r="L33" i="21"/>
  <c r="AT21" i="8"/>
  <c r="CL24" i="8"/>
  <c r="CT21" i="8"/>
  <c r="I33" i="21"/>
  <c r="AQ21" i="8"/>
  <c r="BX24" i="8"/>
  <c r="BM41" i="8"/>
  <c r="CI24" i="8"/>
  <c r="CW21" i="8"/>
  <c r="CA24" i="8"/>
  <c r="H33" i="21"/>
  <c r="AC107" i="6"/>
  <c r="AD107" i="6" s="1"/>
  <c r="G33" i="21"/>
  <c r="F33" i="21"/>
  <c r="AQ10" i="3"/>
  <c r="CB20" i="3"/>
  <c r="CM18" i="3"/>
  <c r="DA18" i="3"/>
  <c r="AQ16" i="3"/>
  <c r="BI20" i="3"/>
  <c r="AX20" i="3"/>
  <c r="AJ21" i="3"/>
  <c r="BT20" i="3"/>
  <c r="CP18" i="3"/>
  <c r="AQ14" i="3"/>
  <c r="AU20" i="3"/>
  <c r="BQ20" i="3"/>
  <c r="AM19" i="3"/>
  <c r="AQ9" i="3"/>
  <c r="AQ15" i="3"/>
  <c r="AB20" i="1"/>
  <c r="AB22" i="1"/>
  <c r="E33" i="21"/>
  <c r="O33" i="21"/>
  <c r="J33" i="21"/>
  <c r="AW16" i="2"/>
  <c r="BA8" i="2"/>
  <c r="BA12" i="2"/>
  <c r="AT18" i="2"/>
  <c r="BA13" i="2"/>
  <c r="BA10" i="2"/>
  <c r="BA11" i="2"/>
  <c r="BA9" i="2"/>
  <c r="BA14" i="2"/>
  <c r="U23" i="21"/>
  <c r="AB20" i="2"/>
  <c r="U21" i="21" s="1"/>
  <c r="U22" i="21"/>
  <c r="C33" i="21"/>
  <c r="CB109" i="23"/>
  <c r="CB114" i="23"/>
  <c r="CB115" i="23"/>
  <c r="CB110" i="23"/>
  <c r="K33" i="21"/>
  <c r="BU126" i="23"/>
  <c r="CB116" i="23"/>
  <c r="CB113" i="23"/>
  <c r="CB112" i="23"/>
  <c r="BX122" i="23"/>
  <c r="BU124" i="23"/>
  <c r="AI23" i="21" l="1"/>
  <c r="L196" i="10"/>
  <c r="M196" i="10"/>
  <c r="M197" i="10" s="1"/>
  <c r="U196" i="10"/>
  <c r="U197" i="10" s="1"/>
  <c r="AM17" i="9"/>
  <c r="AX163" i="23"/>
  <c r="AT17" i="16"/>
  <c r="BM48" i="23"/>
  <c r="BM32" i="23"/>
  <c r="AM133" i="23"/>
  <c r="BX98" i="23"/>
  <c r="AX65" i="23"/>
  <c r="BX74" i="23"/>
  <c r="AX180" i="23"/>
  <c r="AX116" i="23"/>
  <c r="AM116" i="23"/>
  <c r="AX148" i="23"/>
  <c r="BX54" i="23"/>
  <c r="AX82" i="23"/>
  <c r="I196" i="10"/>
  <c r="I197" i="10" s="1"/>
  <c r="I198" i="10" s="1"/>
  <c r="Q196" i="10"/>
  <c r="Q197" i="10" s="1"/>
  <c r="Q198" i="10" s="1"/>
  <c r="Q199" i="10" s="1"/>
  <c r="Q200" i="10" s="1"/>
  <c r="Q201" i="10" s="1"/>
  <c r="Q202" i="10" s="1"/>
  <c r="Q203" i="10" s="1"/>
  <c r="Q204" i="10" s="1"/>
  <c r="Q205" i="10" s="1"/>
  <c r="Q206" i="10" s="1"/>
  <c r="Q207" i="10" s="1"/>
  <c r="Q208" i="10" s="1"/>
  <c r="Q209" i="10" s="1"/>
  <c r="Q210" i="10" s="1"/>
  <c r="Q211" i="10" s="1"/>
  <c r="Q212" i="10" s="1"/>
  <c r="Q213" i="10" s="1"/>
  <c r="Q214" i="10" s="1"/>
  <c r="Q215" i="10" s="1"/>
  <c r="Q216" i="10" s="1"/>
  <c r="V196" i="10"/>
  <c r="M198" i="10"/>
  <c r="M199" i="10" s="1"/>
  <c r="M200" i="10" s="1"/>
  <c r="M201" i="10" s="1"/>
  <c r="M202" i="10" s="1"/>
  <c r="M203" i="10" s="1"/>
  <c r="M204" i="10" s="1"/>
  <c r="M205" i="10" s="1"/>
  <c r="M206" i="10" s="1"/>
  <c r="M207" i="10" s="1"/>
  <c r="M208" i="10" s="1"/>
  <c r="M209" i="10" s="1"/>
  <c r="M210" i="10" s="1"/>
  <c r="M211" i="10" s="1"/>
  <c r="M212" i="10" s="1"/>
  <c r="M213" i="10" s="1"/>
  <c r="M214" i="10" s="1"/>
  <c r="M215" i="10" s="1"/>
  <c r="M216" i="10" s="1"/>
  <c r="U198" i="10"/>
  <c r="U199" i="10" s="1"/>
  <c r="U200" i="10" s="1"/>
  <c r="U201" i="10" s="1"/>
  <c r="U202" i="10" s="1"/>
  <c r="U203" i="10" s="1"/>
  <c r="U204" i="10" s="1"/>
  <c r="U205" i="10" s="1"/>
  <c r="U206" i="10" s="1"/>
  <c r="U207" i="10" s="1"/>
  <c r="U208" i="10" s="1"/>
  <c r="U209" i="10" s="1"/>
  <c r="U210" i="10" s="1"/>
  <c r="U211" i="10" s="1"/>
  <c r="U212" i="10" s="1"/>
  <c r="U213" i="10" s="1"/>
  <c r="U214" i="10" s="1"/>
  <c r="U215" i="10" s="1"/>
  <c r="U216" i="10" s="1"/>
  <c r="L197" i="10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AM99" i="23"/>
  <c r="R197" i="10"/>
  <c r="R198" i="10" s="1"/>
  <c r="R199" i="10" s="1"/>
  <c r="R200" i="10" s="1"/>
  <c r="R201" i="10" s="1"/>
  <c r="R202" i="10" s="1"/>
  <c r="R203" i="10" s="1"/>
  <c r="R204" i="10" s="1"/>
  <c r="R205" i="10" s="1"/>
  <c r="R206" i="10" s="1"/>
  <c r="R207" i="10" s="1"/>
  <c r="R208" i="10" s="1"/>
  <c r="R209" i="10" s="1"/>
  <c r="R210" i="10" s="1"/>
  <c r="R211" i="10" s="1"/>
  <c r="R212" i="10" s="1"/>
  <c r="R213" i="10" s="1"/>
  <c r="R214" i="10" s="1"/>
  <c r="R215" i="10" s="1"/>
  <c r="R216" i="10" s="1"/>
  <c r="X170" i="10"/>
  <c r="H221" i="10" s="1"/>
  <c r="V197" i="10"/>
  <c r="V198" i="10" s="1"/>
  <c r="V199" i="10" s="1"/>
  <c r="V200" i="10" s="1"/>
  <c r="V201" i="10" s="1"/>
  <c r="V202" i="10" s="1"/>
  <c r="V203" i="10" s="1"/>
  <c r="V204" i="10" s="1"/>
  <c r="V205" i="10" s="1"/>
  <c r="V206" i="10" s="1"/>
  <c r="V207" i="10" s="1"/>
  <c r="V208" i="10" s="1"/>
  <c r="V209" i="10" s="1"/>
  <c r="V210" i="10" s="1"/>
  <c r="V211" i="10" s="1"/>
  <c r="V212" i="10" s="1"/>
  <c r="V213" i="10" s="1"/>
  <c r="V214" i="10" s="1"/>
  <c r="V215" i="10" s="1"/>
  <c r="V216" i="10" s="1"/>
  <c r="AG22" i="21"/>
  <c r="AX40" i="23"/>
  <c r="AK70" i="16"/>
  <c r="D33" i="21"/>
  <c r="AX21" i="23"/>
  <c r="O196" i="10"/>
  <c r="O197" i="10" s="1"/>
  <c r="O198" i="10" s="1"/>
  <c r="O199" i="10" s="1"/>
  <c r="O200" i="10" s="1"/>
  <c r="O201" i="10" s="1"/>
  <c r="O202" i="10" s="1"/>
  <c r="O203" i="10" s="1"/>
  <c r="O204" i="10" s="1"/>
  <c r="O205" i="10" s="1"/>
  <c r="O206" i="10" s="1"/>
  <c r="O207" i="10" s="1"/>
  <c r="O208" i="10" s="1"/>
  <c r="O209" i="10" s="1"/>
  <c r="O210" i="10" s="1"/>
  <c r="O211" i="10" s="1"/>
  <c r="O212" i="10" s="1"/>
  <c r="O213" i="10" s="1"/>
  <c r="O214" i="10" s="1"/>
  <c r="O215" i="10" s="1"/>
  <c r="O216" i="10" s="1"/>
  <c r="P196" i="10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X174" i="10"/>
  <c r="H225" i="10" s="1"/>
  <c r="X189" i="10"/>
  <c r="H240" i="10" s="1"/>
  <c r="X177" i="10"/>
  <c r="H228" i="10" s="1"/>
  <c r="X184" i="10"/>
  <c r="H235" i="10" s="1"/>
  <c r="G196" i="10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T196" i="10"/>
  <c r="T197" i="10" s="1"/>
  <c r="T198" i="10" s="1"/>
  <c r="T199" i="10" s="1"/>
  <c r="T200" i="10" s="1"/>
  <c r="T201" i="10" s="1"/>
  <c r="T202" i="10" s="1"/>
  <c r="T203" i="10" s="1"/>
  <c r="T204" i="10" s="1"/>
  <c r="T205" i="10" s="1"/>
  <c r="T206" i="10" s="1"/>
  <c r="T207" i="10" s="1"/>
  <c r="T208" i="10" s="1"/>
  <c r="T209" i="10" s="1"/>
  <c r="T210" i="10" s="1"/>
  <c r="T211" i="10" s="1"/>
  <c r="T212" i="10" s="1"/>
  <c r="T213" i="10" s="1"/>
  <c r="T214" i="10" s="1"/>
  <c r="T215" i="10" s="1"/>
  <c r="T216" i="10" s="1"/>
  <c r="X179" i="10"/>
  <c r="H230" i="10" s="1"/>
  <c r="X183" i="10"/>
  <c r="H234" i="10" s="1"/>
  <c r="X172" i="10"/>
  <c r="H223" i="10" s="1"/>
  <c r="F195" i="10"/>
  <c r="X169" i="10"/>
  <c r="H220" i="10" s="1"/>
  <c r="X180" i="10"/>
  <c r="H231" i="10" s="1"/>
  <c r="X190" i="10"/>
  <c r="H241" i="10" s="1"/>
  <c r="K196" i="10"/>
  <c r="K197" i="10" s="1"/>
  <c r="K198" i="10" s="1"/>
  <c r="K199" i="10" s="1"/>
  <c r="K200" i="10" s="1"/>
  <c r="K201" i="10" s="1"/>
  <c r="K202" i="10" s="1"/>
  <c r="K203" i="10" s="1"/>
  <c r="K204" i="10" s="1"/>
  <c r="K205" i="10" s="1"/>
  <c r="K206" i="10" s="1"/>
  <c r="K207" i="10" s="1"/>
  <c r="K208" i="10" s="1"/>
  <c r="K209" i="10" s="1"/>
  <c r="K210" i="10" s="1"/>
  <c r="K211" i="10" s="1"/>
  <c r="K212" i="10" s="1"/>
  <c r="K213" i="10" s="1"/>
  <c r="K214" i="10" s="1"/>
  <c r="K215" i="10" s="1"/>
  <c r="K216" i="10" s="1"/>
  <c r="S196" i="10"/>
  <c r="S197" i="10" s="1"/>
  <c r="S198" i="10" s="1"/>
  <c r="S199" i="10" s="1"/>
  <c r="S200" i="10" s="1"/>
  <c r="S201" i="10" s="1"/>
  <c r="S202" i="10" s="1"/>
  <c r="S203" i="10" s="1"/>
  <c r="S204" i="10" s="1"/>
  <c r="S205" i="10" s="1"/>
  <c r="S206" i="10" s="1"/>
  <c r="S207" i="10" s="1"/>
  <c r="S208" i="10" s="1"/>
  <c r="S209" i="10" s="1"/>
  <c r="S210" i="10" s="1"/>
  <c r="S211" i="10" s="1"/>
  <c r="S212" i="10" s="1"/>
  <c r="S213" i="10" s="1"/>
  <c r="S214" i="10" s="1"/>
  <c r="S215" i="10" s="1"/>
  <c r="S216" i="10" s="1"/>
  <c r="X181" i="10"/>
  <c r="H232" i="10" s="1"/>
  <c r="H197" i="10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X186" i="10"/>
  <c r="H237" i="10" s="1"/>
  <c r="X185" i="10"/>
  <c r="H236" i="10" s="1"/>
  <c r="X178" i="10"/>
  <c r="H229" i="10" s="1"/>
  <c r="X187" i="10"/>
  <c r="H238" i="10" s="1"/>
  <c r="X171" i="10"/>
  <c r="H222" i="10" s="1"/>
  <c r="X176" i="10"/>
  <c r="H227" i="10" s="1"/>
  <c r="N196" i="10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I199" i="10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X173" i="10"/>
  <c r="H224" i="10" s="1"/>
  <c r="X175" i="10"/>
  <c r="H226" i="10" s="1"/>
  <c r="X182" i="10"/>
  <c r="H233" i="10" s="1"/>
  <c r="X188" i="10"/>
  <c r="H239" i="10" s="1"/>
  <c r="J196" i="10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AM19" i="23"/>
  <c r="BX19" i="23"/>
  <c r="BX36" i="23"/>
  <c r="AI55" i="16"/>
  <c r="AI72" i="16"/>
  <c r="AK72" i="16" s="1"/>
  <c r="AI16" i="16"/>
  <c r="AI32" i="16"/>
  <c r="F148" i="16"/>
  <c r="F129" i="16"/>
  <c r="AM21" i="3"/>
  <c r="AW18" i="2"/>
  <c r="BX124" i="23"/>
  <c r="F220" i="10" l="1"/>
  <c r="W195" i="10"/>
  <c r="F196" i="10"/>
  <c r="AK32" i="16"/>
  <c r="F150" i="16"/>
  <c r="F221" i="10" l="1"/>
  <c r="W196" i="10"/>
  <c r="F197" i="10"/>
  <c r="G151" i="27"/>
  <c r="G175" i="27" s="1"/>
  <c r="W197" i="10" l="1"/>
  <c r="F198" i="10"/>
  <c r="F222" i="10"/>
  <c r="F199" i="10" l="1"/>
  <c r="F223" i="10"/>
  <c r="W198" i="10"/>
  <c r="X198" i="10" s="1"/>
  <c r="J223" i="10" s="1"/>
  <c r="F200" i="10" l="1"/>
  <c r="F224" i="10"/>
  <c r="W199" i="10"/>
  <c r="X199" i="10" s="1"/>
  <c r="J224" i="10" s="1"/>
  <c r="F225" i="10" l="1"/>
  <c r="F201" i="10"/>
  <c r="W200" i="10"/>
  <c r="X200" i="10" s="1"/>
  <c r="J225" i="10" s="1"/>
  <c r="W201" i="10" l="1"/>
  <c r="X201" i="10" s="1"/>
  <c r="J226" i="10" s="1"/>
  <c r="F202" i="10"/>
  <c r="F226" i="10"/>
  <c r="W202" i="10" l="1"/>
  <c r="X202" i="10" s="1"/>
  <c r="J227" i="10" s="1"/>
  <c r="F203" i="10"/>
  <c r="F227" i="10"/>
  <c r="F204" i="10" l="1"/>
  <c r="W203" i="10"/>
  <c r="X203" i="10" s="1"/>
  <c r="J228" i="10" s="1"/>
  <c r="F228" i="10"/>
  <c r="F229" i="10" l="1"/>
  <c r="F205" i="10"/>
  <c r="W204" i="10"/>
  <c r="X204" i="10" s="1"/>
  <c r="J229" i="10" s="1"/>
  <c r="F206" i="10" l="1"/>
  <c r="F230" i="10"/>
  <c r="W205" i="10"/>
  <c r="X205" i="10" s="1"/>
  <c r="J230" i="10" s="1"/>
  <c r="W206" i="10" l="1"/>
  <c r="X206" i="10" s="1"/>
  <c r="J231" i="10" s="1"/>
  <c r="F207" i="10"/>
  <c r="F231" i="10"/>
  <c r="F232" i="10" l="1"/>
  <c r="W207" i="10"/>
  <c r="X207" i="10" s="1"/>
  <c r="J232" i="10" s="1"/>
  <c r="F208" i="10"/>
  <c r="W208" i="10" l="1"/>
  <c r="X208" i="10" s="1"/>
  <c r="J233" i="10" s="1"/>
  <c r="F209" i="10"/>
  <c r="F233" i="10"/>
  <c r="F234" i="10" l="1"/>
  <c r="F210" i="10"/>
  <c r="W209" i="10"/>
  <c r="X209" i="10" s="1"/>
  <c r="J234" i="10" s="1"/>
  <c r="F235" i="10" l="1"/>
  <c r="F211" i="10"/>
  <c r="W210" i="10"/>
  <c r="X210" i="10" s="1"/>
  <c r="J235" i="10" s="1"/>
  <c r="W211" i="10" l="1"/>
  <c r="X211" i="10" s="1"/>
  <c r="J236" i="10" s="1"/>
  <c r="F212" i="10"/>
  <c r="F236" i="10"/>
  <c r="F237" i="10" l="1"/>
  <c r="F213" i="10"/>
  <c r="W212" i="10"/>
  <c r="X212" i="10" s="1"/>
  <c r="J237" i="10" s="1"/>
  <c r="F214" i="10" l="1"/>
  <c r="W213" i="10"/>
  <c r="X213" i="10" s="1"/>
  <c r="J238" i="10" s="1"/>
  <c r="F238" i="10"/>
  <c r="W214" i="10" l="1"/>
  <c r="X214" i="10" s="1"/>
  <c r="J239" i="10" s="1"/>
  <c r="F215" i="10"/>
  <c r="F239" i="10"/>
  <c r="F216" i="10" l="1"/>
  <c r="W215" i="10"/>
  <c r="X215" i="10" s="1"/>
  <c r="J240" i="10" s="1"/>
  <c r="F240" i="10"/>
  <c r="W216" i="10" l="1"/>
  <c r="X216" i="10" s="1"/>
  <c r="J241" i="10" s="1"/>
  <c r="F241" i="10"/>
  <c r="AO14" i="30"/>
  <c r="AO13" i="30"/>
  <c r="AO12" i="30"/>
  <c r="AO11" i="30"/>
  <c r="AS11" i="30" s="1"/>
  <c r="AS13" i="30" l="1"/>
  <c r="AS14" i="30"/>
  <c r="AS12" i="30"/>
  <c r="AO24" i="30"/>
  <c r="AS15" i="30"/>
  <c r="AO26" i="30" l="1"/>
  <c r="I134" i="11" l="1"/>
  <c r="G134" i="11"/>
  <c r="J134" i="11"/>
  <c r="E13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DFO-MPO</author>
  </authors>
  <commentList>
    <comment ref="J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Upper survey Oct 1, plus Lower survey Oct 6</t>
        </r>
      </text>
    </comment>
    <comment ref="I2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250 Observed below Deep Hole (marker 0)</t>
        </r>
      </text>
    </comment>
    <comment ref="X30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Nitinat Hatchery staff est 966 spawners+454 adult brood = 1420 return</t>
        </r>
      </text>
    </comment>
    <comment ref="J5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Upper survey Oct 1, plus Lower survey Oct 6</t>
        </r>
      </text>
    </comment>
    <comment ref="J8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Upper survey Oct 1, plus Lower survey Oct 6</t>
        </r>
      </text>
    </comment>
    <comment ref="M9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639 dead</t>
        </r>
      </text>
    </comment>
    <comment ref="N92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5750 dead</t>
        </r>
      </text>
    </comment>
    <comment ref="P92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2788 dead</t>
        </r>
      </text>
    </comment>
    <comment ref="O96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13,999 Live; 12,032 Dead counted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DFO-MPO</author>
  </authors>
  <commentList>
    <comment ref="I22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Sept 23, 199; Sept 26, 192
</t>
        </r>
      </text>
    </comment>
    <comment ref="M22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Oct 24, 25; Oct 26, 14
</t>
        </r>
      </text>
    </comment>
    <comment ref="G25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Sept 6th</t>
        </r>
      </text>
    </comment>
    <comment ref="H25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Sept 12, includes 100 brood taken by the Tahsis Enhancement Society just prior to swim</t>
        </r>
      </text>
    </comment>
    <comment ref="G26" authorId="1" shapeId="0" xr:uid="{00000000-0006-0000-0C00-00000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Marker 7-0</t>
        </r>
      </text>
    </comment>
    <comment ref="H26" authorId="1" shapeId="0" xr:uid="{00000000-0006-0000-0C00-00000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Marker 4-0</t>
        </r>
      </text>
    </comment>
    <comment ref="I26" authorId="1" shapeId="0" xr:uid="{00000000-0006-0000-0C00-00000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Marker 7-0</t>
        </r>
      </text>
    </comment>
    <comment ref="I28" authorId="1" shapeId="0" xr:uid="{00000000-0006-0000-0C00-00000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2% actively spawning, but 90% post spawn</t>
        </r>
      </text>
    </comment>
    <comment ref="K29" authorId="1" shapeId="0" xr:uid="{00000000-0006-0000-0C00-00000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mostly post spawn, a few unspawned females</t>
        </r>
      </text>
    </comment>
    <comment ref="G31" authorId="0" shapeId="0" xr:uid="{00000000-0006-0000-0C00-00000A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45 jk</t>
        </r>
      </text>
    </comment>
    <comment ref="H31" authorId="0" shapeId="0" xr:uid="{00000000-0006-0000-0C00-00000B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82 jk</t>
        </r>
      </text>
    </comment>
    <comment ref="I31" authorId="0" shapeId="0" xr:uid="{00000000-0006-0000-0C00-00000C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100 jk</t>
        </r>
      </text>
    </comment>
    <comment ref="K31" authorId="0" shapeId="0" xr:uid="{00000000-0006-0000-0C00-00000D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36 jk</t>
        </r>
      </text>
    </comment>
    <comment ref="M31" authorId="0" shapeId="0" xr:uid="{00000000-0006-0000-0C00-00000E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54 jk</t>
        </r>
      </text>
    </comment>
    <comment ref="O31" authorId="0" shapeId="0" xr:uid="{00000000-0006-0000-0C00-00000F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5 jk</t>
        </r>
      </text>
    </comment>
    <comment ref="P31" authorId="0" shapeId="0" xr:uid="{00000000-0006-0000-0C00-000010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32 jk</t>
        </r>
      </text>
    </comment>
    <comment ref="I57" authorId="0" shapeId="0" xr:uid="{00000000-0006-0000-0C00-000011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Sept 23, 227; Sept 26, 359
</t>
        </r>
      </text>
    </comment>
    <comment ref="M57" authorId="0" shapeId="0" xr:uid="{00000000-0006-0000-0C00-000012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Oct 24, 50; Oct 26, 81</t>
        </r>
      </text>
    </comment>
    <comment ref="H66" authorId="0" shapeId="0" xr:uid="{00000000-0006-0000-0C00-000013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5 jk</t>
        </r>
      </text>
    </comment>
    <comment ref="I66" authorId="0" shapeId="0" xr:uid="{00000000-0006-0000-0C00-000014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13 jk</t>
        </r>
      </text>
    </comment>
    <comment ref="K66" authorId="0" shapeId="0" xr:uid="{00000000-0006-0000-0C00-000015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18 jk</t>
        </r>
      </text>
    </comment>
    <comment ref="M66" authorId="0" shapeId="0" xr:uid="{00000000-0006-0000-0C00-000016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94 jk</t>
        </r>
      </text>
    </comment>
    <comment ref="O66" authorId="0" shapeId="0" xr:uid="{00000000-0006-0000-0C00-000017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37 jk</t>
        </r>
      </text>
    </comment>
    <comment ref="P66" authorId="0" shapeId="0" xr:uid="{00000000-0006-0000-0C00-000018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38 jk</t>
        </r>
      </text>
    </comment>
    <comment ref="I92" authorId="0" shapeId="0" xr:uid="{00000000-0006-0000-0C00-000019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Sept 23, 142; Sept 26, 189
</t>
        </r>
      </text>
    </comment>
    <comment ref="M92" authorId="0" shapeId="0" xr:uid="{00000000-0006-0000-0C00-00001A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Oct 24, 1076; Oct 26, 817
</t>
        </r>
      </text>
    </comment>
    <comment ref="G137" authorId="0" shapeId="0" xr:uid="{00000000-0006-0000-0C00-00001B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12 jk</t>
        </r>
      </text>
    </comment>
    <comment ref="H137" authorId="0" shapeId="0" xr:uid="{00000000-0006-0000-0C00-00001C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10 jk
</t>
        </r>
      </text>
    </comment>
    <comment ref="I137" authorId="0" shapeId="0" xr:uid="{00000000-0006-0000-0C00-00001D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40 jk</t>
        </r>
      </text>
    </comment>
    <comment ref="K137" authorId="0" shapeId="0" xr:uid="{00000000-0006-0000-0C00-00001E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15 jk</t>
        </r>
      </text>
    </comment>
    <comment ref="M137" authorId="0" shapeId="0" xr:uid="{00000000-0006-0000-0C00-00001F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10 jk</t>
        </r>
      </text>
    </comment>
    <comment ref="O137" authorId="0" shapeId="0" xr:uid="{00000000-0006-0000-0C00-000020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7 jk</t>
        </r>
      </text>
    </comment>
    <comment ref="P137" authorId="0" shapeId="0" xr:uid="{00000000-0006-0000-0C00-000021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 jk</t>
        </r>
      </text>
    </comment>
    <comment ref="W150" authorId="0" shapeId="0" xr:uid="{00000000-0006-0000-0C00-000022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Sept 23, 199; Sept 26, 192
</t>
        </r>
      </text>
    </comment>
    <comment ref="W154" authorId="0" shapeId="0" xr:uid="{00000000-0006-0000-0C00-000023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Oct 24, 25; Oct 26, 14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DFO-MPO</author>
  </authors>
  <commentList>
    <comment ref="L123" authorId="0" shapeId="0" xr:uid="{69CB21E3-E0FD-4260-AB0F-F7BEBF1AB0B4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SK obs by locals a month previous, came in when the water was higher</t>
        </r>
      </text>
    </comment>
    <comment ref="J129" authorId="1" shapeId="0" xr:uid="{00000000-0006-0000-0D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most of the first pulse of fish have finished spawning, but the latest ~600 are new and unspawned</t>
        </r>
      </text>
    </comment>
    <comment ref="J130" authorId="1" shapeId="0" xr:uid="{00000000-0006-0000-0D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some spawning starting in 0/1</t>
        </r>
      </text>
    </comment>
    <comment ref="N130" authorId="1" shapeId="0" xr:uid="{00000000-0006-0000-0D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Two thirds are kelts, but 60-70 new fish, not yet paired and spawning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DFO-MPO</author>
    <author>Kiana Matwichuk</author>
    <author>McHugh, Diana</author>
  </authors>
  <commentList>
    <comment ref="I27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Possible Chum fishery
</t>
        </r>
      </text>
    </comment>
    <comment ref="E3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50-100 chinook observed in the Tarzan Pool during eco-indicator survey</t>
        </r>
      </text>
    </comment>
    <comment ref="H30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56 jk</t>
        </r>
      </text>
    </comment>
    <comment ref="I30" authorId="1" shapeId="0" xr:uid="{00000000-0006-0000-0E00-000004000000}">
      <text>
        <r>
          <rPr>
            <b/>
            <sz val="9"/>
            <color indexed="81"/>
            <rFont val="Tahoma"/>
            <family val="2"/>
          </rPr>
          <t>Kiana Matwichuk:</t>
        </r>
        <r>
          <rPr>
            <sz val="9"/>
            <color indexed="81"/>
            <rFont val="Tahoma"/>
            <family val="2"/>
          </rPr>
          <t xml:space="preserve">
35 jk</t>
        </r>
      </text>
    </comment>
    <comment ref="J30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 jk</t>
        </r>
      </text>
    </comment>
    <comment ref="L30" authorId="1" shapeId="0" xr:uid="{00000000-0006-0000-0E00-000006000000}">
      <text>
        <r>
          <rPr>
            <b/>
            <sz val="9"/>
            <color indexed="81"/>
            <rFont val="Tahoma"/>
            <family val="2"/>
          </rPr>
          <t>Kiana Matwichuk:</t>
        </r>
        <r>
          <rPr>
            <sz val="9"/>
            <color indexed="81"/>
            <rFont val="Tahoma"/>
            <family val="2"/>
          </rPr>
          <t xml:space="preserve">
1 jk</t>
        </r>
      </text>
    </comment>
    <comment ref="M30" authorId="1" shapeId="0" xr:uid="{00000000-0006-0000-0E00-000007000000}">
      <text>
        <r>
          <rPr>
            <b/>
            <sz val="9"/>
            <color indexed="81"/>
            <rFont val="Tahoma"/>
            <family val="2"/>
          </rPr>
          <t>Kiana Matwichuk:</t>
        </r>
        <r>
          <rPr>
            <sz val="9"/>
            <color indexed="81"/>
            <rFont val="Tahoma"/>
            <family val="2"/>
          </rPr>
          <t xml:space="preserve">
5 jk</t>
        </r>
      </text>
    </comment>
    <comment ref="N30" authorId="1" shapeId="0" xr:uid="{00000000-0006-0000-0E00-000008000000}">
      <text>
        <r>
          <rPr>
            <b/>
            <sz val="9"/>
            <color indexed="81"/>
            <rFont val="Tahoma"/>
            <family val="2"/>
          </rPr>
          <t>Kiana Matwichuk:</t>
        </r>
        <r>
          <rPr>
            <sz val="9"/>
            <color indexed="81"/>
            <rFont val="Tahoma"/>
            <family val="2"/>
          </rPr>
          <t xml:space="preserve">
1 jk</t>
        </r>
      </text>
    </comment>
    <comment ref="H31" authorId="2" shapeId="0" xr:uid="{00000000-0006-0000-0E00-000009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50 jk</t>
        </r>
      </text>
    </comment>
    <comment ref="I31" authorId="2" shapeId="0" xr:uid="{00000000-0006-0000-0E00-00000A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288 jk
</t>
        </r>
      </text>
    </comment>
    <comment ref="I62" authorId="0" shapeId="0" xr:uid="{00000000-0006-0000-0E00-00000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Possible Chum fishery
</t>
        </r>
      </text>
    </comment>
    <comment ref="H65" authorId="0" shapeId="0" xr:uid="{00000000-0006-0000-0E00-00000C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30 jk</t>
        </r>
      </text>
    </comment>
    <comment ref="J65" authorId="0" shapeId="0" xr:uid="{00000000-0006-0000-0E00-00000D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69 jk</t>
        </r>
      </text>
    </comment>
    <comment ref="H66" authorId="2" shapeId="0" xr:uid="{00000000-0006-0000-0E00-00000E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130 jk</t>
        </r>
      </text>
    </comment>
    <comment ref="I66" authorId="2" shapeId="0" xr:uid="{00000000-0006-0000-0E00-00000F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242 jk</t>
        </r>
      </text>
    </comment>
    <comment ref="M66" authorId="2" shapeId="0" xr:uid="{00000000-0006-0000-0E00-000010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141 jk</t>
        </r>
      </text>
    </comment>
    <comment ref="I97" authorId="0" shapeId="0" xr:uid="{00000000-0006-0000-0E00-00001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Possible Chum fishery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DFO-MPO</author>
  </authors>
  <commentList>
    <comment ref="F25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Partial survey, only 16-9 no access to lower river due to construction</t>
        </r>
      </text>
    </comment>
    <comment ref="I27" authorId="1" shapeId="0" xr:uid="{00000000-0006-0000-0F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Possible Chum fishery
</t>
        </r>
      </text>
    </comment>
    <comment ref="N29" authorId="1" shapeId="0" xr:uid="{00000000-0006-0000-0F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a few fesh CN</t>
        </r>
      </text>
    </comment>
    <comment ref="J30" authorId="1" shapeId="0" xr:uid="{00000000-0006-0000-0F00-00000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 jk</t>
        </r>
      </text>
    </comment>
    <comment ref="J58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Poor survey conditions</t>
        </r>
      </text>
    </comment>
    <comment ref="F60" authorId="0" shapeId="0" xr:uid="{00000000-0006-0000-0F00-000006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Partial survey, only 16-9 no access to lower river due to construction</t>
        </r>
      </text>
    </comment>
    <comment ref="I62" authorId="1" shapeId="0" xr:uid="{00000000-0006-0000-0F00-00000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Possible Chum fishery
</t>
        </r>
      </text>
    </comment>
    <comment ref="F95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Partial survey, only 16-9 no access to lower river due to construction</t>
        </r>
      </text>
    </comment>
    <comment ref="O96" authorId="1" shapeId="0" xr:uid="{00000000-0006-0000-0F00-00000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9962 dead also counted</t>
        </r>
      </text>
    </comment>
    <comment ref="I97" authorId="1" shapeId="0" xr:uid="{00000000-0006-0000-0F00-00000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Possible Chum fishery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DFO-MPO</author>
  </authors>
  <commentList>
    <comment ref="I27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Possible Chum fishery
</t>
        </r>
      </text>
    </comment>
    <comment ref="I62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Possible Chum fishery
</t>
        </r>
      </text>
    </comment>
    <comment ref="I97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Possible Chum fishery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DFO-MPO</author>
    <author>McHugh, Diana</author>
  </authors>
  <commentList>
    <comment ref="W3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18 live CO in week 1-3</t>
        </r>
      </text>
    </comment>
    <comment ref="J46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section 0-1 not completed due to high bear activity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DFO-MPO</author>
  </authors>
  <commentList>
    <comment ref="K3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River in flood Oct 8th, Cay swim cancelled, Col swim completed</t>
        </r>
      </text>
    </comment>
    <comment ref="L34" authorId="1" shapeId="0" xr:uid="{00000000-0006-0000-13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Some fresh-looking CN!</t>
        </r>
      </text>
    </comment>
    <comment ref="K66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River in flood Oct 8th, Cay swim cancelled, Col swim completed</t>
        </r>
      </text>
    </comment>
    <comment ref="K101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River in flood Oct 8th, Cay swim cancelled, Col swim completed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DFO-MPO</author>
    <author>Katie Davidson</author>
    <author>Wright, Brenda</author>
  </authors>
  <commentList>
    <comment ref="G24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Rob in chopper Sept 20th
</t>
        </r>
      </text>
    </comment>
    <comment ref="G27" authorId="1" shapeId="0" xr:uid="{00000000-0006-0000-14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Rob in chopper Sept 14, 15k in the top of the lake</t>
        </r>
      </text>
    </comment>
    <comment ref="F29" authorId="1" shapeId="0" xr:uid="{00000000-0006-0000-14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lower survey
</t>
        </r>
      </text>
    </comment>
    <comment ref="X32" authorId="2" shapeId="0" xr:uid="{9792F65A-CA10-4E8C-A4B8-0EB53841A59D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natural esc + broodstock</t>
        </r>
      </text>
    </comment>
    <comment ref="F64" authorId="1" shapeId="0" xr:uid="{00000000-0006-0000-1400-00000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lower survey
</t>
        </r>
      </text>
    </comment>
    <comment ref="AB65" authorId="0" shapeId="0" xr:uid="{44AB3060-617A-4959-8A8C-A0FB1C6E978A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Jacks and immatures (jimmies)</t>
        </r>
      </text>
    </comment>
    <comment ref="M66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16 jk</t>
        </r>
      </text>
    </comment>
    <comment ref="O67" authorId="3" shapeId="0" xr:uid="{7665140D-01E8-4397-9587-B0B0E216C823}">
      <text>
        <r>
          <rPr>
            <b/>
            <sz val="9"/>
            <color indexed="81"/>
            <rFont val="Tahoma"/>
            <family val="2"/>
          </rPr>
          <t>Wright, Brenda:</t>
        </r>
        <r>
          <rPr>
            <sz val="9"/>
            <color indexed="81"/>
            <rFont val="Tahoma"/>
            <family val="2"/>
          </rPr>
          <t xml:space="preserve">
48 Jacks mainstem + noname(5) 
</t>
        </r>
        <r>
          <rPr>
            <b/>
            <sz val="9"/>
            <color indexed="81"/>
            <rFont val="Tahoma"/>
            <family val="2"/>
          </rPr>
          <t xml:space="preserve">KD:
</t>
        </r>
        <r>
          <rPr>
            <sz val="9"/>
            <color indexed="81"/>
            <rFont val="Tahoma"/>
            <family val="2"/>
          </rPr>
          <t xml:space="preserve">731 mainstem adults plus tribs: 
adults live+dead: NoName (41+1) + Worthless (91+0) </t>
        </r>
      </text>
    </comment>
    <comment ref="X67" authorId="2" shapeId="0" xr:uid="{3A58357B-B2D6-46A8-AAAB-758B2C357340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nat esc + broodstock + swim ins returned to river</t>
        </r>
      </text>
    </comment>
    <comment ref="AA67" authorId="2" shapeId="0" xr:uid="{555B77F2-6C8A-4051-9D26-F2AD63A300C3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total swim ins for broodstock, morts, and those released back (columns F:J of Rob's sheet)</t>
        </r>
      </text>
    </comment>
    <comment ref="F99" authorId="1" shapeId="0" xr:uid="{00000000-0006-0000-1400-00000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lower survey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DFO-MPO</author>
  </authors>
  <commentList>
    <comment ref="H29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Additional 1500-2000 waiting in brackish water to enter</t>
        </r>
      </text>
    </comment>
    <comment ref="F31" authorId="1" shapeId="0" xr:uid="{00000000-0006-0000-15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Additional 10k or so waiting in brackish water for enough water to enter</t>
        </r>
      </text>
    </comment>
    <comment ref="E32" authorId="1" shapeId="0" xr:uid="{00000000-0006-0000-15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Estimate from hatchery of fish holding in tidal waters, nothing in river proper so far</t>
        </r>
      </text>
    </comment>
    <comment ref="F32" authorId="1" shapeId="0" xr:uid="{00000000-0006-0000-1500-00000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~4000 holding in the tidal pool 200m downstream of Marker 0</t>
        </r>
      </text>
    </comment>
    <comment ref="I32" authorId="1" shapeId="0" xr:uid="{00000000-0006-0000-1500-00000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19% actively spawning, but 70% are post spawn</t>
        </r>
      </text>
    </comment>
    <comment ref="K32" authorId="1" shapeId="0" xr:uid="{00000000-0006-0000-1500-00000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All post-spawn</t>
        </r>
      </text>
    </comment>
    <comment ref="F33" authorId="1" shapeId="0" xr:uid="{00000000-0006-0000-1500-00000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177 jk, Roughly 1500 more in the saltwater pool, poor visibility, a lot of CN morts due to seal predation</t>
        </r>
      </text>
    </comment>
    <comment ref="J33" authorId="1" shapeId="0" xr:uid="{00000000-0006-0000-1500-00000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Mostly kelts</t>
        </r>
      </text>
    </comment>
    <comment ref="K33" authorId="1" shapeId="0" xr:uid="{00000000-0006-0000-1500-00000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all kelts</t>
        </r>
      </text>
    </comment>
    <comment ref="D34" authorId="1" shapeId="0" xr:uid="{00000000-0006-0000-1500-00000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About 2700 in the river from the hatchery to the estuary, 4000 holding in the intertidal pool.</t>
        </r>
      </text>
    </comment>
    <comment ref="E34" authorId="1" shapeId="0" xr:uid="{00000000-0006-0000-1500-00000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Not many new fish after the rain Aug 22, 3100 holding in the estuary pool, included in the 8400.
Drone flight Aug 24: Counted 7904 from Marker 7 to 2.</t>
        </r>
      </text>
    </comment>
    <comment ref="F34" authorId="1" shapeId="0" xr:uid="{00000000-0006-0000-1500-00000C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641 jk/jimmies</t>
        </r>
      </text>
    </comment>
    <comment ref="F35" authorId="0" shapeId="0" xr:uid="{00000000-0006-0000-1500-00000D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388 in the survey area and roughly 2300 below the 0 marker
</t>
        </r>
      </text>
    </comment>
    <comment ref="G35" authorId="0" shapeId="0" xr:uid="{00000000-0006-0000-1500-00000E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401 jk; heavy spawning in the lower sections, but the majority are still holding in large schools</t>
        </r>
      </text>
    </comment>
    <comment ref="F69" authorId="1" shapeId="0" xr:uid="{00000000-0006-0000-1500-00000F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1 jk</t>
        </r>
      </text>
    </comment>
    <comment ref="K102" authorId="1" shapeId="0" xr:uid="{00000000-0006-0000-1500-000010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50% post-spawn, 25% actively spawning,
reports from Moutcha Bay of a large body of fish holding off the mouth.</t>
        </r>
      </text>
    </comment>
    <comment ref="M120" authorId="1" shapeId="0" xr:uid="{00000000-0006-0000-1500-00001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snorkel with heli survey the following day (Oct 20)
heli reported 35 SK</t>
        </r>
      </text>
    </comment>
    <comment ref="D139" authorId="1" shapeId="0" xr:uid="{00000000-0006-0000-1500-00001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Walk from hatchery to the estuary
</t>
        </r>
      </text>
    </comment>
    <comment ref="E139" authorId="1" shapeId="0" xr:uid="{00000000-0006-0000-1500-00001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Drone flight from Lazy pool (marker 6) down to the estuary pool</t>
        </r>
      </text>
    </comment>
    <comment ref="F139" authorId="1" shapeId="0" xr:uid="{00000000-0006-0000-1500-00001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1 jk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DFO-MPO</author>
    <author>mchughd</author>
    <author>Katie Davidson</author>
    <author>Seaton Taylor</author>
    <author>McHugh, Diana</author>
  </authors>
  <commentList>
    <comment ref="J2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Salmon$/SEP/Assessment Plans/South Coast/2015/San Juan River Hatchery Assessment Plan pg 2</t>
        </r>
      </text>
    </comment>
    <comment ref="H5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X:\Escapement\Counts, estimates\San Juan</t>
        </r>
      </text>
    </comment>
    <comment ref="I5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Swim saw 5</t>
        </r>
      </text>
    </comment>
    <comment ref="J5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Boat survey saw 36 Oct 2</t>
        </r>
      </text>
    </comment>
    <comment ref="E6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Swim: 0</t>
        </r>
      </text>
    </comment>
    <comment ref="G6" authorId="0" shapeId="0" xr:uid="{00000000-0006-0000-1600-00000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Swim: 43</t>
        </r>
      </text>
    </comment>
    <comment ref="I6" authorId="0" shapeId="0" xr:uid="{00000000-0006-0000-1600-00000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Swim: 72
</t>
        </r>
      </text>
    </comment>
    <comment ref="J8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Other (Fence total?!): 4566</t>
        </r>
      </text>
    </comment>
    <comment ref="H11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Swim: 19</t>
        </r>
      </text>
    </comment>
    <comment ref="K12" authorId="0" shapeId="0" xr:uid="{00000000-0006-0000-1600-00000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Swim: 17</t>
        </r>
      </text>
    </comment>
    <comment ref="K15" authorId="0" shapeId="0" xr:uid="{00000000-0006-0000-1600-00000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Swim: 670</t>
        </r>
      </text>
    </comment>
    <comment ref="Y17" authorId="0" shapeId="0" xr:uid="{00000000-0006-0000-1600-00000C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Fence blown out, so ballpark est from SJES</t>
        </r>
      </text>
    </comment>
    <comment ref="X21" authorId="1" shapeId="0" xr:uid="{00000000-0006-0000-1600-00000D000000}">
      <text>
        <r>
          <rPr>
            <b/>
            <sz val="8"/>
            <color indexed="81"/>
            <rFont val="Tahoma"/>
            <family val="2"/>
          </rPr>
          <t>mchughd:</t>
        </r>
        <r>
          <rPr>
            <sz val="8"/>
            <color indexed="81"/>
            <rFont val="Tahoma"/>
            <family val="2"/>
          </rPr>
          <t xml:space="preserve">
PL+D + fence
</t>
        </r>
      </text>
    </comment>
    <comment ref="I36" authorId="0" shapeId="0" xr:uid="{00000000-0006-0000-1600-00000E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228 Taken as Broodstock</t>
        </r>
      </text>
    </comment>
    <comment ref="H44" authorId="0" shapeId="0" xr:uid="{00000000-0006-0000-1600-00000F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through fence Sept 16-22</t>
        </r>
      </text>
    </comment>
    <comment ref="H48" authorId="0" shapeId="0" xr:uid="{00000000-0006-0000-1600-000010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291 in fence operations between brood and releases, swim Sep 20</t>
        </r>
      </text>
    </comment>
    <comment ref="N60" authorId="2" shapeId="0" xr:uid="{E5A7F266-4675-4A60-BBA5-626194BA4103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three part survey added together: 446+17+18 expanded</t>
        </r>
      </text>
    </comment>
    <comment ref="J64" authorId="2" shapeId="0" xr:uid="{40E36872-206C-4C5A-A81A-4C91A15F2222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fence count = 89 this week</t>
        </r>
      </text>
    </comment>
    <comment ref="K64" authorId="2" shapeId="0" xr:uid="{E6C5FE17-BE6A-4758-A89B-61153C68D022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fence count = 87 this week</t>
        </r>
      </text>
    </comment>
    <comment ref="J70" authorId="0" shapeId="0" xr:uid="{00000000-0006-0000-1600-00001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Salmon$/SEP/Assessment Plans/South Coast/2015/San Juan River Hatchery Assessment Plan pg 2</t>
        </r>
      </text>
    </comment>
    <comment ref="Y74" authorId="0" shapeId="0" xr:uid="{00000000-0006-0000-1600-00001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Hatchery est 10k-30k</t>
        </r>
      </text>
    </comment>
    <comment ref="K81" authorId="0" shapeId="0" xr:uid="{00000000-0006-0000-1600-00001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Swim 927</t>
        </r>
      </text>
    </comment>
    <comment ref="Y82" authorId="0" shapeId="0" xr:uid="{00000000-0006-0000-1600-00001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4,943 counted at fence
</t>
        </r>
      </text>
    </comment>
    <comment ref="Y84" authorId="0" shapeId="0" xr:uid="{00000000-0006-0000-1600-00001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Addition of tribs</t>
        </r>
      </text>
    </comment>
    <comment ref="Y85" authorId="0" shapeId="0" xr:uid="{00000000-0006-0000-1600-00001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Partial estimate, high water issues
</t>
        </r>
      </text>
    </comment>
    <comment ref="X86" authorId="3" shapeId="0" xr:uid="{00000000-0006-0000-1600-000017000000}">
      <text>
        <r>
          <rPr>
            <b/>
            <sz val="8"/>
            <color indexed="81"/>
            <rFont val="Tahoma"/>
            <family val="2"/>
          </rPr>
          <t>Seaton Taylor:</t>
        </r>
        <r>
          <rPr>
            <sz val="8"/>
            <color indexed="81"/>
            <rFont val="Tahoma"/>
            <family val="2"/>
          </rPr>
          <t xml:space="preserve">
This estimate is of poor quality</t>
        </r>
      </text>
    </comment>
    <comment ref="Y86" authorId="0" shapeId="0" xr:uid="{00000000-0006-0000-1600-00001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San Juan only</t>
        </r>
      </text>
    </comment>
    <comment ref="H103" authorId="0" shapeId="0" xr:uid="{00000000-0006-0000-1600-00001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through fence Sept 16-22</t>
        </r>
      </text>
    </comment>
    <comment ref="H107" authorId="0" shapeId="0" xr:uid="{00000000-0006-0000-1600-00001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146 in fence operations, Lower swim Sep 20
Upper swim Sep 21</t>
        </r>
      </text>
    </comment>
    <comment ref="AC107" authorId="4" shapeId="0" xr:uid="{00000000-0006-0000-1600-00001B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Fence blown out by high water</t>
        </r>
      </text>
    </comment>
    <comment ref="J111" authorId="0" shapeId="0" xr:uid="{00000000-0006-0000-1600-00001C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95 jk</t>
        </r>
      </text>
    </comment>
    <comment ref="N119" authorId="2" shapeId="0" xr:uid="{F1C76411-894A-488D-95B9-8F9D18487938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full river swim split over 3 days, so 3 sections (upper/mid/lower) added to gether: 142+99+1238 expanded
Does not include 8 jacks</t>
        </r>
      </text>
    </comment>
    <comment ref="Q119" authorId="4" shapeId="0" xr:uid="{D9FD8318-35AF-4B47-A821-E0134B954608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Three surveys combined (Lower SJ Nov 16, partial Upper Nov 17, rest of Upper Nov 20): 36+58+719=813 expanded
does not include 41 jk</t>
        </r>
      </text>
    </comment>
    <comment ref="J123" authorId="2" shapeId="0" xr:uid="{C2A542C3-32A9-42D8-B62E-60882E70FD59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fence count = 90 this week</t>
        </r>
      </text>
    </comment>
    <comment ref="K123" authorId="2" shapeId="0" xr:uid="{7870F733-1D05-440C-8A89-701A70C5ED53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fence count = 320 this week</t>
        </r>
      </text>
    </comment>
    <comment ref="J128" authorId="0" shapeId="0" xr:uid="{00000000-0006-0000-1600-00001D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Salmon$/SEP/Assessment Plans/South Coast/2015/San Juan River Hatchery Assessment Plan pg 2</t>
        </r>
      </text>
    </comment>
    <comment ref="X153" authorId="0" shapeId="0" xr:uid="{00000000-0006-0000-1600-00001E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It is supposed to be 593, just a coincedence that it is exactly the same as the 2014 estimate.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mchughd</author>
    <author>DFO-MPO</author>
    <author>Vek, Pat</author>
    <author>McHugh, Diana</author>
  </authors>
  <commentList>
    <comment ref="J2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mchughd:</t>
        </r>
        <r>
          <rPr>
            <sz val="8"/>
            <color indexed="81"/>
            <rFont val="Tahoma"/>
            <family val="2"/>
          </rPr>
          <t xml:space="preserve">
Poor survey conditions (water high and turbid),
est obs eff = 25%
</t>
        </r>
      </text>
    </comment>
    <comment ref="I29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Hatchery took 27 pairs in the afternoon after the survey</t>
        </r>
      </text>
    </comment>
    <comment ref="G31" authorId="2" shapeId="0" xr:uid="{00000000-0006-0000-0300-000003000000}">
      <text>
        <r>
          <rPr>
            <b/>
            <sz val="9"/>
            <color indexed="81"/>
            <rFont val="Tahoma"/>
            <family val="2"/>
          </rPr>
          <t>Vek, Pat:</t>
        </r>
        <r>
          <rPr>
            <sz val="9"/>
            <color indexed="81"/>
            <rFont val="Tahoma"/>
            <family val="2"/>
          </rPr>
          <t xml:space="preserve">
68 Jack</t>
        </r>
      </text>
    </comment>
    <comment ref="H31" authorId="2" shapeId="0" xr:uid="{00000000-0006-0000-0300-000004000000}">
      <text>
        <r>
          <rPr>
            <b/>
            <sz val="9"/>
            <color indexed="81"/>
            <rFont val="Tahoma"/>
            <family val="2"/>
          </rPr>
          <t>Vek, Pat:</t>
        </r>
        <r>
          <rPr>
            <sz val="9"/>
            <color indexed="81"/>
            <rFont val="Tahoma"/>
            <family val="2"/>
          </rPr>
          <t xml:space="preserve">
64 jack</t>
        </r>
      </text>
    </comment>
    <comment ref="I31" authorId="2" shapeId="0" xr:uid="{00000000-0006-0000-0300-000005000000}">
      <text>
        <r>
          <rPr>
            <b/>
            <sz val="9"/>
            <color indexed="81"/>
            <rFont val="Tahoma"/>
            <family val="2"/>
          </rPr>
          <t>Vek, Pat:</t>
        </r>
        <r>
          <rPr>
            <sz val="9"/>
            <color indexed="81"/>
            <rFont val="Tahoma"/>
            <family val="2"/>
          </rPr>
          <t xml:space="preserve">
53 jack</t>
        </r>
      </text>
    </comment>
    <comment ref="L31" authorId="3" shapeId="0" xr:uid="{00000000-0006-0000-0300-000006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18 jk</t>
        </r>
      </text>
    </comment>
    <comment ref="H66" authorId="2" shapeId="0" xr:uid="{00000000-0006-0000-0300-000007000000}">
      <text>
        <r>
          <rPr>
            <b/>
            <sz val="9"/>
            <color indexed="81"/>
            <rFont val="Tahoma"/>
            <family val="2"/>
          </rPr>
          <t>Vek, Pat:</t>
        </r>
        <r>
          <rPr>
            <sz val="9"/>
            <color indexed="81"/>
            <rFont val="Tahoma"/>
            <family val="2"/>
          </rPr>
          <t xml:space="preserve">
34 jack</t>
        </r>
      </text>
    </comment>
    <comment ref="I66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Vek, Pat:</t>
        </r>
        <r>
          <rPr>
            <sz val="9"/>
            <color indexed="81"/>
            <rFont val="Tahoma"/>
            <family val="2"/>
          </rPr>
          <t xml:space="preserve">
9 jack</t>
        </r>
      </text>
    </comment>
    <comment ref="L66" authorId="3" shapeId="0" xr:uid="{00000000-0006-0000-0300-000009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8 jk</t>
        </r>
      </text>
    </comment>
    <comment ref="O66" authorId="3" shapeId="0" xr:uid="{00000000-0006-0000-0300-00000A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10 jk</t>
        </r>
      </text>
    </comment>
    <comment ref="N101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5480 total (2265 live + 3215 dead)</t>
        </r>
      </text>
    </comment>
    <comment ref="N104" authorId="3" shapeId="0" xr:uid="{6FB4DE96-3E18-4B9B-B750-048F69B5D4B6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7486 dead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DFO-MPO</author>
  </authors>
  <commentList>
    <comment ref="AC4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Using raw counts and assuming 1st and last 0s of Sept 1, Dec 1 in lieu of data</t>
        </r>
      </text>
    </comment>
    <comment ref="CQ33" authorId="0" shapeId="0" xr:uid="{A35BBA47-8457-4C55-9362-F7AEBDA77A8F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Fence June 18 to Sep 2
</t>
        </r>
      </text>
    </comment>
    <comment ref="Q36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10329 Obs Oct 24
7064 Obs Oct 27</t>
        </r>
      </text>
    </comment>
    <comment ref="P41" authorId="1" shapeId="0" xr:uid="{00000000-0006-0000-17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Poor survey conditions</t>
        </r>
      </text>
    </comment>
    <comment ref="H44" authorId="1" shapeId="0" xr:uid="{00000000-0006-0000-1700-00000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Spot check at the bridge and at the 0 marker</t>
        </r>
      </text>
    </comment>
    <comment ref="AG47" authorId="0" shapeId="0" xr:uid="{D4D78C80-DC7D-499E-82CE-745C767B2DB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Fence June 18 to Sep 2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DFO-MPO</author>
    <author>McHugh, Diana</author>
  </authors>
  <commentList>
    <comment ref="R9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Boat surveys counted 1528 in Kennedy and 1713 in Clayoquot Arm</t>
        </r>
      </text>
    </comment>
    <comment ref="O13" authorId="0" shapeId="0" xr:uid="{00000000-0006-0000-1A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80% spawning</t>
        </r>
      </text>
    </comment>
    <comment ref="K24" authorId="0" shapeId="0" xr:uid="{00000000-0006-0000-1A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6 dead</t>
        </r>
      </text>
    </comment>
    <comment ref="S24" authorId="0" shapeId="0" xr:uid="{00000000-0006-0000-1A00-00000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46 dead</t>
        </r>
      </text>
    </comment>
    <comment ref="D28" authorId="1" shapeId="0" xr:uid="{A752DAD2-4386-446F-A020-8FEA48C34A78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32 jk, 5 dead
2k+ peamouth chub holding under the bridge (eating juv sk?)</t>
        </r>
      </text>
    </comment>
    <comment ref="W49" authorId="0" shapeId="0" xr:uid="{00000000-0006-0000-1A00-00000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25% spawning
</t>
        </r>
      </text>
    </comment>
    <comment ref="O85" authorId="0" shapeId="0" xr:uid="{00000000-0006-0000-1A00-00000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40% spawning</t>
        </r>
      </text>
    </comment>
    <comment ref="U92" authorId="0" shapeId="0" xr:uid="{00000000-0006-0000-1A00-00000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one ad clipped jack</t>
        </r>
      </text>
    </comment>
    <comment ref="D109" authorId="0" shapeId="0" xr:uid="{00000000-0006-0000-1A00-00000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~50% females, dead pitch, brood, and sales
</t>
        </r>
      </text>
    </comment>
    <comment ref="G109" authorId="0" shapeId="0" xr:uid="{00000000-0006-0000-1A00-00000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~50% females, dead pitch
</t>
        </r>
      </text>
    </comment>
    <comment ref="J109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~50% females, dead pitch
</t>
        </r>
      </text>
    </comment>
    <comment ref="M109" authorId="0" shapeId="0" xr:uid="{00000000-0006-0000-1A00-00000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Estimate-exceeded 500 CO, counted 150 in the first small western trib of the creek which represents a small portion of the creek, crew took 20,000 CO eggs</t>
        </r>
      </text>
    </comment>
    <comment ref="N109" authorId="0" shapeId="0" xr:uid="{00000000-0006-0000-1A00-00000C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D110" authorId="0" shapeId="0" xr:uid="{00000000-0006-0000-1A00-00000D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dead pitch, brood, and sales
</t>
        </r>
      </text>
    </comment>
    <comment ref="D111" authorId="0" shapeId="0" xr:uid="{00000000-0006-0000-1A00-00000E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dead pitch and sales
</t>
        </r>
      </text>
    </comment>
    <comment ref="G111" authorId="0" shapeId="0" xr:uid="{00000000-0006-0000-1A00-00000F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deadpitch
</t>
        </r>
      </text>
    </comment>
    <comment ref="J111" authorId="0" shapeId="0" xr:uid="{00000000-0006-0000-1A00-000010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deadpitch
</t>
        </r>
      </text>
    </comment>
    <comment ref="T111" authorId="0" shapeId="0" xr:uid="{00000000-0006-0000-1A00-00001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deadpitch
</t>
        </r>
      </text>
    </comment>
    <comment ref="L11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Lots of chum
</t>
        </r>
      </text>
    </comment>
    <comment ref="M112" authorId="0" shapeId="0" xr:uid="{00000000-0006-0000-1A00-00001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Very poor return</t>
        </r>
      </text>
    </comment>
    <comment ref="R156" authorId="0" shapeId="0" xr:uid="{00000000-0006-0000-1A00-00001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Boat surveys counted 1528 in Kennedy and 1713 in Clayoquot Arm</t>
        </r>
      </text>
    </comment>
    <comment ref="O160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80% spawning</t>
        </r>
      </text>
    </comment>
    <comment ref="W195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25% spawning
</t>
        </r>
      </text>
    </comment>
    <comment ref="O230" authorId="0" shapeId="0" xr:uid="{00000000-0006-0000-1A00-00001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40% spawning</t>
        </r>
      </text>
    </comment>
    <comment ref="U237" authorId="0" shapeId="0" xr:uid="{00000000-0006-0000-1A00-00001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one ad clipped jack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DFO-MPO</author>
    <author>McHugh, Diana</author>
  </authors>
  <commentList>
    <comment ref="X13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+123 brood removed</t>
        </r>
      </text>
    </comment>
    <comment ref="K24" authorId="1" shapeId="0" xr:uid="{00000000-0006-0000-1B00-000002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19F +19M taken for brood Oct 4,6</t>
        </r>
      </text>
    </comment>
    <comment ref="X30" authorId="1" shapeId="0" xr:uid="{00000000-0006-0000-1B00-000003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2 jk</t>
        </r>
      </text>
    </comment>
    <comment ref="B44" authorId="0" shapeId="0" xr:uid="{00000000-0006-0000-1B00-00000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Jul 20(statwk 74) 245
</t>
        </r>
      </text>
    </comment>
    <comment ref="B45" authorId="0" shapeId="0" xr:uid="{00000000-0006-0000-1B00-00000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Jul 9: 142
Jul23: 69</t>
        </r>
      </text>
    </comment>
    <comment ref="B46" authorId="0" shapeId="0" xr:uid="{00000000-0006-0000-1B00-00000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Jun 20: 102
Jul 5: 111
Jul 23: 193</t>
        </r>
      </text>
    </comment>
    <comment ref="B47" authorId="0" shapeId="0" xr:uid="{00000000-0006-0000-1B00-00000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Jul 11: 206
Jul 25: 258</t>
        </r>
      </text>
    </comment>
    <comment ref="Q61" authorId="0" shapeId="0" xr:uid="{00000000-0006-0000-1B00-00000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Upper Toquaht</t>
        </r>
      </text>
    </comment>
    <comment ref="X65" authorId="1" shapeId="0" xr:uid="{00000000-0006-0000-1B00-000009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214 jk</t>
        </r>
      </text>
    </comment>
    <comment ref="M87" authorId="0" shapeId="0" xr:uid="{00000000-0006-0000-1B00-00000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TCES: 4k live spawners, 3k morts, and 500 in saltwater Oct 25. 20+harbour seals up the river</t>
        </r>
      </text>
    </comment>
    <comment ref="H93" authorId="1" shapeId="0" xr:uid="{00000000-0006-0000-1B00-00000B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Lower</t>
        </r>
      </text>
    </comment>
    <comment ref="L93" authorId="1" shapeId="0" xr:uid="{00000000-0006-0000-1B00-00000C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Lower</t>
        </r>
      </text>
    </comment>
    <comment ref="M93" authorId="1" shapeId="0" xr:uid="{00000000-0006-0000-1B00-00000D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Upper</t>
        </r>
      </text>
    </comment>
    <comment ref="O93" authorId="1" shapeId="0" xr:uid="{00000000-0006-0000-1B00-00000E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Estuary (Chum survey)</t>
        </r>
      </text>
    </comment>
    <comment ref="J113" authorId="1" shapeId="0" xr:uid="{00000000-0006-0000-1B00-00000F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poor vis
</t>
        </r>
      </text>
    </comment>
    <comment ref="O113" authorId="1" shapeId="0" xr:uid="{00000000-0006-0000-1B00-000010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Upper Toquaht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DFO-MPO</author>
  </authors>
  <commentList>
    <comment ref="L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Spawning channel count</t>
        </r>
      </text>
    </comment>
    <comment ref="Q9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526 dead chum too</t>
        </r>
      </text>
    </comment>
    <comment ref="L9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In the spawning channel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DFO-MPO</author>
  </authors>
  <commentList>
    <comment ref="Q2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Survey of Upper Megin (4km of river above Megin Lake)</t>
        </r>
      </text>
    </comment>
    <comment ref="I28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Upper Sep 25, Lower Sep 28</t>
        </r>
      </text>
    </comment>
    <comment ref="J28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Upper Oct 5, Lower Oct 6</t>
        </r>
      </text>
    </comment>
    <comment ref="L28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Upper Oct 20
</t>
        </r>
      </text>
    </comment>
    <comment ref="O28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Upper Nov 8
</t>
        </r>
      </text>
    </comment>
    <comment ref="Q5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Survey of Upper Megin (4km of river above Megin Lake)</t>
        </r>
      </text>
    </comment>
    <comment ref="Q94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Survey of Upper Megin (4km of river above Megin Lake)</t>
        </r>
      </text>
    </comment>
    <comment ref="O131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2236 raw PL+D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mchughd</author>
    <author>McHugh, Diana</author>
    <author>DFO-MPO</author>
  </authors>
  <commentList>
    <comment ref="AV7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mchughd:</t>
        </r>
        <r>
          <rPr>
            <sz val="8"/>
            <color indexed="81"/>
            <rFont val="Tahoma"/>
            <family val="2"/>
          </rPr>
          <t xml:space="preserve">
Nov 6: 22
Nov 12: 7</t>
        </r>
      </text>
    </comment>
    <comment ref="AW7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mchughd:</t>
        </r>
        <r>
          <rPr>
            <sz val="8"/>
            <color indexed="81"/>
            <rFont val="Tahoma"/>
            <family val="2"/>
          </rPr>
          <t xml:space="preserve">
Nov 15: 3
Nov 19: 5</t>
        </r>
      </text>
    </comment>
    <comment ref="P21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mchughd:</t>
        </r>
        <r>
          <rPr>
            <sz val="8"/>
            <color indexed="81"/>
            <rFont val="Tahoma"/>
            <family val="2"/>
          </rPr>
          <t xml:space="preserve">
Nov 6: 22
Nov 12: 7</t>
        </r>
      </text>
    </comment>
    <comment ref="Q21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mchughd:</t>
        </r>
        <r>
          <rPr>
            <sz val="8"/>
            <color indexed="81"/>
            <rFont val="Tahoma"/>
            <family val="2"/>
          </rPr>
          <t xml:space="preserve">
Nov 15: 3
Nov 19: 5</t>
        </r>
      </text>
    </comment>
    <comment ref="L22" authorId="1" shapeId="0" xr:uid="{00000000-0006-0000-0700-000005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Oct 21</t>
        </r>
      </text>
    </comment>
    <comment ref="N22" authorId="1" shapeId="0" xr:uid="{00000000-0006-0000-0700-000006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Oct 27
67 Nov 2</t>
        </r>
      </text>
    </comment>
    <comment ref="L29" authorId="2" shapeId="0" xr:uid="{00000000-0006-0000-0700-00000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11 jk
all post spawn except 2 females</t>
        </r>
      </text>
    </comment>
    <comment ref="M29" authorId="2" shapeId="0" xr:uid="{00000000-0006-0000-0700-00000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 jk</t>
        </r>
      </text>
    </comment>
    <comment ref="N29" authorId="2" shapeId="0" xr:uid="{00000000-0006-0000-0700-00000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2 jk</t>
        </r>
      </text>
    </comment>
    <comment ref="M64" authorId="2" shapeId="0" xr:uid="{00000000-0006-0000-0700-00000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66 jk</t>
        </r>
      </text>
    </comment>
    <comment ref="N64" authorId="2" shapeId="0" xr:uid="{00000000-0006-0000-0700-00000B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67 jk</t>
        </r>
      </text>
    </comment>
    <comment ref="F65" authorId="2" shapeId="0" xr:uid="{00000000-0006-0000-0700-00000C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1 jk</t>
        </r>
      </text>
    </comment>
    <comment ref="H65" authorId="2" shapeId="0" xr:uid="{00000000-0006-0000-0700-00000D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2 jk</t>
        </r>
      </text>
    </comment>
    <comment ref="I65" authorId="2" shapeId="0" xr:uid="{00000000-0006-0000-0700-00000E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14 jk</t>
        </r>
      </text>
    </comment>
    <comment ref="J65" authorId="2" shapeId="0" xr:uid="{00000000-0006-0000-0700-00000F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31 jk</t>
        </r>
      </text>
    </comment>
    <comment ref="K65" authorId="2" shapeId="0" xr:uid="{00000000-0006-0000-0700-000010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31 jk</t>
        </r>
      </text>
    </comment>
    <comment ref="L92" authorId="1" shapeId="0" xr:uid="{00000000-0006-0000-0700-000011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Oct 21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DFO-MPO</author>
  </authors>
  <commentList>
    <comment ref="K22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McHugh, Diana:</t>
        </r>
        <r>
          <rPr>
            <sz val="8"/>
            <color indexed="81"/>
            <rFont val="Tahoma"/>
            <family val="2"/>
          </rPr>
          <t xml:space="preserve">
15 female CN taken for brood on Oct 10</t>
        </r>
      </text>
    </comment>
    <comment ref="L2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Partial Survey, ~88% of Pop, based on complete survey the following week</t>
        </r>
      </text>
    </comment>
    <comment ref="G65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3 jk</t>
        </r>
      </text>
    </comment>
    <comment ref="H65" authorId="1" shapeId="0" xr:uid="{00000000-0006-0000-0800-00000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8 jk</t>
        </r>
      </text>
    </comment>
    <comment ref="X65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77 jk</t>
        </r>
      </text>
    </comment>
    <comment ref="I66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86 jk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DFO-MPO</author>
    <author>McHugh, Diana</author>
    <author>Brady, Piper-Lynn</author>
  </authors>
  <commentList>
    <comment ref="AG1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email: Nov 9, 2015
</t>
        </r>
      </text>
    </comment>
    <comment ref="J2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Partial survey, likely the peak.</t>
        </r>
      </text>
    </comment>
    <comment ref="E25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Roger walk, 200 in Lower pool</t>
        </r>
      </text>
    </comment>
    <comment ref="AG26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Roger via email: Oct 28, 2016</t>
        </r>
      </text>
    </comment>
    <comment ref="F27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1,593 taken in Matchlee Bay Taakwiak fishery</t>
        </r>
      </text>
    </comment>
    <comment ref="G27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694 tags on as of Sept 15</t>
        </r>
      </text>
    </comment>
    <comment ref="AG27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Via email Oct 22, paper in x/wcvi/escapement/papers/Burman</t>
        </r>
      </text>
    </comment>
    <comment ref="G29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Roughly 500 more est in the stopover pool below the survey section</t>
        </r>
      </text>
    </comment>
    <comment ref="H30" authorId="2" shapeId="0" xr:uid="{00000000-0006-0000-0900-000009000000}">
      <text>
        <r>
          <rPr>
            <b/>
            <sz val="9"/>
            <color indexed="81"/>
            <rFont val="Tahoma"/>
            <family val="2"/>
          </rPr>
          <t>Brady, Piper-Lynn:</t>
        </r>
        <r>
          <rPr>
            <sz val="9"/>
            <color indexed="81"/>
            <rFont val="Tahoma"/>
            <family val="2"/>
          </rPr>
          <t xml:space="preserve">
Sept 17 swim: 110 adults 3 Jk. In survey area 1500 w/in 250m below marker 0.
Sept 18 aerial survey by hatchery staff estimated 10,000 in the lower river and near the mouth
</t>
        </r>
      </text>
    </comment>
    <comment ref="J65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Partial Survey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DFO-MPO</author>
    <author>Brady, Piper-Lynn</author>
    <author>McHugh, Diana</author>
  </authors>
  <commentList>
    <comment ref="E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300-400, pumphouse bank walk</t>
        </r>
      </text>
    </comment>
    <comment ref="F1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swam Pumphouse</t>
        </r>
      </text>
    </comment>
    <comment ref="I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Swim of the lower river pools</t>
        </r>
      </text>
    </comment>
    <comment ref="K14" authorId="1" shapeId="0" xr:uid="{00000000-0006-0000-0A00-000004000000}">
      <text>
        <r>
          <rPr>
            <b/>
            <sz val="9"/>
            <color indexed="81"/>
            <rFont val="Tahoma"/>
            <family val="2"/>
          </rPr>
          <t>Brady, Piper-Lynn:</t>
        </r>
        <r>
          <rPr>
            <sz val="9"/>
            <color indexed="81"/>
            <rFont val="Tahoma"/>
            <family val="2"/>
          </rPr>
          <t xml:space="preserve">
4 dead CN</t>
        </r>
      </text>
    </comment>
    <comment ref="G15" authorId="2" shapeId="0" xr:uid="{00000000-0006-0000-0A00-000005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Aug 31</t>
        </r>
      </text>
    </comment>
    <comment ref="H15" authorId="2" shapeId="0" xr:uid="{00000000-0006-0000-0A00-000006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Sep 8</t>
        </r>
      </text>
    </comment>
    <comment ref="I15" authorId="2" shapeId="0" xr:uid="{00000000-0006-0000-0A00-000007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Sep 13</t>
        </r>
      </text>
    </comment>
    <comment ref="J15" authorId="2" shapeId="0" xr:uid="{00000000-0006-0000-0A00-000008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Sep 22</t>
        </r>
      </text>
    </comment>
    <comment ref="J16" authorId="2" shapeId="0" xr:uid="{00000000-0006-0000-0A00-000009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Sep 23 survey</t>
        </r>
      </text>
    </comment>
    <comment ref="J17" authorId="2" shapeId="0" xr:uid="{00000000-0006-0000-0A00-00000A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Sep 22</t>
        </r>
      </text>
    </comment>
    <comment ref="L17" authorId="2" shapeId="0" xr:uid="{00000000-0006-0000-0A00-00000B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Oct 5</t>
        </r>
      </text>
    </comment>
    <comment ref="M17" authorId="2" shapeId="0" xr:uid="{00000000-0006-0000-0A00-00000C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Oct 12</t>
        </r>
      </text>
    </comment>
    <comment ref="J39" authorId="1" shapeId="0" xr:uid="{00000000-0006-0000-0A00-00000D000000}">
      <text>
        <r>
          <rPr>
            <b/>
            <sz val="9"/>
            <color indexed="81"/>
            <rFont val="Tahoma"/>
            <family val="2"/>
          </rPr>
          <t>Brady, Piper-Lynn:</t>
        </r>
        <r>
          <rPr>
            <sz val="9"/>
            <color indexed="81"/>
            <rFont val="Tahoma"/>
            <family val="2"/>
          </rPr>
          <t xml:space="preserve">
200 Jk</t>
        </r>
      </text>
    </comment>
    <comment ref="J88" authorId="1" shapeId="0" xr:uid="{00000000-0006-0000-0A00-00000E000000}">
      <text>
        <r>
          <rPr>
            <b/>
            <sz val="9"/>
            <color indexed="81"/>
            <rFont val="Tahoma"/>
            <family val="2"/>
          </rPr>
          <t>Brady, Piper-Lynn:</t>
        </r>
        <r>
          <rPr>
            <sz val="9"/>
            <color indexed="81"/>
            <rFont val="Tahoma"/>
            <family val="2"/>
          </rPr>
          <t xml:space="preserve">
Pumphouse Pool only.
</t>
        </r>
      </text>
    </comment>
    <comment ref="L88" authorId="1" shapeId="0" xr:uid="{00000000-0006-0000-0A00-00000F000000}">
      <text>
        <r>
          <rPr>
            <b/>
            <sz val="9"/>
            <color indexed="81"/>
            <rFont val="Tahoma"/>
            <family val="2"/>
          </rPr>
          <t>Brady, Piper-Lynn:</t>
        </r>
        <r>
          <rPr>
            <sz val="9"/>
            <color indexed="81"/>
            <rFont val="Tahoma"/>
            <family val="2"/>
          </rPr>
          <t xml:space="preserve">
unknown reason</t>
        </r>
      </text>
    </comment>
    <comment ref="M88" authorId="1" shapeId="0" xr:uid="{00000000-0006-0000-0A00-000010000000}">
      <text>
        <r>
          <rPr>
            <b/>
            <sz val="9"/>
            <color indexed="81"/>
            <rFont val="Tahoma"/>
            <family val="2"/>
          </rPr>
          <t>Brady, Piper-Lynn:
heavy rains/high flows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DFO-MPO</author>
    <author>McHugh, Diana</author>
  </authors>
  <commentList>
    <comment ref="I2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50% post spawn, 50% not yet spawning</t>
        </r>
      </text>
    </comment>
    <comment ref="K28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All post-spawn, not actively spawning
</t>
        </r>
      </text>
    </comment>
    <comment ref="G31" authorId="1" shapeId="0" xr:uid="{00000000-0006-0000-0B00-000003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8 jk</t>
        </r>
      </text>
    </comment>
    <comment ref="H31" authorId="1" shapeId="0" xr:uid="{00000000-0006-0000-0B00-000004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134 jk
Just before swim, 68 females and 57 males taken for brood</t>
        </r>
      </text>
    </comment>
    <comment ref="I31" authorId="1" shapeId="0" xr:uid="{00000000-0006-0000-0B00-000005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332 jk</t>
        </r>
      </text>
    </comment>
    <comment ref="K31" authorId="1" shapeId="0" xr:uid="{00000000-0006-0000-0B00-000006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376 jk
</t>
        </r>
      </text>
    </comment>
    <comment ref="M31" authorId="1" shapeId="0" xr:uid="{00000000-0006-0000-0B00-000007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258 jk</t>
        </r>
      </text>
    </comment>
    <comment ref="N31" authorId="1" shapeId="0" xr:uid="{00000000-0006-0000-0B00-000008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213 jk</t>
        </r>
      </text>
    </comment>
    <comment ref="F6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A lot of dead CO fry due to dewatering.
</t>
        </r>
      </text>
    </comment>
    <comment ref="H66" authorId="1" shapeId="0" xr:uid="{00000000-0006-0000-0B00-00000A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36 jk</t>
        </r>
      </text>
    </comment>
    <comment ref="I66" authorId="1" shapeId="0" xr:uid="{00000000-0006-0000-0B00-00000B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55 jk</t>
        </r>
      </text>
    </comment>
    <comment ref="K66" authorId="1" shapeId="0" xr:uid="{00000000-0006-0000-0B00-00000C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199 jk</t>
        </r>
      </text>
    </comment>
    <comment ref="M66" authorId="1" shapeId="0" xr:uid="{00000000-0006-0000-0B00-00000D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337 jk</t>
        </r>
      </text>
    </comment>
    <comment ref="N66" authorId="1" shapeId="0" xr:uid="{00000000-0006-0000-0B00-00000E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297 jk</t>
        </r>
      </text>
    </comment>
    <comment ref="F117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Isolated in pools due to extremely low water, without rain soon, they will die.</t>
        </r>
      </text>
    </comment>
    <comment ref="G121" authorId="1" shapeId="0" xr:uid="{00000000-0006-0000-0B00-000010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 jk</t>
        </r>
      </text>
    </comment>
    <comment ref="H121" authorId="1" shapeId="0" xr:uid="{00000000-0006-0000-0B00-000011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36 jk</t>
        </r>
      </text>
    </comment>
    <comment ref="K121" authorId="1" shapeId="0" xr:uid="{00000000-0006-0000-0B00-000012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30 jk</t>
        </r>
      </text>
    </comment>
    <comment ref="M121" authorId="1" shapeId="0" xr:uid="{00000000-0006-0000-0B00-000013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16 jk
</t>
        </r>
      </text>
    </comment>
    <comment ref="N121" authorId="1" shapeId="0" xr:uid="{00000000-0006-0000-0B00-000014000000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2 jk</t>
        </r>
      </text>
    </comment>
  </commentList>
</comments>
</file>

<file path=xl/sharedStrings.xml><?xml version="1.0" encoding="utf-8"?>
<sst xmlns="http://schemas.openxmlformats.org/spreadsheetml/2006/main" count="5391" uniqueCount="654">
  <si>
    <t>Year</t>
  </si>
  <si>
    <t>Statweek</t>
  </si>
  <si>
    <t>Total</t>
  </si>
  <si>
    <t>Analysis Method</t>
  </si>
  <si>
    <t>Residence Time</t>
  </si>
  <si>
    <t>AUC</t>
  </si>
  <si>
    <t>EO</t>
  </si>
  <si>
    <t>UK</t>
  </si>
  <si>
    <t>ADD/SUB</t>
  </si>
  <si>
    <t>PL+D</t>
  </si>
  <si>
    <t>CUMM/NEW</t>
  </si>
  <si>
    <t>VERY FEW OF THIS SPECIES EVER IN THIS SYSTEM</t>
  </si>
  <si>
    <t>San Juan Observed Chinook Counts</t>
  </si>
  <si>
    <t>NOT GOOD INDICATORS OF SNORKEL SURVEYS AS MAIN #"s COME FROM FENCE</t>
  </si>
  <si>
    <t>San Juan Observed Coho Counts</t>
  </si>
  <si>
    <t>San Juan Observed Chum Counts</t>
  </si>
  <si>
    <t>NO</t>
  </si>
  <si>
    <t>Average</t>
  </si>
  <si>
    <t>Abbreviations for Analysis Method</t>
  </si>
  <si>
    <t xml:space="preserve">UK </t>
  </si>
  <si>
    <t>Unkown</t>
  </si>
  <si>
    <t>Expert Opinion</t>
  </si>
  <si>
    <t>Observations added or subtracted, i.e. adding two separate peak counts together.</t>
  </si>
  <si>
    <t>Peak Live plus Dead</t>
  </si>
  <si>
    <t>Sarita</t>
  </si>
  <si>
    <t>Nahmint</t>
  </si>
  <si>
    <t>Bedwell</t>
  </si>
  <si>
    <t>Moyeha</t>
  </si>
  <si>
    <t>Megin</t>
  </si>
  <si>
    <t>Tranquil</t>
  </si>
  <si>
    <t>Cypre</t>
  </si>
  <si>
    <t>Burman</t>
  </si>
  <si>
    <t>Tahsis</t>
  </si>
  <si>
    <t>Leiner</t>
  </si>
  <si>
    <t>Zeballos</t>
  </si>
  <si>
    <t>Kaouk</t>
  </si>
  <si>
    <t>Artlish</t>
  </si>
  <si>
    <t>Tahsish</t>
  </si>
  <si>
    <t>Marble</t>
  </si>
  <si>
    <t>Cayeghle</t>
  </si>
  <si>
    <t>Observations for a given stat week are the max values, i.e. if there were 2 surveys in a given stat week only the max value would be shown in these tables</t>
  </si>
  <si>
    <t>Tables that are highlighted yellow are not good indicators or have poor data for a given species so should not be included in report</t>
  </si>
  <si>
    <t>Conuma and Nitinat are not included beacuse they are majorly enhanced with hatchery facilities on the mainstem</t>
  </si>
  <si>
    <t>If observations can be added together, i.e. former peak count with newest observation added</t>
  </si>
  <si>
    <t>Total Surveys</t>
  </si>
  <si>
    <t>(3 upper surveys, 3 lower surveys)</t>
  </si>
  <si>
    <t>Values are the obs live fish (not expanded for obs efficiency, % hab observed, or dead fish observed)</t>
  </si>
  <si>
    <t>Updated</t>
  </si>
  <si>
    <t>By:</t>
  </si>
  <si>
    <t>D.McHugh</t>
  </si>
  <si>
    <t>PK</t>
  </si>
  <si>
    <t>exp</t>
  </si>
  <si>
    <t>min expansion</t>
  </si>
  <si>
    <t>25 SL, expansion in lower part of the range</t>
  </si>
  <si>
    <t>average exp</t>
  </si>
  <si>
    <t>min</t>
  </si>
  <si>
    <t>max</t>
  </si>
  <si>
    <t>experienced field crew chief thought 19k was too high</t>
  </si>
  <si>
    <t>AUC+EO</t>
  </si>
  <si>
    <t>est</t>
  </si>
  <si>
    <t>262 taken for broodstock at the fence</t>
  </si>
  <si>
    <t>avg</t>
  </si>
  <si>
    <t>PL</t>
  </si>
  <si>
    <t>expansion</t>
  </si>
  <si>
    <t>Proportional</t>
  </si>
  <si>
    <t>Cumulative</t>
  </si>
  <si>
    <t>81</t>
  </si>
  <si>
    <t>82</t>
  </si>
  <si>
    <t>83</t>
  </si>
  <si>
    <t>84</t>
  </si>
  <si>
    <t>91</t>
  </si>
  <si>
    <t>92</t>
  </si>
  <si>
    <t>93</t>
  </si>
  <si>
    <t>94</t>
  </si>
  <si>
    <t>101</t>
  </si>
  <si>
    <t>102</t>
  </si>
  <si>
    <t>103</t>
  </si>
  <si>
    <t>104</t>
  </si>
  <si>
    <t>105</t>
  </si>
  <si>
    <t>111</t>
  </si>
  <si>
    <t>112</t>
  </si>
  <si>
    <t>113</t>
  </si>
  <si>
    <t>114</t>
  </si>
  <si>
    <t>115</t>
  </si>
  <si>
    <t>121</t>
  </si>
  <si>
    <t>122</t>
  </si>
  <si>
    <t>123</t>
  </si>
  <si>
    <t>124</t>
  </si>
  <si>
    <t>week</t>
  </si>
  <si>
    <t>tages</t>
  </si>
  <si>
    <t>Cum tag target</t>
  </si>
  <si>
    <t>weekly tag target</t>
  </si>
  <si>
    <t>avg weekly</t>
  </si>
  <si>
    <t>Estimated CN Escapement</t>
  </si>
  <si>
    <t>Chinook Run timing proportions</t>
  </si>
  <si>
    <t>bedwell+ursus</t>
  </si>
  <si>
    <t>Tahsis Peak</t>
  </si>
  <si>
    <t>SL</t>
  </si>
  <si>
    <t>Fence Counts</t>
  </si>
  <si>
    <t>Boat</t>
  </si>
  <si>
    <t>Snorkel</t>
  </si>
  <si>
    <t># Surveys</t>
  </si>
  <si>
    <t># of Surveys</t>
  </si>
  <si>
    <t>Stream walk</t>
  </si>
  <si>
    <t>Bank walk</t>
  </si>
  <si>
    <t>Total is the total return to the river (escapement + brood stock removals)</t>
  </si>
  <si>
    <t>Date</t>
  </si>
  <si>
    <t>Stat Week</t>
  </si>
  <si>
    <t>stat week lookup table</t>
  </si>
  <si>
    <t>Air</t>
  </si>
  <si>
    <t>Table X. Number of Surveys per System per Year (incl. all survey types)</t>
  </si>
  <si>
    <t>Table X. Number of Surveys per System per Year (snorkel only)</t>
  </si>
  <si>
    <t>-</t>
  </si>
  <si>
    <t>Aerial</t>
  </si>
  <si>
    <t>Updated based on SIL dump</t>
  </si>
  <si>
    <t>Peak survey missed based on adjacent systems, larger AUC est recommended.</t>
  </si>
  <si>
    <t>1000-2000</t>
  </si>
  <si>
    <t>System</t>
  </si>
  <si>
    <t>Survey Date</t>
  </si>
  <si>
    <t>Raw</t>
  </si>
  <si>
    <t>Qualitative AUC</t>
  </si>
  <si>
    <t>Raw AUC</t>
  </si>
  <si>
    <t>Qual AUC</t>
  </si>
  <si>
    <t>Total Adult CN</t>
  </si>
  <si>
    <t>Observer Efficiency</t>
  </si>
  <si>
    <t>Expanded Adult CN</t>
  </si>
  <si>
    <t>[t(j)-t(j-1)]*[p(j)+p(j-1)]</t>
  </si>
  <si>
    <t>First 0</t>
  </si>
  <si>
    <t>Last 0</t>
  </si>
  <si>
    <t>Max Observed</t>
  </si>
  <si>
    <t>Survey Life</t>
  </si>
  <si>
    <t>AUC Estimate</t>
  </si>
  <si>
    <t>Ursus</t>
  </si>
  <si>
    <t xml:space="preserve">dry conditions into late Sept, 20 day SL results in estimate &lt;&lt;peak obs, </t>
  </si>
  <si>
    <t>NTC crew</t>
  </si>
  <si>
    <t xml:space="preserve">EO </t>
  </si>
  <si>
    <t>NTC Mark Recapture estimate</t>
  </si>
  <si>
    <t>no fence installed</t>
  </si>
  <si>
    <t>Lower SJ</t>
  </si>
  <si>
    <t>Upper SJ</t>
  </si>
  <si>
    <t>Upper+Lower SJ</t>
  </si>
  <si>
    <t>Peak</t>
  </si>
  <si>
    <t>Expansion from peak</t>
  </si>
  <si>
    <t>Fence</t>
  </si>
  <si>
    <t>fence</t>
  </si>
  <si>
    <t>Clemens</t>
  </si>
  <si>
    <t>Obs</t>
  </si>
  <si>
    <t>Exp</t>
  </si>
  <si>
    <t>OE</t>
  </si>
  <si>
    <t>interpolation</t>
  </si>
  <si>
    <t>Residence |exp count</t>
  </si>
  <si>
    <t>Total Return</t>
  </si>
  <si>
    <t>Type-4 Relative</t>
  </si>
  <si>
    <t>Type-5 Relative</t>
  </si>
  <si>
    <t>Unknown</t>
  </si>
  <si>
    <t>Type 4 Relative</t>
  </si>
  <si>
    <t>Type 1 True</t>
  </si>
  <si>
    <t>Type 5 Relative</t>
  </si>
  <si>
    <t xml:space="preserve">Type 1 True </t>
  </si>
  <si>
    <t>Type 6 P/A</t>
  </si>
  <si>
    <t>exp from peak</t>
  </si>
  <si>
    <t>unknown</t>
  </si>
  <si>
    <t>relative: constant multi-year methods</t>
  </si>
  <si>
    <t>Type 1- True</t>
  </si>
  <si>
    <t>Type 6-P/A</t>
  </si>
  <si>
    <t>Type 3 Relative</t>
  </si>
  <si>
    <t>Cora</t>
  </si>
  <si>
    <t>Cay</t>
  </si>
  <si>
    <t>Col</t>
  </si>
  <si>
    <t>Total Exp</t>
  </si>
  <si>
    <t>Total Peak</t>
  </si>
  <si>
    <t>Low</t>
  </si>
  <si>
    <t>High</t>
  </si>
  <si>
    <t>SL 20-30</t>
  </si>
  <si>
    <t>SL 15-25</t>
  </si>
  <si>
    <t>SL default ranges based on historical use (SL applied 1995 to 2010)</t>
  </si>
  <si>
    <t>CN</t>
  </si>
  <si>
    <t>CM</t>
  </si>
  <si>
    <t>CO</t>
  </si>
  <si>
    <t>15-25</t>
  </si>
  <si>
    <t>25-35</t>
  </si>
  <si>
    <t>10-20</t>
  </si>
  <si>
    <t>Nitinat</t>
  </si>
  <si>
    <t>Conuma</t>
  </si>
  <si>
    <t>San Juan</t>
  </si>
  <si>
    <t>30-40</t>
  </si>
  <si>
    <t>SL 30-40</t>
  </si>
  <si>
    <t>SL 10-20</t>
  </si>
  <si>
    <t>Watershed area</t>
  </si>
  <si>
    <t>115 km2</t>
  </si>
  <si>
    <t>194 km2</t>
  </si>
  <si>
    <t>Lake moderated</t>
  </si>
  <si>
    <t>211 km2</t>
  </si>
  <si>
    <t>Bedwell/Ursus</t>
  </si>
  <si>
    <t>155 km2</t>
  </si>
  <si>
    <t>170 km2</t>
  </si>
  <si>
    <t>181 km2</t>
  </si>
  <si>
    <t>61 km2</t>
  </si>
  <si>
    <t>284 km2</t>
  </si>
  <si>
    <t>105 km2</t>
  </si>
  <si>
    <t>78 km2</t>
  </si>
  <si>
    <t>125 km2</t>
  </si>
  <si>
    <t>277 km2</t>
  </si>
  <si>
    <t>529 km2</t>
  </si>
  <si>
    <t>580 km2</t>
  </si>
  <si>
    <t xml:space="preserve">Carnation </t>
  </si>
  <si>
    <t>10 km2</t>
  </si>
  <si>
    <t>89 km2</t>
  </si>
  <si>
    <t>123 km2</t>
  </si>
  <si>
    <t>805 km2</t>
  </si>
  <si>
    <t>48 km2</t>
  </si>
  <si>
    <t>193 km2</t>
  </si>
  <si>
    <t>from FWA_GC.gdb</t>
  </si>
  <si>
    <t>Peak Live + Dead Pinks</t>
  </si>
  <si>
    <t>Systems</t>
  </si>
  <si>
    <t>Surveys</t>
  </si>
  <si>
    <t/>
  </si>
  <si>
    <t>Antonio's numbers (mark-recapture)</t>
  </si>
  <si>
    <t>(1376-2174)</t>
  </si>
  <si>
    <t>(2054-3295)</t>
  </si>
  <si>
    <t>(2995-6034)</t>
  </si>
  <si>
    <t>(4421-5916)</t>
  </si>
  <si>
    <t>(8469-12193)</t>
  </si>
  <si>
    <t>Roger's</t>
  </si>
  <si>
    <t>day of yr</t>
  </si>
  <si>
    <t>Fence out Oct 3</t>
  </si>
  <si>
    <t>1,218 encountered, of which 320 taken for brood, fence out Oct 3</t>
  </si>
  <si>
    <t xml:space="preserve">AUC </t>
  </si>
  <si>
    <t>Swim-ins</t>
  </si>
  <si>
    <t>Spawning Extent</t>
  </si>
  <si>
    <t>Below 22 (few in Worthless Creek)</t>
  </si>
  <si>
    <t>All tribs full of spawning CM</t>
  </si>
  <si>
    <t>Fence count</t>
  </si>
  <si>
    <t>Adults</t>
  </si>
  <si>
    <t>Jacks</t>
  </si>
  <si>
    <t>Fence in</t>
  </si>
  <si>
    <t>Fence out</t>
  </si>
  <si>
    <t>Lens</t>
  </si>
  <si>
    <t>Sockeye</t>
  </si>
  <si>
    <t>raw AUC given tag-based SL of 23 days</t>
  </si>
  <si>
    <t>exp AUC given tag-based SL of 36 days, the raw tag-based SL was 29</t>
  </si>
  <si>
    <t>raw AUC given tag-based SL of 39 days</t>
  </si>
  <si>
    <t>raw AUC given tag-based SL of 35 days</t>
  </si>
  <si>
    <t>Sept 1-Dec 1</t>
  </si>
  <si>
    <t>First/Last 0</t>
  </si>
  <si>
    <t>spwn 1-9%</t>
  </si>
  <si>
    <t>spwn 10-50%</t>
  </si>
  <si>
    <t>spwn 50-100%</t>
  </si>
  <si>
    <t>peak spwn</t>
  </si>
  <si>
    <t>Exp from peak</t>
  </si>
  <si>
    <t>Max SL</t>
  </si>
  <si>
    <t>Live</t>
  </si>
  <si>
    <t>Dead</t>
  </si>
  <si>
    <t>AdultNaturalReco</t>
  </si>
  <si>
    <t>AdultRawPLD</t>
  </si>
  <si>
    <t>AdultExpPLD</t>
  </si>
  <si>
    <t>AdultShortResidenceTime</t>
  </si>
  <si>
    <t>AdultLongResidenceTime</t>
  </si>
  <si>
    <t>AdultRawAUCLowValue</t>
  </si>
  <si>
    <t>AdultRawAUCHighValue</t>
  </si>
  <si>
    <t>AdultExpAUCLowValue</t>
  </si>
  <si>
    <t>AdultExpAUCHighValue</t>
  </si>
  <si>
    <t xml:space="preserve">Lake moderated, </t>
  </si>
  <si>
    <t>no access for fish above survey section</t>
  </si>
  <si>
    <t>Coho likely spawn above survey section</t>
  </si>
  <si>
    <t xml:space="preserve">rough estimate of river spawners from hatchery staff and swimmers, poor survey conditions </t>
  </si>
  <si>
    <t>20-30</t>
  </si>
  <si>
    <t>SJ</t>
  </si>
  <si>
    <t>Harris</t>
  </si>
  <si>
    <t>Renfrew</t>
  </si>
  <si>
    <t>EO - Type 1</t>
  </si>
  <si>
    <t>EO-Rel, Constant Multi-year</t>
  </si>
  <si>
    <t>EO-Type 1</t>
  </si>
  <si>
    <t>EO-Type 2</t>
  </si>
  <si>
    <t>Add/Sub - Type 2</t>
  </si>
  <si>
    <t>EO - Type 5</t>
  </si>
  <si>
    <t>no est in Nuseds</t>
  </si>
  <si>
    <t>EO - Type 4</t>
  </si>
  <si>
    <t>EO- Type 5</t>
  </si>
  <si>
    <t>PL+D-Type 5</t>
  </si>
  <si>
    <t>AUC - Type 5 - SJ only</t>
  </si>
  <si>
    <t>PL+D-Type 5-SJ only</t>
  </si>
  <si>
    <t>AUC-Type 6</t>
  </si>
  <si>
    <t>Other-Type 4-PL+D incl tribs</t>
  </si>
  <si>
    <t>AUC-Type 4</t>
  </si>
  <si>
    <t>PL+D-Type 3-Fence</t>
  </si>
  <si>
    <t>PL+D - Type 1</t>
  </si>
  <si>
    <t>AUC - Type 1</t>
  </si>
  <si>
    <t>EO - Type 6</t>
  </si>
  <si>
    <t>Unknown - Rel, Constant Multi-year</t>
  </si>
  <si>
    <t>Add/Sub - Type 3</t>
  </si>
  <si>
    <t>PL+D - Type 5</t>
  </si>
  <si>
    <t>no est in nuseds</t>
  </si>
  <si>
    <t>PL+D - Type 4</t>
  </si>
  <si>
    <t>EO - Unknown</t>
  </si>
  <si>
    <t>AUC - Type 5</t>
  </si>
  <si>
    <t>AUC - Type 6</t>
  </si>
  <si>
    <t>PL+D - Type 6</t>
  </si>
  <si>
    <t>AUC - Type 4</t>
  </si>
  <si>
    <t>AUC-Rel, Constant Multi-year</t>
  </si>
  <si>
    <t>EO-varying Multi-year</t>
  </si>
  <si>
    <t>add/sub-Type 4 - fence+below fence swims</t>
  </si>
  <si>
    <t>Fixed site census - Type 4</t>
  </si>
  <si>
    <t>EO-Unknown</t>
  </si>
  <si>
    <t>EO-Type 5</t>
  </si>
  <si>
    <t>AUC-Type 5</t>
  </si>
  <si>
    <t>EO-Type 5-fence &amp;swims</t>
  </si>
  <si>
    <t>EO-Type 4-partial fence &amp; swims</t>
  </si>
  <si>
    <t>Other-Type 4-fence+peak</t>
  </si>
  <si>
    <t>PL+D - Type 2 - fence</t>
  </si>
  <si>
    <t>AUC-Type 4 (no fence, netted Sept 14-Oct 2)</t>
  </si>
  <si>
    <t>SEP esc target: 4,000</t>
  </si>
  <si>
    <t>SEP esc target: 5,000</t>
  </si>
  <si>
    <t>SEP esc target:3,500?</t>
  </si>
  <si>
    <t>Sept1/Dec 1</t>
  </si>
  <si>
    <t>Upper Toquaht</t>
  </si>
  <si>
    <t>Unk</t>
  </si>
  <si>
    <t>Mult</t>
  </si>
  <si>
    <t>Enum Class</t>
  </si>
  <si>
    <t>Adult Natural Spawners in NuSEDs</t>
  </si>
  <si>
    <t>30 (J=20)</t>
  </si>
  <si>
    <t>Rel</t>
  </si>
  <si>
    <t>NI</t>
  </si>
  <si>
    <t>* Raw Peak Live + Dead weekly counts from In-season Escapement Report</t>
  </si>
  <si>
    <t>swims only</t>
  </si>
  <si>
    <t>incl hatch</t>
  </si>
  <si>
    <t>Coho</t>
  </si>
  <si>
    <t>From: SIL_Data_Request_1995-2011.xls</t>
  </si>
  <si>
    <t>otoliths</t>
  </si>
  <si>
    <t>unmarked</t>
  </si>
  <si>
    <t>Leiner H</t>
  </si>
  <si>
    <t>Conuma H</t>
  </si>
  <si>
    <t>Gold H</t>
  </si>
  <si>
    <t>Robertson</t>
  </si>
  <si>
    <t>NuSEDS</t>
  </si>
  <si>
    <t>Est type</t>
  </si>
  <si>
    <t>AP</t>
  </si>
  <si>
    <t>Type 4 (rel)</t>
  </si>
  <si>
    <t>Type 1 (true)</t>
  </si>
  <si>
    <t>Type 3 (rel)</t>
  </si>
  <si>
    <t>Adult Natural Sp</t>
  </si>
  <si>
    <t>Type 5 (rel)</t>
  </si>
  <si>
    <t>Rel Const Meth</t>
  </si>
  <si>
    <t>no estimate</t>
  </si>
  <si>
    <t>Type 6 (P/A)</t>
  </si>
  <si>
    <t>Type1 (true)</t>
  </si>
  <si>
    <t>Type 2 (true)</t>
  </si>
  <si>
    <t>Bedwell only, Ursus separate in NuSEDs</t>
  </si>
  <si>
    <t>unk</t>
  </si>
  <si>
    <t>Chinook</t>
  </si>
  <si>
    <t>From: Weekly Inseason Escapement Report</t>
  </si>
  <si>
    <t>Thornton Crk</t>
  </si>
  <si>
    <t>Salmon Crk</t>
  </si>
  <si>
    <t>Mercantile</t>
  </si>
  <si>
    <t>Staghorn</t>
  </si>
  <si>
    <t>&gt;500</t>
  </si>
  <si>
    <t>Kootowis</t>
  </si>
  <si>
    <t>Upper Kennedy</t>
  </si>
  <si>
    <t>few large adults</t>
  </si>
  <si>
    <t>elusive and dwindling</t>
  </si>
  <si>
    <t>Mercer</t>
  </si>
  <si>
    <t>very low, released a few steelhead</t>
  </si>
  <si>
    <t>returns very low</t>
  </si>
  <si>
    <t>abundant</t>
  </si>
  <si>
    <t>L. Kennedy</t>
  </si>
  <si>
    <t>SK</t>
  </si>
  <si>
    <t>2 marked</t>
  </si>
  <si>
    <t>Maggie</t>
  </si>
  <si>
    <t>Toquaht</t>
  </si>
  <si>
    <t>From: NuSEDs</t>
  </si>
  <si>
    <t>Type 1</t>
  </si>
  <si>
    <t>Type 2</t>
  </si>
  <si>
    <t>Type 3</t>
  </si>
  <si>
    <t>NI?</t>
  </si>
  <si>
    <t>Type 4</t>
  </si>
  <si>
    <t>Type-4</t>
  </si>
  <si>
    <t>Type 5</t>
  </si>
  <si>
    <t>Total Return to the river</t>
  </si>
  <si>
    <t>Type</t>
  </si>
  <si>
    <t>NuSEDs</t>
  </si>
  <si>
    <t>Classification</t>
  </si>
  <si>
    <t>Ad Nat Spwn</t>
  </si>
  <si>
    <t>Type-1</t>
  </si>
  <si>
    <t>Type-2</t>
  </si>
  <si>
    <t>Type*</t>
  </si>
  <si>
    <t>Type-3</t>
  </si>
  <si>
    <t>Type-5</t>
  </si>
  <si>
    <t>*No brood or jacks (Ad Nat = Total Return)</t>
  </si>
  <si>
    <t>Type-6</t>
  </si>
  <si>
    <t>Rel-Cons</t>
  </si>
  <si>
    <t>Rel Const Multi</t>
  </si>
  <si>
    <t>Type 1 (True Abund)</t>
  </si>
  <si>
    <t>Type 2 (True Abund)</t>
  </si>
  <si>
    <t>Type 4 (Rel Abund)</t>
  </si>
  <si>
    <t>Type 3 (Rel Abund)</t>
  </si>
  <si>
    <t>Type 5 (Rel Abund)</t>
  </si>
  <si>
    <t>poor visibility</t>
  </si>
  <si>
    <t>ESSR fisheries in the lower river coordinated with Conuma brood removals (~7k by late Sept)</t>
  </si>
  <si>
    <t>peak</t>
  </si>
  <si>
    <t>73</t>
  </si>
  <si>
    <t>74</t>
  </si>
  <si>
    <t>75</t>
  </si>
  <si>
    <t>Rel:Cons</t>
  </si>
  <si>
    <t>AUC:20</t>
  </si>
  <si>
    <t>Both</t>
  </si>
  <si>
    <t>Upper</t>
  </si>
  <si>
    <t>Lower</t>
  </si>
  <si>
    <t>Upper Megin surveys limited</t>
  </si>
  <si>
    <t>Only one survey of upper river</t>
  </si>
  <si>
    <t>#/max</t>
  </si>
  <si>
    <t>#/sum</t>
  </si>
  <si>
    <t>Cumulative Total</t>
  </si>
  <si>
    <t>from NuSEDs</t>
  </si>
  <si>
    <t>Rel: Const Multiyear Methods</t>
  </si>
  <si>
    <t>Clasification</t>
  </si>
  <si>
    <t>Type 6</t>
  </si>
  <si>
    <t>Drought in Sept, 35k dead in estuary</t>
  </si>
  <si>
    <t>Heavy rains Oct-Nov, poor survey conditions</t>
  </si>
  <si>
    <t>Expansion</t>
  </si>
  <si>
    <t>Bedwell+Ursus</t>
  </si>
  <si>
    <t>Col:25, Cay: 30</t>
  </si>
  <si>
    <t>type 4</t>
  </si>
  <si>
    <t>day</t>
  </si>
  <si>
    <t>~3500</t>
  </si>
  <si>
    <t>fair vis</t>
  </si>
  <si>
    <t>poor vis</t>
  </si>
  <si>
    <t>PL+D-Type 4</t>
  </si>
  <si>
    <t>heli</t>
  </si>
  <si>
    <t>streamwalk</t>
  </si>
  <si>
    <t>PL+D Type 3</t>
  </si>
  <si>
    <t>PL+D Type 6</t>
  </si>
  <si>
    <t>med</t>
  </si>
  <si>
    <t xml:space="preserve">CO </t>
  </si>
  <si>
    <t xml:space="preserve">Gold River Pumphouse Pool </t>
  </si>
  <si>
    <t>snkl</t>
  </si>
  <si>
    <t>aerial</t>
  </si>
  <si>
    <t>Conuma Hatchery Staff</t>
  </si>
  <si>
    <t>bankwalk</t>
  </si>
  <si>
    <t>Lower Gold (Big Bend to Ward Creek)</t>
  </si>
  <si>
    <t>Pumphouse pool and 400m down</t>
  </si>
  <si>
    <t>Pumphouse pool only</t>
  </si>
  <si>
    <t>Big Bend and Heber Junction</t>
  </si>
  <si>
    <t>PL+D Type 5</t>
  </si>
  <si>
    <t>Spawning dist from K.Hyatt</t>
  </si>
  <si>
    <t>Clayquot Arm</t>
  </si>
  <si>
    <t>Main Arm</t>
  </si>
  <si>
    <t>Hatchery Beach in Clayoquot Arm</t>
  </si>
  <si>
    <t>Clayoquot Arm - other</t>
  </si>
  <si>
    <t>Main Arm - mostly Highway Beach</t>
  </si>
  <si>
    <t>Tributaries</t>
  </si>
  <si>
    <t>Upper Kennedy River</t>
  </si>
  <si>
    <t>Clayoquot River</t>
  </si>
  <si>
    <t>Cold Creek</t>
  </si>
  <si>
    <t>Muriel Lake sub-basin</t>
  </si>
  <si>
    <t>Exp from KH</t>
  </si>
  <si>
    <t>Table. X 1995-2019 Sarita Observed Chum Counts</t>
  </si>
  <si>
    <t>washed out by storm overnight</t>
  </si>
  <si>
    <t>.</t>
  </si>
  <si>
    <t>Species</t>
  </si>
  <si>
    <t>Aug 18-24</t>
  </si>
  <si>
    <t xml:space="preserve"> Aug 25-31</t>
  </si>
  <si>
    <t>Sep 1-7</t>
  </si>
  <si>
    <t>Sept 8-14</t>
  </si>
  <si>
    <t>Sept 15-21</t>
  </si>
  <si>
    <t>Sept 22-28</t>
  </si>
  <si>
    <t>Sep 29-Oct 5</t>
  </si>
  <si>
    <t>Oct 6-12</t>
  </si>
  <si>
    <t>Oct 13-19</t>
  </si>
  <si>
    <t>Oct 20-26</t>
  </si>
  <si>
    <t>Oct 27-Nov 2</t>
  </si>
  <si>
    <t>Nov 3-9</t>
  </si>
  <si>
    <t>Nov 10-16</t>
  </si>
  <si>
    <t>Nov 17-23</t>
  </si>
  <si>
    <t>Nov 24-30</t>
  </si>
  <si>
    <t>Dec 1-7</t>
  </si>
  <si>
    <t>Dec 8-14</t>
  </si>
  <si>
    <t>Dec 15-21</t>
  </si>
  <si>
    <t>Dec 22-28</t>
  </si>
  <si>
    <t>Dec 29-31</t>
  </si>
  <si>
    <t>Jan 1-4</t>
  </si>
  <si>
    <t>Jan 5-11</t>
  </si>
  <si>
    <t>Jan 12-18</t>
  </si>
  <si>
    <t>Prelim Esc Est</t>
  </si>
  <si>
    <t>LEINER RIVER</t>
  </si>
  <si>
    <t>Chum</t>
  </si>
  <si>
    <t>TAHSIS RIVER</t>
  </si>
  <si>
    <t>ZEBALLOS RIVER</t>
  </si>
  <si>
    <t>Extrapolating timing curves for Zeballos from Tahsis and Leiner</t>
  </si>
  <si>
    <t>Est</t>
  </si>
  <si>
    <t>Exp AUC</t>
  </si>
  <si>
    <t>Index escapements (in-filled)</t>
  </si>
  <si>
    <t>infilled</t>
  </si>
  <si>
    <t>Area</t>
  </si>
  <si>
    <t>Name</t>
  </si>
  <si>
    <t>Spc</t>
  </si>
  <si>
    <t>Method</t>
  </si>
  <si>
    <t>LiveAdults</t>
  </si>
  <si>
    <t>DeadAdults</t>
  </si>
  <si>
    <t>TotalAdults</t>
  </si>
  <si>
    <t>LiveJacks</t>
  </si>
  <si>
    <t>DeadJacks</t>
  </si>
  <si>
    <t>TotalJacks</t>
  </si>
  <si>
    <t>OverallReliability</t>
  </si>
  <si>
    <t>EstPctSeen</t>
  </si>
  <si>
    <t>ObsEfficiency</t>
  </si>
  <si>
    <t>ExpLiveAdults</t>
  </si>
  <si>
    <t>ExpDeadAdults</t>
  </si>
  <si>
    <t>ExpLiveJacks</t>
  </si>
  <si>
    <t>ExpDeadJacks</t>
  </si>
  <si>
    <t>NITINAT RIVER</t>
  </si>
  <si>
    <t>H</t>
  </si>
  <si>
    <t>M</t>
  </si>
  <si>
    <t>AUC, Type 3</t>
  </si>
  <si>
    <t>PL+D Type 4</t>
  </si>
  <si>
    <t>Table. X 1995-2021 Sarita Observed Chinook Counts</t>
  </si>
  <si>
    <t>Table. X 1995-2021 Sarita Observed Coho Counts</t>
  </si>
  <si>
    <t>Table. X 1995-2021 Nahmint  Observed Chum Counts</t>
  </si>
  <si>
    <t>Table. X 1995-2021 Cypre Observed Chum Counts</t>
  </si>
  <si>
    <t>Table. X 1995-2021 Kaouk Observed Coho Counts</t>
  </si>
  <si>
    <t>Table. X 1995-2021 Marble Observed Chum Counts</t>
  </si>
  <si>
    <t>Table. X 1995-2021 Nitinat Observed Chum Counts</t>
  </si>
  <si>
    <t>Table. X 1995-2021 Conuma Observed Chum Counts</t>
  </si>
  <si>
    <t>Table. X 1981-2021 Clemens Observed Sockeye Counts</t>
  </si>
  <si>
    <t>Table. X 1995-2021 Atleo  Observed Chinook Counts</t>
  </si>
  <si>
    <t>Table. X 1995-2021 Atleo Observed Coho Counts</t>
  </si>
  <si>
    <t>Table. X 1995-2021 Atleo  Observed Chum Counts</t>
  </si>
  <si>
    <t>DFO</t>
  </si>
  <si>
    <t>Section</t>
  </si>
  <si>
    <t>Gold</t>
  </si>
  <si>
    <t>Oktwanch</t>
  </si>
  <si>
    <t>Muchalat</t>
  </si>
  <si>
    <t>missed</t>
  </si>
  <si>
    <t>1350-1500</t>
  </si>
  <si>
    <t>~440</t>
  </si>
  <si>
    <t>flood,1-lake only</t>
  </si>
  <si>
    <t>ARTLISH RIVER</t>
  </si>
  <si>
    <t>KAOUK RIVER</t>
  </si>
  <si>
    <t>COLONIAL CREEK</t>
  </si>
  <si>
    <t>from SIL</t>
  </si>
  <si>
    <t>poor vis, and water conditions</t>
  </si>
  <si>
    <t>Col/Cay</t>
  </si>
  <si>
    <t>9-8</t>
  </si>
  <si>
    <t>7-6</t>
  </si>
  <si>
    <t>8-7</t>
  </si>
  <si>
    <t>6-5</t>
  </si>
  <si>
    <t>5-4</t>
  </si>
  <si>
    <t>4-3</t>
  </si>
  <si>
    <t>3-2</t>
  </si>
  <si>
    <t>2-1</t>
  </si>
  <si>
    <t>1-0</t>
  </si>
  <si>
    <t>% 1-hatch.</t>
  </si>
  <si>
    <t>Lake to hatch.</t>
  </si>
  <si>
    <t>CM in Worthless, indicates a decent return</t>
  </si>
  <si>
    <t>Nitinat CN</t>
  </si>
  <si>
    <t>Nitinat CM</t>
  </si>
  <si>
    <t>Adult</t>
  </si>
  <si>
    <t>Jk</t>
  </si>
  <si>
    <t>Drone</t>
  </si>
  <si>
    <t>Most below marker 2 centered on Sturgeon pool, and 10 in the pumphouse pool</t>
  </si>
  <si>
    <t>Fish</t>
  </si>
  <si>
    <t>9500 in the Lake, the rest between marker 2 and the Lake</t>
  </si>
  <si>
    <t>Fish-days</t>
  </si>
  <si>
    <t xml:space="preserve"> </t>
  </si>
  <si>
    <t>Fence Jun 18-Sep 2</t>
  </si>
  <si>
    <t>hatchery</t>
  </si>
  <si>
    <t>auc</t>
  </si>
  <si>
    <t>live</t>
  </si>
  <si>
    <t>dead</t>
  </si>
  <si>
    <t>Exp P</t>
  </si>
  <si>
    <t>Low water through Oct 23 delayed entry and spawining</t>
  </si>
  <si>
    <t>Colonial</t>
  </si>
  <si>
    <t>First 0 Sep 1</t>
  </si>
  <si>
    <t>Col+Cay</t>
  </si>
  <si>
    <t>First 0 Aug 20</t>
  </si>
  <si>
    <t>Somass SK esc</t>
  </si>
  <si>
    <t>NOTES</t>
  </si>
  <si>
    <t>brood</t>
  </si>
  <si>
    <t>spawners after ESSR</t>
  </si>
  <si>
    <t>return</t>
  </si>
  <si>
    <t>in-river</t>
  </si>
  <si>
    <t>+</t>
  </si>
  <si>
    <t>ESSR in-river Sep 22-25</t>
  </si>
  <si>
    <t>Raw cum</t>
  </si>
  <si>
    <t>AUC in-river</t>
  </si>
  <si>
    <t>brood added</t>
  </si>
  <si>
    <t>est in-river</t>
  </si>
  <si>
    <t>minus ESSR</t>
  </si>
  <si>
    <t>minus brood</t>
  </si>
  <si>
    <t>jacks</t>
  </si>
  <si>
    <t>Table. X 1995-2023 Nahmint Observed Chinook Counts</t>
  </si>
  <si>
    <t>Table. X 1995-2023 Nahmint Observed Coho Counts</t>
  </si>
  <si>
    <t>Table. X 2003-2023 Nahmint Observed Sockeye Counts</t>
  </si>
  <si>
    <t>Table. X 1995-2023 Bedwell Observed Chinook Counts</t>
  </si>
  <si>
    <t>Table. X 1995-2023 Bedwell Observed Coho Counts</t>
  </si>
  <si>
    <t>Table. X 1995-2023 Bedwell  Observed Chum Counts</t>
  </si>
  <si>
    <t>Table. X 2011-2023 Bedwell Observed Sockeye Counts</t>
  </si>
  <si>
    <t>Table. X 1995-2023 Moyeha  Observed Chum Counts</t>
  </si>
  <si>
    <t>Table. X 1995-2023 Moyeha Observed Coho Counts</t>
  </si>
  <si>
    <t>Table. X 1995-2023 Moyeha  Observed Chinook Counts</t>
  </si>
  <si>
    <t>Table. X 1995-2023 Megin Observed Chinook Counts</t>
  </si>
  <si>
    <t>Table. X 1995-2023 Megin Observed Coho Counts</t>
  </si>
  <si>
    <t>Table. X 1995-2023 Megin  Observed Chum Counts</t>
  </si>
  <si>
    <t>Table. X 1995-2023 Tranquil Observed Chinook Counts</t>
  </si>
  <si>
    <t>Table. X 1995-2023 Tranquil Observed Coho Counts</t>
  </si>
  <si>
    <t>Table. X 1995-2023 Zeballos Observed Coho Counts</t>
  </si>
  <si>
    <t>Table. X 1995-2023 Zeballos Observed Chum Counts</t>
  </si>
  <si>
    <t>Table. X 1995-2023 Zeballos Observed Sockeye Counts</t>
  </si>
  <si>
    <t>Table. X 1995-2023 Tranquil  Observed Chum Counts</t>
  </si>
  <si>
    <t>Table. X 2011-2023 Tranquil  Observed Sockeye Counts</t>
  </si>
  <si>
    <t>Table. X 1995-2023 Cypre Observed Chinook Counts</t>
  </si>
  <si>
    <t>Table. X 1995-2023 Cypre Observed Coho Counts</t>
  </si>
  <si>
    <t>Table. X 1995-2023 Burman Observed Chum Counts</t>
  </si>
  <si>
    <t>Table. X 1995-2023 Burman Observed Coho Counts</t>
  </si>
  <si>
    <t>Table. X 1995-2023 Burman Observed Chinook Counts</t>
  </si>
  <si>
    <t>Table. X 2011-2023  Burman Observed Sockeye Counts</t>
  </si>
  <si>
    <t>Table. X 2011-2023 Gold Observed Chinook Counts</t>
  </si>
  <si>
    <t>Table. X 2023 Gold Observed Steelhead Counts</t>
  </si>
  <si>
    <t>Table. X 2023 Gold Observed Sockeye Counts</t>
  </si>
  <si>
    <t>Table. X 2023 Gold Observed Chum Counts</t>
  </si>
  <si>
    <t>Table. X 2011-2023 Gold Observed Coho Counts</t>
  </si>
  <si>
    <t>Table. X 1995-2023 Tahsis Observed Live Chinook Counts</t>
  </si>
  <si>
    <t>Table. X 1995-2023 Tahsis Observed live Coho Counts</t>
  </si>
  <si>
    <t>Table. X 1995-2023 Tahsis Observed Live Chum Counts</t>
  </si>
  <si>
    <t>Table. X 2011-2023 Tahsis  Observed LiveSockeye Counts</t>
  </si>
  <si>
    <t>Table. X 1995-2023 Leiner Observed Chinook Counts</t>
  </si>
  <si>
    <t>Table. X 1995-2023 Leiner Observed Coho Counts</t>
  </si>
  <si>
    <t>Table. X 1995-2023 Leiner Observed Chum Counts</t>
  </si>
  <si>
    <t>Table. X 2011-2023 Leiner  Observed Sockeye Counts</t>
  </si>
  <si>
    <t>Table. X 1995-2023 Zeballos Observed Chinook Counts</t>
  </si>
  <si>
    <t>Table. X 1995-2023 Kaouk Observed Chinook Counts</t>
  </si>
  <si>
    <t>Table. X 1995-2023 Kaouk Observed Chum Counts</t>
  </si>
  <si>
    <t>Table. X 1995-2023 Artlish Observed Chinook Counts</t>
  </si>
  <si>
    <t>Table. X 1995-2023 Artlish Observed Coho Counts</t>
  </si>
  <si>
    <t>Table. X 1995-2023 Artlish Observed Chum Counts</t>
  </si>
  <si>
    <t>Table. X 1995-2023 Tahsish Observed Chinook Counts</t>
  </si>
  <si>
    <t>Table. X 1995-2023 Tahsish Observed Coho Counts</t>
  </si>
  <si>
    <t>Table. X 1995-2023 Tahsish Observed Chum Counts</t>
  </si>
  <si>
    <t>Table. X 2011-2023 Malksope Observed Chinook Counts</t>
  </si>
  <si>
    <t>Table. X 2011-2023 Malksope Observed Coho Counts</t>
  </si>
  <si>
    <t>Table. X 2011-2023 Malksope Observed Chum Counts</t>
  </si>
  <si>
    <t>Table. X 1995-2023 Marble Observed Chinook Counts</t>
  </si>
  <si>
    <t>Table. X 1995-2023 Marble Observed Coho Counts</t>
  </si>
  <si>
    <t>Table. X 1995-2023 Cayeghle/Colonial System Observed Chinook Counts</t>
  </si>
  <si>
    <t>Table. X 1995-2023 Cayeghle/Colonial System Observed Coho Counts</t>
  </si>
  <si>
    <t>Table. X 1995-2023 Cayeghle/Colonial System Observed Chum Counts</t>
  </si>
  <si>
    <t>Table. X 1995-2023 Nitinat Observed Chinook Counts</t>
  </si>
  <si>
    <t>Table. X 1995-2023 Nitinat Observed Coho Counts</t>
  </si>
  <si>
    <t>Table. X 1995-2023 Conuma Observed Chinook Counts</t>
  </si>
  <si>
    <t>Table. X 1995-2023 Conuma Observed Coho Counts</t>
  </si>
  <si>
    <t>Table. X 1995-2023 Conuma Observed Sockeye Counts</t>
  </si>
  <si>
    <t>Table. X 1995-2023 Toquaht Observed Chinook Counts</t>
  </si>
  <si>
    <t>Table. X 1995-2023 Toquaht Observed Coho Counts</t>
  </si>
  <si>
    <t>Table. X 1995-2023 Toquaht Observed Chum Counts</t>
  </si>
  <si>
    <t>Table. X 1995-2023 Toquaht Observed Sockeye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</si>
</sst>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dd\-mmm\-yy"/>
    <numFmt numFmtId="168" formatCode="0.000"/>
  </numFmts>
  <fonts count="82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MS Sans Serif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0"/>
      <name val="MS Sans Serif"/>
      <family val="2"/>
    </font>
    <font>
      <b/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9"/>
      <color theme="9" tint="-0.249977111117893"/>
      <name val="Arial"/>
      <family val="2"/>
    </font>
    <font>
      <b/>
      <sz val="9"/>
      <color rgb="FFC00000"/>
      <name val="Arial"/>
      <family val="2"/>
    </font>
    <font>
      <b/>
      <u/>
      <sz val="10"/>
      <color indexed="8"/>
      <name val="Arial"/>
      <family val="2"/>
    </font>
    <font>
      <sz val="11"/>
      <color rgb="FF000000"/>
      <name val="Calibri"/>
      <family val="2"/>
    </font>
    <font>
      <u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u/>
      <sz val="9"/>
      <name val="Arial"/>
      <family val="2"/>
    </font>
    <font>
      <b/>
      <u/>
      <sz val="10"/>
      <name val="Arial"/>
      <family val="2"/>
    </font>
    <font>
      <i/>
      <sz val="9"/>
      <color theme="9" tint="-0.249977111117893"/>
      <name val="Arial"/>
      <family val="2"/>
    </font>
    <font>
      <b/>
      <u/>
      <sz val="10"/>
      <color rgb="FFFF0000"/>
      <name val="Arial"/>
      <family val="2"/>
    </font>
    <font>
      <b/>
      <u/>
      <sz val="10"/>
      <color rgb="FF0000FF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color theme="0"/>
      <name val="MS Sans Serif"/>
    </font>
    <font>
      <u/>
      <sz val="10"/>
      <color rgb="FF0000FF"/>
      <name val="Arial"/>
      <family val="2"/>
    </font>
    <font>
      <b/>
      <u val="singleAccounting"/>
      <sz val="10"/>
      <color indexed="8"/>
      <name val="Arial"/>
      <family val="2"/>
    </font>
    <font>
      <b/>
      <u/>
      <sz val="10"/>
      <name val="MS Sans Serif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FF0000"/>
      <name val="MS Sans Serif"/>
    </font>
    <font>
      <u/>
      <sz val="10"/>
      <name val="MS Sans Serif"/>
    </font>
    <font>
      <b/>
      <sz val="10"/>
      <color rgb="FF0000FF"/>
      <name val="MS Sans Serif"/>
    </font>
    <font>
      <b/>
      <u/>
      <sz val="10"/>
      <color rgb="FFFF0000"/>
      <name val="MS Sans Serif"/>
    </font>
    <font>
      <sz val="10"/>
      <color rgb="FF0000FF"/>
      <name val="MS Sans Serif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b/>
      <sz val="10"/>
      <name val="MS Sans Serif"/>
    </font>
    <font>
      <b/>
      <u/>
      <sz val="9"/>
      <color rgb="FF0000FF"/>
      <name val="Arial"/>
      <family val="2"/>
    </font>
    <font>
      <u/>
      <sz val="9"/>
      <color rgb="FF0000FF"/>
      <name val="Arial"/>
      <family val="2"/>
    </font>
    <font>
      <b/>
      <u/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rgb="FF0000CC"/>
      <name val="Arial"/>
      <family val="2"/>
    </font>
    <font>
      <sz val="9"/>
      <color rgb="FFFF0000"/>
      <name val="Arial"/>
      <family val="2"/>
    </font>
    <font>
      <sz val="9"/>
      <color rgb="FF0000CC"/>
      <name val="Arial"/>
      <family val="2"/>
    </font>
    <font>
      <sz val="11"/>
      <color theme="6" tint="-0.249977111117893"/>
      <name val="Calibri"/>
      <family val="2"/>
    </font>
    <font>
      <sz val="10"/>
      <color theme="6" tint="-0.249977111117893"/>
      <name val="MS Sans Serif"/>
    </font>
    <font>
      <b/>
      <sz val="11"/>
      <color theme="6" tint="-0.249977111117893"/>
      <name val="Calibri"/>
      <family val="2"/>
    </font>
    <font>
      <b/>
      <sz val="10"/>
      <color theme="6" tint="-0.249977111117893"/>
      <name val="MS Sans Serif"/>
    </font>
    <font>
      <b/>
      <sz val="11"/>
      <name val="Calibri"/>
      <family val="2"/>
    </font>
    <font>
      <b/>
      <sz val="11"/>
      <color indexed="8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darkUp">
        <fgColor theme="3" tint="0.39994506668294322"/>
        <bgColor rgb="FF92D05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0000"/>
        <bgColor indexed="0"/>
      </patternFill>
    </fill>
    <fill>
      <patternFill patternType="lightUp">
        <fgColor rgb="FFFF99CC"/>
        <bgColor rgb="FF99CCFF"/>
      </patternFill>
    </fill>
  </fills>
  <borders count="4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 style="thin">
        <color indexed="64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5">
    <xf numFmtId="0" fontId="0" fillId="0" borderId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2" fontId="3" fillId="0" borderId="0"/>
    <xf numFmtId="0" fontId="6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32" fillId="0" borderId="0"/>
    <xf numFmtId="0" fontId="3" fillId="0" borderId="0"/>
    <xf numFmtId="0" fontId="1" fillId="0" borderId="0"/>
    <xf numFmtId="0" fontId="42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34">
    <xf numFmtId="0" fontId="0" fillId="0" borderId="0" xfId="0"/>
    <xf numFmtId="0" fontId="3" fillId="0" borderId="0" xfId="5" applyAlignment="1">
      <alignment horizontal="center" vertical="center"/>
    </xf>
    <xf numFmtId="0" fontId="3" fillId="0" borderId="0" xfId="5"/>
    <xf numFmtId="0" fontId="5" fillId="0" borderId="2" xfId="5" applyFont="1" applyBorder="1" applyAlignment="1">
      <alignment horizontal="left" vertical="center"/>
    </xf>
    <xf numFmtId="0" fontId="3" fillId="0" borderId="2" xfId="5" applyBorder="1" applyAlignment="1">
      <alignment horizontal="center" vertical="center"/>
    </xf>
    <xf numFmtId="0" fontId="3" fillId="0" borderId="3" xfId="5" applyBorder="1" applyAlignment="1">
      <alignment horizontal="center" vertical="center"/>
    </xf>
    <xf numFmtId="0" fontId="3" fillId="0" borderId="0" xfId="5" applyNumberFormat="1" applyBorder="1" applyAlignment="1">
      <alignment horizontal="center" vertical="center"/>
    </xf>
    <xf numFmtId="0" fontId="6" fillId="0" borderId="0" xfId="5" applyFont="1" applyBorder="1" applyAlignment="1">
      <alignment horizontal="center" vertical="center"/>
    </xf>
    <xf numFmtId="0" fontId="3" fillId="0" borderId="0" xfId="5" applyAlignment="1">
      <alignment vertical="center"/>
    </xf>
    <xf numFmtId="1" fontId="6" fillId="0" borderId="0" xfId="3" applyNumberFormat="1" applyFont="1" applyBorder="1" applyAlignment="1">
      <alignment horizontal="center" vertical="center"/>
    </xf>
    <xf numFmtId="1" fontId="6" fillId="0" borderId="0" xfId="5" applyNumberFormat="1" applyFont="1" applyBorder="1" applyAlignment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6" fillId="0" borderId="0" xfId="5" applyFont="1" applyFill="1" applyAlignment="1">
      <alignment horizontal="center" vertical="center"/>
    </xf>
    <xf numFmtId="0" fontId="3" fillId="0" borderId="0" xfId="5" applyBorder="1" applyAlignment="1">
      <alignment horizontal="center" vertical="center"/>
    </xf>
    <xf numFmtId="0" fontId="3" fillId="0" borderId="0" xfId="5" applyFont="1" applyAlignment="1">
      <alignment horizontal="center" vertical="center"/>
    </xf>
    <xf numFmtId="2" fontId="3" fillId="0" borderId="4" xfId="5" applyNumberFormat="1" applyFill="1" applyBorder="1" applyAlignment="1">
      <alignment horizontal="center" vertical="center"/>
    </xf>
    <xf numFmtId="1" fontId="3" fillId="0" borderId="4" xfId="5" applyNumberFormat="1" applyFill="1" applyBorder="1" applyAlignment="1">
      <alignment horizontal="center" vertical="center"/>
    </xf>
    <xf numFmtId="0" fontId="3" fillId="0" borderId="4" xfId="5" applyFill="1" applyBorder="1" applyAlignment="1">
      <alignment horizontal="center" vertical="center"/>
    </xf>
    <xf numFmtId="0" fontId="3" fillId="0" borderId="4" xfId="5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0" fillId="0" borderId="0" xfId="0" applyNumberFormat="1"/>
    <xf numFmtId="0" fontId="7" fillId="0" borderId="0" xfId="5" applyFont="1" applyFill="1" applyBorder="1" applyAlignment="1">
      <alignment horizontal="center" vertical="center"/>
    </xf>
    <xf numFmtId="0" fontId="3" fillId="0" borderId="4" xfId="5" applyBorder="1" applyAlignment="1">
      <alignment horizontal="center" vertical="center" wrapText="1"/>
    </xf>
    <xf numFmtId="2" fontId="3" fillId="0" borderId="4" xfId="5" applyNumberFormat="1" applyBorder="1" applyAlignment="1">
      <alignment horizontal="center" vertical="center"/>
    </xf>
    <xf numFmtId="1" fontId="3" fillId="0" borderId="4" xfId="5" applyNumberFormat="1" applyBorder="1" applyAlignment="1">
      <alignment horizontal="center" vertical="center"/>
    </xf>
    <xf numFmtId="0" fontId="3" fillId="0" borderId="0" xfId="5" applyAlignment="1">
      <alignment horizontal="center"/>
    </xf>
    <xf numFmtId="0" fontId="3" fillId="0" borderId="0" xfId="5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7" fillId="0" borderId="0" xfId="5" applyFont="1" applyBorder="1" applyAlignment="1">
      <alignment horizontal="center" vertical="center"/>
    </xf>
    <xf numFmtId="0" fontId="7" fillId="0" borderId="0" xfId="5" applyFont="1" applyFill="1" applyAlignment="1">
      <alignment horizontal="center" vertical="center"/>
    </xf>
    <xf numFmtId="0" fontId="3" fillId="2" borderId="0" xfId="5" applyFont="1" applyFill="1" applyAlignment="1">
      <alignment horizontal="left" vertical="center"/>
    </xf>
    <xf numFmtId="0" fontId="3" fillId="2" borderId="0" xfId="5" applyFill="1" applyAlignment="1">
      <alignment horizontal="center" vertical="center"/>
    </xf>
    <xf numFmtId="0" fontId="3" fillId="2" borderId="2" xfId="5" applyFont="1" applyFill="1" applyBorder="1" applyAlignment="1">
      <alignment horizontal="left" vertical="center"/>
    </xf>
    <xf numFmtId="0" fontId="3" fillId="2" borderId="2" xfId="5" applyFill="1" applyBorder="1" applyAlignment="1">
      <alignment horizontal="center" vertical="center"/>
    </xf>
    <xf numFmtId="0" fontId="3" fillId="2" borderId="3" xfId="5" applyFill="1" applyBorder="1" applyAlignment="1">
      <alignment horizontal="center" vertical="center"/>
    </xf>
    <xf numFmtId="0" fontId="3" fillId="2" borderId="4" xfId="5" applyFill="1" applyBorder="1" applyAlignment="1">
      <alignment horizontal="center" vertical="center"/>
    </xf>
    <xf numFmtId="0" fontId="3" fillId="2" borderId="0" xfId="5" applyNumberFormat="1" applyFill="1" applyBorder="1" applyAlignment="1">
      <alignment horizontal="center" vertical="center"/>
    </xf>
    <xf numFmtId="0" fontId="3" fillId="2" borderId="0" xfId="5" applyFill="1" applyBorder="1" applyAlignment="1">
      <alignment horizontal="center" vertical="center"/>
    </xf>
    <xf numFmtId="0" fontId="6" fillId="2" borderId="0" xfId="5" applyFont="1" applyFill="1" applyBorder="1" applyAlignment="1">
      <alignment horizontal="center" vertical="center"/>
    </xf>
    <xf numFmtId="1" fontId="6" fillId="2" borderId="0" xfId="3" applyNumberFormat="1" applyFont="1" applyFill="1" applyBorder="1" applyAlignment="1">
      <alignment horizontal="center" vertical="center"/>
    </xf>
    <xf numFmtId="1" fontId="6" fillId="2" borderId="0" xfId="5" applyNumberFormat="1" applyFont="1" applyFill="1" applyBorder="1" applyAlignment="1">
      <alignment horizontal="center" vertical="center"/>
    </xf>
    <xf numFmtId="0" fontId="6" fillId="2" borderId="0" xfId="5" applyFont="1" applyFill="1" applyAlignment="1">
      <alignment horizontal="center" vertical="center"/>
    </xf>
    <xf numFmtId="0" fontId="3" fillId="2" borderId="4" xfId="5" applyFill="1" applyBorder="1" applyAlignment="1">
      <alignment horizontal="center" vertical="center" wrapText="1"/>
    </xf>
    <xf numFmtId="2" fontId="3" fillId="2" borderId="4" xfId="5" applyNumberForma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left" vertical="center"/>
    </xf>
    <xf numFmtId="0" fontId="7" fillId="2" borderId="0" xfId="5" applyFont="1" applyFill="1" applyBorder="1" applyAlignment="1">
      <alignment horizontal="center" vertical="center"/>
    </xf>
    <xf numFmtId="0" fontId="7" fillId="2" borderId="0" xfId="5" applyFont="1" applyFill="1" applyAlignment="1">
      <alignment horizontal="center" vertical="center"/>
    </xf>
    <xf numFmtId="0" fontId="3" fillId="2" borderId="0" xfId="5" applyFill="1"/>
    <xf numFmtId="0" fontId="0" fillId="0" borderId="0" xfId="0" applyNumberFormat="1" applyBorder="1" applyAlignment="1">
      <alignment horizontal="center" vertical="center"/>
    </xf>
    <xf numFmtId="0" fontId="3" fillId="0" borderId="4" xfId="5" applyFont="1" applyBorder="1" applyAlignment="1">
      <alignment horizontal="center" vertical="center" wrapText="1"/>
    </xf>
    <xf numFmtId="164" fontId="3" fillId="0" borderId="4" xfId="5" applyNumberFormat="1" applyBorder="1" applyAlignment="1">
      <alignment horizontal="center" vertical="center"/>
    </xf>
    <xf numFmtId="1" fontId="3" fillId="0" borderId="0" xfId="5" applyNumberFormat="1" applyAlignment="1">
      <alignment vertical="center"/>
    </xf>
    <xf numFmtId="1" fontId="6" fillId="0" borderId="0" xfId="5" applyNumberFormat="1" applyFont="1" applyFill="1" applyAlignment="1">
      <alignment horizontal="center" vertical="center"/>
    </xf>
    <xf numFmtId="1" fontId="3" fillId="0" borderId="0" xfId="5" applyNumberFormat="1" applyAlignment="1">
      <alignment horizontal="center" vertical="center"/>
    </xf>
    <xf numFmtId="0" fontId="3" fillId="0" borderId="0" xfId="5" applyBorder="1"/>
    <xf numFmtId="1" fontId="3" fillId="0" borderId="0" xfId="5" applyNumberFormat="1"/>
    <xf numFmtId="1" fontId="6" fillId="0" borderId="0" xfId="5" applyNumberFormat="1" applyFont="1" applyFill="1" applyBorder="1" applyAlignment="1">
      <alignment horizontal="center" vertical="center"/>
    </xf>
    <xf numFmtId="1" fontId="3" fillId="0" borderId="0" xfId="5" applyNumberFormat="1" applyBorder="1" applyAlignment="1">
      <alignment horizontal="center" vertical="center"/>
    </xf>
    <xf numFmtId="1" fontId="7" fillId="0" borderId="0" xfId="5" applyNumberFormat="1" applyFont="1" applyFill="1" applyBorder="1" applyAlignment="1">
      <alignment horizontal="center" vertical="center"/>
    </xf>
    <xf numFmtId="1" fontId="3" fillId="0" borderId="0" xfId="5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3" fillId="0" borderId="0" xfId="5" applyNumberFormat="1" applyFont="1" applyAlignment="1">
      <alignment horizontal="center" vertical="center"/>
    </xf>
    <xf numFmtId="1" fontId="3" fillId="0" borderId="4" xfId="5" applyNumberFormat="1" applyFont="1" applyFill="1" applyBorder="1" applyAlignment="1">
      <alignment horizontal="center" vertical="center"/>
    </xf>
    <xf numFmtId="0" fontId="3" fillId="2" borderId="0" xfId="5" applyFill="1" applyBorder="1" applyAlignment="1">
      <alignment horizontal="center" vertical="center" wrapText="1"/>
    </xf>
    <xf numFmtId="2" fontId="3" fillId="2" borderId="0" xfId="5" applyNumberFormat="1" applyFill="1" applyBorder="1" applyAlignment="1">
      <alignment horizontal="center" vertical="center"/>
    </xf>
    <xf numFmtId="1" fontId="3" fillId="2" borderId="0" xfId="5" applyNumberFormat="1" applyFill="1" applyBorder="1" applyAlignment="1">
      <alignment horizontal="center" vertical="center"/>
    </xf>
    <xf numFmtId="0" fontId="3" fillId="0" borderId="0" xfId="5" applyFont="1"/>
    <xf numFmtId="15" fontId="0" fillId="0" borderId="0" xfId="0" applyNumberFormat="1"/>
    <xf numFmtId="0" fontId="3" fillId="0" borderId="5" xfId="5" applyBorder="1" applyAlignment="1">
      <alignment vertical="center"/>
    </xf>
    <xf numFmtId="0" fontId="3" fillId="3" borderId="0" xfId="5" applyFill="1" applyAlignment="1">
      <alignment vertical="center"/>
    </xf>
    <xf numFmtId="0" fontId="0" fillId="3" borderId="0" xfId="0" applyFill="1"/>
    <xf numFmtId="0" fontId="3" fillId="3" borderId="0" xfId="5" applyFill="1"/>
    <xf numFmtId="0" fontId="0" fillId="4" borderId="0" xfId="0" applyFill="1"/>
    <xf numFmtId="0" fontId="3" fillId="0" borderId="3" xfId="5" applyBorder="1" applyAlignment="1">
      <alignment vertical="center"/>
    </xf>
    <xf numFmtId="0" fontId="3" fillId="4" borderId="0" xfId="5" applyFill="1" applyAlignment="1">
      <alignment horizontal="center" vertical="center"/>
    </xf>
    <xf numFmtId="0" fontId="0" fillId="3" borderId="6" xfId="0" applyFill="1" applyBorder="1"/>
    <xf numFmtId="0" fontId="3" fillId="5" borderId="0" xfId="5" applyNumberFormat="1" applyFill="1" applyBorder="1" applyAlignment="1">
      <alignment horizontal="center" vertical="center"/>
    </xf>
    <xf numFmtId="10" fontId="3" fillId="0" borderId="0" xfId="7" applyNumberFormat="1" applyFont="1" applyBorder="1" applyAlignment="1">
      <alignment horizontal="center" vertical="center"/>
    </xf>
    <xf numFmtId="0" fontId="3" fillId="0" borderId="0" xfId="5" quotePrefix="1" applyBorder="1" applyAlignment="1">
      <alignment horizontal="center" vertical="center"/>
    </xf>
    <xf numFmtId="9" fontId="3" fillId="0" borderId="0" xfId="7" applyFont="1" applyBorder="1" applyAlignment="1">
      <alignment horizontal="center" vertical="center"/>
    </xf>
    <xf numFmtId="165" fontId="3" fillId="0" borderId="0" xfId="7" applyNumberFormat="1" applyFont="1" applyBorder="1" applyAlignment="1">
      <alignment horizontal="center" vertical="center"/>
    </xf>
    <xf numFmtId="9" fontId="3" fillId="0" borderId="4" xfId="7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9" fontId="3" fillId="0" borderId="4" xfId="7" applyFont="1" applyFill="1" applyBorder="1" applyAlignment="1">
      <alignment horizontal="center" vertical="center"/>
    </xf>
    <xf numFmtId="0" fontId="3" fillId="0" borderId="0" xfId="5" applyAlignment="1">
      <alignment horizontal="left" vertical="center"/>
    </xf>
    <xf numFmtId="0" fontId="3" fillId="5" borderId="0" xfId="5" applyFill="1" applyBorder="1" applyAlignment="1">
      <alignment horizontal="center" vertical="center"/>
    </xf>
    <xf numFmtId="0" fontId="3" fillId="5" borderId="0" xfId="5" applyFill="1" applyAlignment="1">
      <alignment horizontal="center" vertical="center"/>
    </xf>
    <xf numFmtId="0" fontId="3" fillId="0" borderId="0" xfId="5" applyFill="1" applyBorder="1" applyAlignment="1">
      <alignment horizontal="center" vertical="center"/>
    </xf>
    <xf numFmtId="1" fontId="3" fillId="0" borderId="0" xfId="5" applyNumberFormat="1" applyBorder="1" applyAlignment="1">
      <alignment horizontal="center"/>
    </xf>
    <xf numFmtId="0" fontId="3" fillId="3" borderId="0" xfId="5" applyFill="1" applyBorder="1"/>
    <xf numFmtId="1" fontId="3" fillId="0" borderId="0" xfId="5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5" applyFill="1" applyAlignment="1">
      <alignment vertical="center"/>
    </xf>
    <xf numFmtId="1" fontId="3" fillId="0" borderId="0" xfId="5" applyNumberFormat="1" applyFill="1"/>
    <xf numFmtId="16" fontId="0" fillId="0" borderId="0" xfId="0" applyNumberFormat="1"/>
    <xf numFmtId="0" fontId="3" fillId="0" borderId="0" xfId="5" applyNumberFormat="1" applyFill="1" applyBorder="1" applyAlignment="1">
      <alignment horizontal="center" vertical="center"/>
    </xf>
    <xf numFmtId="0" fontId="3" fillId="8" borderId="0" xfId="5" applyNumberFormat="1" applyFill="1" applyBorder="1" applyAlignment="1">
      <alignment horizontal="center" vertical="center"/>
    </xf>
    <xf numFmtId="0" fontId="3" fillId="9" borderId="0" xfId="5" applyFill="1" applyBorder="1" applyAlignment="1">
      <alignment horizontal="center" vertical="center"/>
    </xf>
    <xf numFmtId="0" fontId="2" fillId="10" borderId="0" xfId="0" applyFont="1" applyFill="1"/>
    <xf numFmtId="1" fontId="3" fillId="10" borderId="0" xfId="5" applyNumberFormat="1" applyFill="1" applyBorder="1" applyAlignment="1">
      <alignment horizontal="center" vertical="center"/>
    </xf>
    <xf numFmtId="0" fontId="3" fillId="10" borderId="0" xfId="5" applyNumberForma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0" fontId="3" fillId="11" borderId="0" xfId="5" applyFill="1" applyAlignment="1">
      <alignment horizontal="center" vertical="center"/>
    </xf>
    <xf numFmtId="0" fontId="3" fillId="12" borderId="0" xfId="5" applyFill="1" applyAlignment="1">
      <alignment horizontal="center" vertical="center"/>
    </xf>
    <xf numFmtId="0" fontId="3" fillId="13" borderId="0" xfId="5" applyFill="1" applyAlignment="1">
      <alignment horizontal="center" vertical="center"/>
    </xf>
    <xf numFmtId="0" fontId="3" fillId="11" borderId="0" xfId="5" applyFill="1" applyBorder="1" applyAlignment="1">
      <alignment horizontal="center" vertical="center"/>
    </xf>
    <xf numFmtId="0" fontId="3" fillId="12" borderId="0" xfId="5" applyFill="1" applyBorder="1" applyAlignment="1">
      <alignment horizontal="center" vertical="center"/>
    </xf>
    <xf numFmtId="0" fontId="3" fillId="13" borderId="0" xfId="5" applyFill="1" applyBorder="1" applyAlignment="1">
      <alignment horizontal="center" vertical="center"/>
    </xf>
    <xf numFmtId="0" fontId="3" fillId="12" borderId="0" xfId="5" applyNumberFormat="1" applyFill="1" applyBorder="1" applyAlignment="1">
      <alignment horizontal="center" vertical="center"/>
    </xf>
    <xf numFmtId="0" fontId="3" fillId="14" borderId="0" xfId="5" applyNumberFormat="1" applyFill="1" applyBorder="1" applyAlignment="1">
      <alignment horizontal="center" vertical="center"/>
    </xf>
    <xf numFmtId="0" fontId="2" fillId="15" borderId="0" xfId="0" applyFont="1" applyFill="1"/>
    <xf numFmtId="0" fontId="3" fillId="11" borderId="0" xfId="5" applyNumberFormat="1" applyFill="1" applyBorder="1" applyAlignment="1">
      <alignment horizontal="center" vertical="center"/>
    </xf>
    <xf numFmtId="0" fontId="3" fillId="15" borderId="0" xfId="5" applyNumberFormat="1" applyFill="1" applyBorder="1" applyAlignment="1">
      <alignment horizontal="center" vertical="center"/>
    </xf>
    <xf numFmtId="0" fontId="6" fillId="0" borderId="0" xfId="4" applyFont="1"/>
    <xf numFmtId="0" fontId="6" fillId="0" borderId="0" xfId="4"/>
    <xf numFmtId="14" fontId="6" fillId="0" borderId="0" xfId="4" applyNumberFormat="1" applyFont="1"/>
    <xf numFmtId="0" fontId="6" fillId="2" borderId="0" xfId="4" applyFill="1" applyBorder="1"/>
    <xf numFmtId="0" fontId="3" fillId="16" borderId="0" xfId="5" applyNumberFormat="1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11" borderId="0" xfId="5" applyNumberFormat="1" applyFont="1" applyFill="1" applyBorder="1" applyAlignment="1">
      <alignment horizontal="center" vertical="center"/>
    </xf>
    <xf numFmtId="0" fontId="3" fillId="16" borderId="0" xfId="5" applyNumberFormat="1" applyFont="1" applyFill="1" applyBorder="1" applyAlignment="1">
      <alignment horizontal="center" vertical="center"/>
    </xf>
    <xf numFmtId="0" fontId="3" fillId="16" borderId="0" xfId="5" applyFill="1" applyAlignment="1">
      <alignment horizontal="center" vertical="center"/>
    </xf>
    <xf numFmtId="0" fontId="3" fillId="16" borderId="0" xfId="5" applyFill="1" applyBorder="1" applyAlignment="1">
      <alignment horizontal="center" vertical="center"/>
    </xf>
    <xf numFmtId="0" fontId="6" fillId="14" borderId="0" xfId="5" applyNumberFormat="1" applyFont="1" applyFill="1" applyBorder="1" applyAlignment="1">
      <alignment horizontal="center" vertical="center"/>
    </xf>
    <xf numFmtId="0" fontId="2" fillId="9" borderId="0" xfId="0" applyFont="1" applyFill="1"/>
    <xf numFmtId="0" fontId="3" fillId="9" borderId="0" xfId="5" applyNumberFormat="1" applyFill="1" applyBorder="1" applyAlignment="1">
      <alignment horizontal="center" vertical="center"/>
    </xf>
    <xf numFmtId="0" fontId="3" fillId="14" borderId="0" xfId="5" applyFill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5" fillId="0" borderId="0" xfId="5" applyFont="1" applyBorder="1" applyAlignment="1">
      <alignment horizontal="center" vertical="center"/>
    </xf>
    <xf numFmtId="0" fontId="16" fillId="0" borderId="0" xfId="5" applyNumberFormat="1" applyFont="1" applyBorder="1" applyAlignment="1">
      <alignment horizontal="center" vertical="center"/>
    </xf>
    <xf numFmtId="0" fontId="16" fillId="14" borderId="0" xfId="5" applyNumberFormat="1" applyFont="1" applyFill="1" applyBorder="1" applyAlignment="1">
      <alignment horizontal="center" vertical="center"/>
    </xf>
    <xf numFmtId="0" fontId="16" fillId="12" borderId="0" xfId="5" applyNumberFormat="1" applyFont="1" applyFill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16" fillId="11" borderId="0" xfId="5" applyNumberFormat="1" applyFont="1" applyFill="1" applyBorder="1" applyAlignment="1">
      <alignment horizontal="center" vertical="center"/>
    </xf>
    <xf numFmtId="0" fontId="17" fillId="0" borderId="0" xfId="0" applyFont="1"/>
    <xf numFmtId="3" fontId="16" fillId="12" borderId="0" xfId="5" applyNumberFormat="1" applyFont="1" applyFill="1" applyBorder="1" applyAlignment="1">
      <alignment horizontal="center" vertical="center"/>
    </xf>
    <xf numFmtId="3" fontId="16" fillId="14" borderId="0" xfId="5" applyNumberFormat="1" applyFont="1" applyFill="1" applyBorder="1" applyAlignment="1">
      <alignment horizontal="center" vertical="center"/>
    </xf>
    <xf numFmtId="3" fontId="16" fillId="11" borderId="0" xfId="5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166" fontId="6" fillId="0" borderId="0" xfId="1" applyNumberFormat="1" applyFont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 vertical="center"/>
    </xf>
    <xf numFmtId="166" fontId="6" fillId="0" borderId="0" xfId="1" applyNumberFormat="1" applyFont="1" applyFill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166" fontId="3" fillId="0" borderId="4" xfId="1" applyNumberFormat="1" applyFont="1" applyBorder="1" applyAlignment="1">
      <alignment horizontal="center" vertical="center"/>
    </xf>
    <xf numFmtId="3" fontId="3" fillId="0" borderId="0" xfId="5" applyNumberFormat="1" applyBorder="1" applyAlignment="1">
      <alignment horizontal="center" vertical="center"/>
    </xf>
    <xf numFmtId="0" fontId="3" fillId="0" borderId="0" xfId="5" applyFill="1" applyBorder="1" applyAlignment="1">
      <alignment horizontal="center" vertical="center" wrapText="1"/>
    </xf>
    <xf numFmtId="2" fontId="3" fillId="0" borderId="0" xfId="5" applyNumberFormat="1" applyFill="1" applyBorder="1" applyAlignment="1">
      <alignment horizontal="center" vertical="center"/>
    </xf>
    <xf numFmtId="0" fontId="3" fillId="0" borderId="0" xfId="5" applyFill="1"/>
    <xf numFmtId="0" fontId="0" fillId="0" borderId="0" xfId="0" applyFill="1"/>
    <xf numFmtId="0" fontId="3" fillId="8" borderId="0" xfId="5" applyFill="1" applyAlignment="1">
      <alignment horizontal="center" vertical="center"/>
    </xf>
    <xf numFmtId="0" fontId="3" fillId="17" borderId="0" xfId="5" applyFill="1" applyAlignment="1">
      <alignment horizontal="center" vertical="center"/>
    </xf>
    <xf numFmtId="0" fontId="3" fillId="13" borderId="0" xfId="5" applyNumberFormat="1" applyFill="1" applyBorder="1" applyAlignment="1">
      <alignment horizontal="center" vertical="center"/>
    </xf>
    <xf numFmtId="0" fontId="15" fillId="13" borderId="0" xfId="5" applyFont="1" applyFill="1" applyBorder="1" applyAlignment="1">
      <alignment horizontal="center" vertical="center"/>
    </xf>
    <xf numFmtId="0" fontId="15" fillId="13" borderId="0" xfId="5" applyFont="1" applyFill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4" fontId="0" fillId="9" borderId="0" xfId="0" applyNumberFormat="1" applyFill="1" applyBorder="1" applyAlignment="1">
      <alignment vertical="center"/>
    </xf>
    <xf numFmtId="0" fontId="0" fillId="9" borderId="0" xfId="0" applyFill="1"/>
    <xf numFmtId="0" fontId="0" fillId="9" borderId="0" xfId="0" applyFill="1" applyBorder="1" applyAlignment="1">
      <alignment vertical="center"/>
    </xf>
    <xf numFmtId="9" fontId="0" fillId="9" borderId="0" xfId="0" applyNumberFormat="1" applyFill="1"/>
    <xf numFmtId="1" fontId="0" fillId="18" borderId="0" xfId="0" applyNumberFormat="1" applyFill="1"/>
    <xf numFmtId="0" fontId="18" fillId="0" borderId="0" xfId="0" applyFont="1"/>
    <xf numFmtId="0" fontId="18" fillId="0" borderId="0" xfId="0" applyFont="1" applyFill="1"/>
    <xf numFmtId="14" fontId="0" fillId="9" borderId="3" xfId="0" applyNumberForma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9" fontId="0" fillId="0" borderId="3" xfId="0" applyNumberFormat="1" applyFill="1" applyBorder="1"/>
    <xf numFmtId="1" fontId="0" fillId="9" borderId="3" xfId="0" applyNumberFormat="1" applyFill="1" applyBorder="1"/>
    <xf numFmtId="0" fontId="0" fillId="0" borderId="3" xfId="0" applyFill="1" applyBorder="1"/>
    <xf numFmtId="1" fontId="0" fillId="0" borderId="0" xfId="0" applyNumberFormat="1" applyBorder="1" applyAlignment="1">
      <alignment vertical="center"/>
    </xf>
    <xf numFmtId="166" fontId="19" fillId="18" borderId="0" xfId="1" applyNumberFormat="1" applyFont="1" applyFill="1"/>
    <xf numFmtId="1" fontId="0" fillId="9" borderId="0" xfId="0" applyNumberFormat="1" applyFill="1"/>
    <xf numFmtId="9" fontId="0" fillId="18" borderId="0" xfId="0" applyNumberFormat="1" applyFill="1"/>
    <xf numFmtId="0" fontId="0" fillId="9" borderId="0" xfId="0" applyNumberFormat="1" applyFill="1" applyBorder="1" applyAlignment="1">
      <alignment vertical="center"/>
    </xf>
    <xf numFmtId="167" fontId="3" fillId="0" borderId="1" xfId="6" applyNumberFormat="1" applyFont="1" applyFill="1" applyBorder="1" applyAlignment="1">
      <alignment horizontal="right" wrapText="1"/>
    </xf>
    <xf numFmtId="3" fontId="20" fillId="13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0" fillId="19" borderId="0" xfId="0" applyNumberFormat="1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3" fillId="14" borderId="0" xfId="5" applyFill="1" applyBorder="1" applyAlignment="1">
      <alignment horizontal="center" vertical="center"/>
    </xf>
    <xf numFmtId="0" fontId="3" fillId="20" borderId="0" xfId="5" applyFill="1" applyAlignment="1">
      <alignment horizontal="center" vertical="center"/>
    </xf>
    <xf numFmtId="0" fontId="3" fillId="21" borderId="0" xfId="5" applyFill="1" applyBorder="1" applyAlignment="1">
      <alignment horizontal="center" vertical="center"/>
    </xf>
    <xf numFmtId="0" fontId="3" fillId="9" borderId="0" xfId="5" applyFill="1" applyAlignment="1">
      <alignment horizontal="center" vertical="center"/>
    </xf>
    <xf numFmtId="0" fontId="3" fillId="22" borderId="0" xfId="5" applyFill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0" fontId="3" fillId="0" borderId="6" xfId="5" applyBorder="1" applyAlignment="1">
      <alignment horizontal="center" vertical="center"/>
    </xf>
    <xf numFmtId="0" fontId="3" fillId="0" borderId="6" xfId="5" applyNumberFormat="1" applyBorder="1" applyAlignment="1">
      <alignment horizontal="center" vertical="center"/>
    </xf>
    <xf numFmtId="0" fontId="15" fillId="0" borderId="0" xfId="5" applyNumberFormat="1" applyFont="1" applyBorder="1" applyAlignment="1">
      <alignment horizontal="center" vertical="center"/>
    </xf>
    <xf numFmtId="3" fontId="21" fillId="13" borderId="0" xfId="0" applyNumberFormat="1" applyFont="1" applyFill="1" applyBorder="1" applyAlignment="1">
      <alignment horizontal="center" vertical="center"/>
    </xf>
    <xf numFmtId="3" fontId="6" fillId="13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vertical="center"/>
    </xf>
    <xf numFmtId="0" fontId="3" fillId="0" borderId="8" xfId="5" applyBorder="1" applyAlignment="1">
      <alignment horizontal="center" vertical="center"/>
    </xf>
    <xf numFmtId="3" fontId="20" fillId="12" borderId="0" xfId="0" applyNumberFormat="1" applyFont="1" applyFill="1" applyBorder="1" applyAlignment="1">
      <alignment horizontal="center" vertical="center"/>
    </xf>
    <xf numFmtId="0" fontId="3" fillId="0" borderId="7" xfId="5" applyBorder="1"/>
    <xf numFmtId="0" fontId="3" fillId="0" borderId="7" xfId="5" applyFill="1" applyBorder="1" applyAlignment="1">
      <alignment horizontal="center" vertical="center" wrapText="1"/>
    </xf>
    <xf numFmtId="2" fontId="3" fillId="0" borderId="7" xfId="5" applyNumberFormat="1" applyFill="1" applyBorder="1" applyAlignment="1">
      <alignment horizontal="center" vertical="center"/>
    </xf>
    <xf numFmtId="0" fontId="3" fillId="0" borderId="7" xfId="5" applyFill="1" applyBorder="1" applyAlignment="1">
      <alignment horizontal="center" vertical="center"/>
    </xf>
    <xf numFmtId="1" fontId="3" fillId="0" borderId="0" xfId="5" applyNumberFormat="1" applyFill="1" applyAlignment="1">
      <alignment horizontal="center" vertical="center"/>
    </xf>
    <xf numFmtId="1" fontId="3" fillId="0" borderId="0" xfId="5" applyNumberFormat="1" applyFont="1" applyFill="1" applyBorder="1" applyAlignment="1">
      <alignment horizontal="center" vertical="center"/>
    </xf>
    <xf numFmtId="0" fontId="2" fillId="23" borderId="0" xfId="0" applyFont="1" applyFill="1"/>
    <xf numFmtId="0" fontId="2" fillId="16" borderId="0" xfId="0" applyFont="1" applyFill="1"/>
    <xf numFmtId="0" fontId="2" fillId="24" borderId="0" xfId="0" applyFont="1" applyFill="1"/>
    <xf numFmtId="1" fontId="3" fillId="16" borderId="0" xfId="5" applyNumberFormat="1" applyFill="1" applyBorder="1" applyAlignment="1">
      <alignment horizontal="center" vertical="center"/>
    </xf>
    <xf numFmtId="1" fontId="3" fillId="23" borderId="0" xfId="5" applyNumberFormat="1" applyFill="1" applyBorder="1" applyAlignment="1">
      <alignment horizontal="center" vertical="center"/>
    </xf>
    <xf numFmtId="0" fontId="3" fillId="9" borderId="0" xfId="5" applyFill="1" applyAlignment="1">
      <alignment vertical="center"/>
    </xf>
    <xf numFmtId="0" fontId="3" fillId="9" borderId="0" xfId="5" applyFill="1"/>
    <xf numFmtId="167" fontId="3" fillId="0" borderId="9" xfId="6" applyNumberFormat="1" applyFont="1" applyFill="1" applyBorder="1" applyAlignment="1">
      <alignment horizontal="right" wrapText="1"/>
    </xf>
    <xf numFmtId="0" fontId="20" fillId="0" borderId="0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/>
    </xf>
    <xf numFmtId="0" fontId="18" fillId="0" borderId="7" xfId="0" applyFont="1" applyBorder="1" applyAlignment="1">
      <alignment horizontal="center" vertical="center" wrapText="1"/>
    </xf>
    <xf numFmtId="3" fontId="20" fillId="25" borderId="0" xfId="0" applyNumberFormat="1" applyFont="1" applyFill="1" applyBorder="1" applyAlignment="1">
      <alignment horizontal="center" vertical="center"/>
    </xf>
    <xf numFmtId="0" fontId="3" fillId="0" borderId="0" xfId="5" applyBorder="1" applyAlignment="1">
      <alignment horizontal="center" vertical="center" wrapText="1"/>
    </xf>
    <xf numFmtId="1" fontId="3" fillId="0" borderId="0" xfId="5" applyNumberForma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3" fillId="0" borderId="0" xfId="5" applyFill="1" applyAlignment="1">
      <alignment horizontal="center" vertical="center"/>
    </xf>
    <xf numFmtId="164" fontId="6" fillId="0" borderId="0" xfId="0" applyNumberFormat="1" applyFont="1" applyBorder="1" applyAlignment="1">
      <alignment horizontal="center"/>
    </xf>
    <xf numFmtId="167" fontId="3" fillId="9" borderId="1" xfId="6" applyNumberFormat="1" applyFont="1" applyFill="1" applyBorder="1" applyAlignment="1">
      <alignment horizontal="right" wrapText="1"/>
    </xf>
    <xf numFmtId="166" fontId="2" fillId="18" borderId="0" xfId="1" applyNumberFormat="1" applyFont="1" applyFill="1"/>
    <xf numFmtId="164" fontId="3" fillId="0" borderId="0" xfId="5" applyNumberFormat="1" applyBorder="1" applyAlignment="1">
      <alignment horizontal="center" vertical="center" wrapText="1"/>
    </xf>
    <xf numFmtId="164" fontId="6" fillId="0" borderId="0" xfId="5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3" fillId="0" borderId="0" xfId="5" applyNumberFormat="1" applyAlignment="1">
      <alignment vertical="center"/>
    </xf>
    <xf numFmtId="164" fontId="3" fillId="0" borderId="0" xfId="5" applyNumberFormat="1" applyAlignment="1">
      <alignment horizontal="center" vertical="center"/>
    </xf>
    <xf numFmtId="0" fontId="3" fillId="26" borderId="0" xfId="5" applyFill="1" applyAlignment="1">
      <alignment horizontal="center" vertical="center"/>
    </xf>
    <xf numFmtId="0" fontId="3" fillId="27" borderId="0" xfId="5" applyFill="1" applyBorder="1" applyAlignment="1">
      <alignment horizontal="center" vertical="center"/>
    </xf>
    <xf numFmtId="3" fontId="20" fillId="28" borderId="6" xfId="0" applyNumberFormat="1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3" borderId="0" xfId="5" applyFont="1" applyFill="1" applyAlignment="1">
      <alignment horizontal="center" vertical="center"/>
    </xf>
    <xf numFmtId="0" fontId="6" fillId="29" borderId="0" xfId="5" applyFont="1" applyFill="1" applyBorder="1" applyAlignment="1">
      <alignment horizontal="center" vertical="center"/>
    </xf>
    <xf numFmtId="0" fontId="3" fillId="22" borderId="0" xfId="5" applyFill="1" applyBorder="1" applyAlignment="1">
      <alignment horizontal="center" vertical="center"/>
    </xf>
    <xf numFmtId="0" fontId="3" fillId="24" borderId="0" xfId="5" applyFill="1"/>
    <xf numFmtId="0" fontId="6" fillId="16" borderId="0" xfId="5" applyFont="1" applyFill="1" applyAlignment="1">
      <alignment horizontal="center" vertical="center"/>
    </xf>
    <xf numFmtId="0" fontId="3" fillId="28" borderId="0" xfId="5" applyFill="1" applyAlignment="1">
      <alignment horizontal="center" vertical="center"/>
    </xf>
    <xf numFmtId="0" fontId="3" fillId="0" borderId="0" xfId="5" applyFont="1" applyAlignment="1">
      <alignment horizontal="left" vertical="center"/>
    </xf>
    <xf numFmtId="0" fontId="0" fillId="27" borderId="0" xfId="0" applyFill="1"/>
    <xf numFmtId="0" fontId="7" fillId="27" borderId="0" xfId="5" applyFont="1" applyFill="1" applyBorder="1" applyAlignment="1">
      <alignment horizontal="center" vertical="center"/>
    </xf>
    <xf numFmtId="0" fontId="0" fillId="18" borderId="0" xfId="0" applyFill="1"/>
    <xf numFmtId="0" fontId="6" fillId="27" borderId="0" xfId="5" applyFont="1" applyFill="1" applyBorder="1" applyAlignment="1">
      <alignment horizontal="center" vertical="center"/>
    </xf>
    <xf numFmtId="0" fontId="6" fillId="18" borderId="0" xfId="5" applyFont="1" applyFill="1" applyBorder="1" applyAlignment="1">
      <alignment horizontal="center" vertical="center"/>
    </xf>
    <xf numFmtId="1" fontId="3" fillId="0" borderId="0" xfId="5" applyNumberFormat="1" applyBorder="1"/>
    <xf numFmtId="0" fontId="3" fillId="0" borderId="0" xfId="5" applyBorder="1" applyAlignment="1">
      <alignment horizontal="center"/>
    </xf>
    <xf numFmtId="1" fontId="3" fillId="0" borderId="0" xfId="5" applyNumberFormat="1" applyFont="1" applyBorder="1" applyAlignment="1">
      <alignment horizontal="center" vertical="center" wrapText="1"/>
    </xf>
    <xf numFmtId="14" fontId="3" fillId="0" borderId="0" xfId="5" applyNumberFormat="1" applyBorder="1" applyAlignment="1">
      <alignment horizontal="center" vertical="center" wrapText="1"/>
    </xf>
    <xf numFmtId="1" fontId="3" fillId="24" borderId="0" xfId="5" applyNumberFormat="1" applyFill="1" applyBorder="1" applyAlignment="1">
      <alignment horizontal="center" vertical="center" wrapText="1"/>
    </xf>
    <xf numFmtId="2" fontId="3" fillId="0" borderId="0" xfId="5" applyNumberFormat="1" applyBorder="1" applyAlignment="1">
      <alignment horizontal="center" vertical="center" wrapText="1"/>
    </xf>
    <xf numFmtId="0" fontId="3" fillId="24" borderId="0" xfId="5" applyFill="1" applyAlignment="1">
      <alignment horizontal="center" vertical="center"/>
    </xf>
    <xf numFmtId="166" fontId="3" fillId="0" borderId="0" xfId="5" applyNumberFormat="1"/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0" fillId="0" borderId="0" xfId="0" applyBorder="1"/>
    <xf numFmtId="0" fontId="0" fillId="9" borderId="0" xfId="0" applyFill="1" applyBorder="1"/>
    <xf numFmtId="9" fontId="0" fillId="9" borderId="0" xfId="0" applyNumberFormat="1" applyFill="1" applyBorder="1"/>
    <xf numFmtId="1" fontId="0" fillId="18" borderId="0" xfId="0" applyNumberFormat="1" applyFill="1" applyBorder="1"/>
    <xf numFmtId="0" fontId="3" fillId="0" borderId="0" xfId="5" applyBorder="1" applyAlignment="1">
      <alignment vertical="center"/>
    </xf>
    <xf numFmtId="166" fontId="2" fillId="18" borderId="0" xfId="1" applyNumberFormat="1" applyFont="1" applyFill="1" applyBorder="1"/>
    <xf numFmtId="0" fontId="22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0" fillId="0" borderId="12" xfId="0" applyBorder="1"/>
    <xf numFmtId="0" fontId="22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6" xfId="0" applyFont="1" applyFill="1" applyBorder="1" applyAlignment="1">
      <alignment horizontal="center" vertical="center" wrapText="1"/>
    </xf>
    <xf numFmtId="0" fontId="0" fillId="0" borderId="16" xfId="0" applyBorder="1"/>
    <xf numFmtId="1" fontId="0" fillId="18" borderId="16" xfId="0" applyNumberFormat="1" applyFill="1" applyBorder="1"/>
    <xf numFmtId="0" fontId="18" fillId="0" borderId="15" xfId="0" applyFont="1" applyBorder="1"/>
    <xf numFmtId="0" fontId="0" fillId="0" borderId="15" xfId="0" applyBorder="1"/>
    <xf numFmtId="0" fontId="18" fillId="0" borderId="17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0" fontId="0" fillId="0" borderId="19" xfId="0" applyBorder="1" applyAlignment="1">
      <alignment vertical="center"/>
    </xf>
    <xf numFmtId="166" fontId="2" fillId="18" borderId="19" xfId="1" applyNumberFormat="1" applyFont="1" applyFill="1" applyBorder="1"/>
    <xf numFmtId="0" fontId="0" fillId="0" borderId="19" xfId="0" applyBorder="1"/>
    <xf numFmtId="0" fontId="3" fillId="0" borderId="19" xfId="5" applyBorder="1" applyAlignment="1">
      <alignment vertical="center"/>
    </xf>
    <xf numFmtId="0" fontId="0" fillId="0" borderId="20" xfId="0" applyBorder="1"/>
    <xf numFmtId="0" fontId="2" fillId="0" borderId="0" xfId="0" applyFont="1" applyBorder="1" applyAlignment="1">
      <alignment vertical="center"/>
    </xf>
    <xf numFmtId="0" fontId="3" fillId="0" borderId="15" xfId="5" applyBorder="1"/>
    <xf numFmtId="0" fontId="0" fillId="0" borderId="18" xfId="0" applyBorder="1"/>
    <xf numFmtId="1" fontId="3" fillId="24" borderId="0" xfId="5" applyNumberFormat="1" applyFill="1"/>
    <xf numFmtId="0" fontId="0" fillId="0" borderId="0" xfId="0" applyAlignment="1">
      <alignment horizontal="right"/>
    </xf>
    <xf numFmtId="0" fontId="0" fillId="20" borderId="0" xfId="0" applyFill="1" applyAlignment="1">
      <alignment horizontal="right"/>
    </xf>
    <xf numFmtId="0" fontId="0" fillId="20" borderId="0" xfId="0" applyFill="1"/>
    <xf numFmtId="0" fontId="18" fillId="6" borderId="0" xfId="0" applyFont="1" applyFill="1" applyBorder="1" applyAlignment="1">
      <alignment horizontal="center" vertical="center"/>
    </xf>
    <xf numFmtId="0" fontId="3" fillId="0" borderId="4" xfId="5" applyBorder="1"/>
    <xf numFmtId="1" fontId="3" fillId="0" borderId="4" xfId="5" applyNumberFormat="1" applyBorder="1"/>
    <xf numFmtId="0" fontId="18" fillId="0" borderId="0" xfId="0" applyFont="1" applyFill="1" applyBorder="1" applyAlignment="1">
      <alignment vertical="center"/>
    </xf>
    <xf numFmtId="0" fontId="15" fillId="16" borderId="0" xfId="5" applyFont="1" applyFill="1" applyBorder="1" applyAlignment="1">
      <alignment horizontal="center" vertical="center"/>
    </xf>
    <xf numFmtId="0" fontId="15" fillId="22" borderId="0" xfId="5" applyFont="1" applyFill="1" applyBorder="1" applyAlignment="1">
      <alignment horizontal="center" vertical="center"/>
    </xf>
    <xf numFmtId="1" fontId="3" fillId="0" borderId="0" xfId="5" applyNumberFormat="1" applyFont="1" applyBorder="1" applyAlignment="1">
      <alignment horizontal="center" vertical="center" wrapText="1"/>
    </xf>
    <xf numFmtId="0" fontId="3" fillId="13" borderId="0" xfId="5" applyFill="1"/>
    <xf numFmtId="0" fontId="15" fillId="16" borderId="0" xfId="5" applyNumberFormat="1" applyFont="1" applyFill="1" applyBorder="1" applyAlignment="1">
      <alignment horizontal="center" vertical="center"/>
    </xf>
    <xf numFmtId="0" fontId="15" fillId="11" borderId="0" xfId="5" applyNumberFormat="1" applyFont="1" applyFill="1" applyBorder="1" applyAlignment="1">
      <alignment horizontal="center" vertical="center"/>
    </xf>
    <xf numFmtId="0" fontId="15" fillId="12" borderId="0" xfId="5" applyNumberFormat="1" applyFont="1" applyFill="1" applyBorder="1" applyAlignment="1">
      <alignment horizontal="center" vertical="center"/>
    </xf>
    <xf numFmtId="0" fontId="15" fillId="16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/>
    </xf>
    <xf numFmtId="3" fontId="15" fillId="14" borderId="0" xfId="5" applyNumberFormat="1" applyFont="1" applyFill="1" applyAlignment="1">
      <alignment horizontal="center" vertical="center"/>
    </xf>
    <xf numFmtId="0" fontId="15" fillId="14" borderId="0" xfId="5" applyFont="1" applyFill="1" applyAlignment="1">
      <alignment horizontal="center" vertical="center"/>
    </xf>
    <xf numFmtId="3" fontId="24" fillId="11" borderId="0" xfId="5" applyNumberFormat="1" applyFont="1" applyFill="1" applyBorder="1" applyAlignment="1">
      <alignment horizontal="center" vertical="center"/>
    </xf>
    <xf numFmtId="3" fontId="24" fillId="12" borderId="0" xfId="5" applyNumberFormat="1" applyFont="1" applyFill="1" applyBorder="1" applyAlignment="1">
      <alignment horizontal="center" vertical="center"/>
    </xf>
    <xf numFmtId="0" fontId="15" fillId="9" borderId="0" xfId="5" applyNumberFormat="1" applyFont="1" applyFill="1" applyBorder="1" applyAlignment="1">
      <alignment horizontal="center" vertical="center"/>
    </xf>
    <xf numFmtId="0" fontId="15" fillId="14" borderId="0" xfId="5" applyNumberFormat="1" applyFont="1" applyFill="1" applyBorder="1" applyAlignment="1">
      <alignment horizontal="center" vertical="center"/>
    </xf>
    <xf numFmtId="0" fontId="24" fillId="11" borderId="0" xfId="5" applyNumberFormat="1" applyFont="1" applyFill="1" applyBorder="1" applyAlignment="1">
      <alignment horizontal="center" vertical="center"/>
    </xf>
    <xf numFmtId="0" fontId="3" fillId="28" borderId="0" xfId="5" applyFill="1" applyBorder="1" applyAlignment="1">
      <alignment horizontal="center" vertical="center"/>
    </xf>
    <xf numFmtId="164" fontId="3" fillId="0" borderId="0" xfId="5" applyNumberFormat="1" applyBorder="1" applyAlignment="1">
      <alignment horizontal="center" vertical="center"/>
    </xf>
    <xf numFmtId="1" fontId="3" fillId="24" borderId="0" xfId="5" applyNumberFormat="1" applyFill="1" applyBorder="1" applyAlignment="1">
      <alignment horizontal="center" vertical="center"/>
    </xf>
    <xf numFmtId="0" fontId="3" fillId="0" borderId="5" xfId="5" applyBorder="1" applyAlignment="1">
      <alignment horizontal="center" vertical="center"/>
    </xf>
    <xf numFmtId="0" fontId="3" fillId="0" borderId="3" xfId="5" applyBorder="1" applyAlignment="1">
      <alignment horizontal="center" vertical="center"/>
    </xf>
    <xf numFmtId="0" fontId="16" fillId="13" borderId="0" xfId="5" applyFont="1" applyFill="1" applyBorder="1" applyAlignment="1">
      <alignment horizontal="center" vertical="center"/>
    </xf>
    <xf numFmtId="0" fontId="16" fillId="0" borderId="0" xfId="5" applyFont="1" applyBorder="1" applyAlignment="1">
      <alignment horizontal="center" vertical="center"/>
    </xf>
    <xf numFmtId="0" fontId="25" fillId="0" borderId="0" xfId="5" applyFont="1" applyBorder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3" fontId="6" fillId="6" borderId="0" xfId="0" applyNumberFormat="1" applyFont="1" applyFill="1" applyBorder="1" applyAlignment="1">
      <alignment horizontal="center" vertical="center"/>
    </xf>
    <xf numFmtId="0" fontId="6" fillId="0" borderId="7" xfId="5" applyFont="1" applyBorder="1" applyAlignment="1">
      <alignment horizontal="center" vertical="center"/>
    </xf>
    <xf numFmtId="0" fontId="0" fillId="0" borderId="7" xfId="0" applyBorder="1"/>
    <xf numFmtId="0" fontId="6" fillId="12" borderId="0" xfId="5" applyFont="1" applyFill="1" applyBorder="1" applyAlignment="1">
      <alignment horizontal="center" vertical="center"/>
    </xf>
    <xf numFmtId="166" fontId="6" fillId="12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5" applyFont="1" applyBorder="1" applyAlignment="1">
      <alignment horizontal="left" vertical="center"/>
    </xf>
    <xf numFmtId="0" fontId="2" fillId="20" borderId="0" xfId="0" applyFont="1" applyFill="1"/>
    <xf numFmtId="0" fontId="0" fillId="15" borderId="0" xfId="0" applyFill="1"/>
    <xf numFmtId="0" fontId="2" fillId="11" borderId="0" xfId="0" applyFont="1" applyFill="1"/>
    <xf numFmtId="0" fontId="0" fillId="11" borderId="0" xfId="0" applyFill="1"/>
    <xf numFmtId="0" fontId="0" fillId="16" borderId="0" xfId="0" applyFill="1"/>
    <xf numFmtId="49" fontId="0" fillId="11" borderId="0" xfId="0" applyNumberFormat="1" applyFill="1"/>
    <xf numFmtId="0" fontId="25" fillId="13" borderId="0" xfId="5" applyFont="1" applyFill="1" applyBorder="1" applyAlignment="1">
      <alignment horizontal="center" vertical="center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8" fillId="0" borderId="21" xfId="0" applyFont="1" applyBorder="1" applyAlignment="1">
      <alignment horizontal="left"/>
    </xf>
    <xf numFmtId="0" fontId="6" fillId="0" borderId="22" xfId="0" applyFont="1" applyBorder="1" applyAlignment="1">
      <alignment horizontal="center"/>
    </xf>
    <xf numFmtId="0" fontId="28" fillId="6" borderId="0" xfId="0" applyFont="1" applyFill="1" applyBorder="1" applyAlignment="1">
      <alignment horizontal="center" vertical="center"/>
    </xf>
    <xf numFmtId="0" fontId="16" fillId="13" borderId="0" xfId="5" applyFont="1" applyFill="1" applyAlignment="1">
      <alignment horizontal="center" vertical="center"/>
    </xf>
    <xf numFmtId="0" fontId="29" fillId="6" borderId="0" xfId="0" applyFont="1" applyFill="1" applyBorder="1" applyAlignment="1">
      <alignment horizontal="center" vertical="center"/>
    </xf>
    <xf numFmtId="0" fontId="15" fillId="13" borderId="23" xfId="5" applyFont="1" applyFill="1" applyBorder="1" applyAlignment="1">
      <alignment horizontal="center" vertical="center"/>
    </xf>
    <xf numFmtId="0" fontId="3" fillId="0" borderId="24" xfId="5" applyBorder="1" applyAlignment="1">
      <alignment horizontal="center" vertical="center"/>
    </xf>
    <xf numFmtId="0" fontId="3" fillId="0" borderId="25" xfId="5" applyBorder="1" applyAlignment="1">
      <alignment horizontal="center" vertical="center"/>
    </xf>
    <xf numFmtId="168" fontId="3" fillId="0" borderId="0" xfId="5" applyNumberForma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15" fillId="13" borderId="0" xfId="5" applyFont="1" applyFill="1"/>
    <xf numFmtId="0" fontId="16" fillId="16" borderId="0" xfId="5" applyFont="1" applyFill="1" applyAlignment="1">
      <alignment horizontal="center" vertical="center"/>
    </xf>
    <xf numFmtId="0" fontId="15" fillId="0" borderId="24" xfId="5" applyFont="1" applyBorder="1" applyAlignment="1">
      <alignment horizontal="center" vertical="center"/>
    </xf>
    <xf numFmtId="0" fontId="15" fillId="16" borderId="25" xfId="5" applyFont="1" applyFill="1" applyBorder="1" applyAlignment="1">
      <alignment horizontal="center" vertical="center"/>
    </xf>
    <xf numFmtId="0" fontId="3" fillId="0" borderId="23" xfId="5" applyBorder="1" applyAlignment="1">
      <alignment horizontal="center" vertical="center"/>
    </xf>
    <xf numFmtId="0" fontId="3" fillId="0" borderId="0" xfId="5" applyNumberFormat="1" applyFont="1" applyBorder="1" applyAlignment="1">
      <alignment horizontal="center" vertical="center"/>
    </xf>
    <xf numFmtId="0" fontId="3" fillId="33" borderId="0" xfId="5" applyNumberFormat="1" applyFont="1" applyFill="1" applyBorder="1" applyAlignment="1">
      <alignment horizontal="center" vertical="center"/>
    </xf>
    <xf numFmtId="0" fontId="3" fillId="33" borderId="0" xfId="5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center" vertical="center"/>
    </xf>
    <xf numFmtId="0" fontId="3" fillId="33" borderId="0" xfId="5" applyFill="1" applyAlignment="1">
      <alignment horizontal="center" vertical="center"/>
    </xf>
    <xf numFmtId="0" fontId="15" fillId="33" borderId="23" xfId="5" applyFont="1" applyFill="1" applyBorder="1" applyAlignment="1">
      <alignment horizontal="center" vertical="center"/>
    </xf>
    <xf numFmtId="0" fontId="3" fillId="33" borderId="0" xfId="5" applyNumberFormat="1" applyFill="1" applyBorder="1" applyAlignment="1">
      <alignment horizontal="center" vertical="center"/>
    </xf>
    <xf numFmtId="0" fontId="3" fillId="33" borderId="0" xfId="5" applyFill="1" applyBorder="1" applyAlignment="1">
      <alignment horizontal="center" vertical="center"/>
    </xf>
    <xf numFmtId="0" fontId="16" fillId="33" borderId="0" xfId="5" applyFont="1" applyFill="1" applyBorder="1" applyAlignment="1">
      <alignment horizontal="center" vertical="center"/>
    </xf>
    <xf numFmtId="0" fontId="3" fillId="33" borderId="0" xfId="5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1" fillId="9" borderId="0" xfId="0" applyFont="1" applyFill="1"/>
    <xf numFmtId="0" fontId="11" fillId="0" borderId="0" xfId="0" applyFont="1"/>
    <xf numFmtId="0" fontId="3" fillId="34" borderId="27" xfId="11" applyFont="1" applyFill="1" applyBorder="1" applyAlignment="1">
      <alignment horizontal="center"/>
    </xf>
    <xf numFmtId="0" fontId="3" fillId="0" borderId="1" xfId="12" applyFont="1" applyFill="1" applyBorder="1" applyAlignment="1">
      <alignment horizontal="right" wrapText="1"/>
    </xf>
    <xf numFmtId="0" fontId="0" fillId="0" borderId="0" xfId="0" applyFill="1" applyAlignment="1">
      <alignment horizontal="left"/>
    </xf>
    <xf numFmtId="3" fontId="14" fillId="0" borderId="26" xfId="0" applyNumberFormat="1" applyFont="1" applyFill="1" applyBorder="1" applyAlignment="1">
      <alignment horizontal="right"/>
    </xf>
    <xf numFmtId="0" fontId="14" fillId="0" borderId="26" xfId="0" applyFont="1" applyFill="1" applyBorder="1" applyAlignment="1">
      <alignment horizontal="right"/>
    </xf>
    <xf numFmtId="0" fontId="25" fillId="16" borderId="0" xfId="5" applyFont="1" applyFill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5" fillId="13" borderId="25" xfId="5" applyFont="1" applyFill="1" applyBorder="1" applyAlignment="1">
      <alignment horizontal="center" vertical="center"/>
    </xf>
    <xf numFmtId="0" fontId="15" fillId="13" borderId="22" xfId="5" applyFont="1" applyFill="1" applyBorder="1"/>
    <xf numFmtId="0" fontId="25" fillId="13" borderId="0" xfId="5" applyFont="1" applyFill="1"/>
    <xf numFmtId="0" fontId="31" fillId="0" borderId="1" xfId="13" applyFont="1" applyFill="1" applyBorder="1" applyAlignment="1">
      <alignment horizontal="right" wrapText="1"/>
    </xf>
    <xf numFmtId="0" fontId="31" fillId="0" borderId="26" xfId="13" applyFont="1" applyFill="1" applyBorder="1" applyAlignment="1">
      <alignment horizontal="center"/>
    </xf>
    <xf numFmtId="16" fontId="2" fillId="0" borderId="0" xfId="0" applyNumberFormat="1" applyFont="1"/>
    <xf numFmtId="0" fontId="18" fillId="0" borderId="3" xfId="0" applyFont="1" applyBorder="1" applyAlignment="1">
      <alignment horizontal="center" vertical="center" wrapText="1"/>
    </xf>
    <xf numFmtId="0" fontId="3" fillId="2" borderId="0" xfId="5" applyFill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6" fontId="3" fillId="22" borderId="0" xfId="1" applyNumberFormat="1" applyFont="1" applyFill="1" applyAlignment="1">
      <alignment horizontal="center" vertical="center"/>
    </xf>
    <xf numFmtId="166" fontId="3" fillId="9" borderId="0" xfId="1" applyNumberFormat="1" applyFont="1" applyFill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3" fillId="0" borderId="0" xfId="5" applyFill="1" applyBorder="1" applyAlignment="1">
      <alignment horizontal="right" vertical="center" wrapText="1"/>
    </xf>
    <xf numFmtId="0" fontId="6" fillId="29" borderId="0" xfId="5" applyFont="1" applyFill="1" applyBorder="1" applyAlignment="1">
      <alignment horizontal="left" vertical="center"/>
    </xf>
    <xf numFmtId="164" fontId="6" fillId="7" borderId="0" xfId="0" applyNumberFormat="1" applyFont="1" applyFill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3" fillId="0" borderId="0" xfId="5" applyAlignment="1">
      <alignment horizontal="left" vertical="center"/>
    </xf>
    <xf numFmtId="0" fontId="3" fillId="0" borderId="3" xfId="5" applyBorder="1" applyAlignment="1">
      <alignment horizontal="center" vertical="center"/>
    </xf>
    <xf numFmtId="167" fontId="31" fillId="0" borderId="1" xfId="14" applyNumberFormat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center" vertical="top"/>
    </xf>
    <xf numFmtId="1" fontId="3" fillId="0" borderId="0" xfId="5" applyNumberFormat="1" applyFill="1" applyAlignment="1">
      <alignment horizontal="center"/>
    </xf>
    <xf numFmtId="0" fontId="20" fillId="6" borderId="0" xfId="0" applyFont="1" applyFill="1" applyBorder="1" applyAlignment="1">
      <alignment horizontal="center" vertical="top"/>
    </xf>
    <xf numFmtId="0" fontId="20" fillId="15" borderId="0" xfId="0" applyFont="1" applyFill="1" applyBorder="1" applyAlignment="1">
      <alignment horizontal="center" vertical="top"/>
    </xf>
    <xf numFmtId="0" fontId="3" fillId="15" borderId="0" xfId="5" applyFill="1" applyAlignment="1">
      <alignment horizontal="left" vertical="center"/>
    </xf>
    <xf numFmtId="3" fontId="20" fillId="25" borderId="0" xfId="0" applyNumberFormat="1" applyFont="1" applyFill="1" applyBorder="1" applyAlignment="1">
      <alignment horizontal="center" vertical="top"/>
    </xf>
    <xf numFmtId="0" fontId="20" fillId="15" borderId="0" xfId="0" applyFont="1" applyFill="1" applyBorder="1" applyAlignment="1">
      <alignment horizontal="center" vertical="center"/>
    </xf>
    <xf numFmtId="3" fontId="20" fillId="25" borderId="0" xfId="1" applyNumberFormat="1" applyFont="1" applyFill="1" applyBorder="1" applyAlignment="1">
      <alignment horizontal="center" vertical="top"/>
    </xf>
    <xf numFmtId="0" fontId="3" fillId="35" borderId="0" xfId="5" applyFill="1" applyAlignment="1">
      <alignment horizontal="left" vertical="center"/>
    </xf>
    <xf numFmtId="14" fontId="0" fillId="0" borderId="0" xfId="0" applyNumberFormat="1"/>
    <xf numFmtId="0" fontId="3" fillId="36" borderId="0" xfId="5" applyNumberFormat="1" applyFill="1" applyBorder="1" applyAlignment="1">
      <alignment horizontal="center" vertical="center"/>
    </xf>
    <xf numFmtId="3" fontId="6" fillId="36" borderId="0" xfId="0" applyNumberFormat="1" applyFont="1" applyFill="1" applyBorder="1" applyAlignment="1">
      <alignment horizontal="center" vertical="center"/>
    </xf>
    <xf numFmtId="3" fontId="6" fillId="37" borderId="0" xfId="0" applyNumberFormat="1" applyFont="1" applyFill="1" applyBorder="1" applyAlignment="1">
      <alignment horizontal="center" vertical="center"/>
    </xf>
    <xf numFmtId="0" fontId="3" fillId="36" borderId="0" xfId="5" applyFill="1" applyAlignment="1">
      <alignment horizontal="center" vertical="center"/>
    </xf>
    <xf numFmtId="164" fontId="3" fillId="0" borderId="0" xfId="5" applyNumberFormat="1" applyAlignment="1">
      <alignment horizontal="center"/>
    </xf>
    <xf numFmtId="3" fontId="20" fillId="0" borderId="0" xfId="1" applyNumberFormat="1" applyFont="1" applyFill="1" applyBorder="1" applyAlignment="1">
      <alignment horizontal="center" vertical="top"/>
    </xf>
    <xf numFmtId="0" fontId="6" fillId="36" borderId="0" xfId="0" applyFont="1" applyFill="1"/>
    <xf numFmtId="0" fontId="6" fillId="36" borderId="0" xfId="0" applyFont="1" applyFill="1" applyAlignment="1">
      <alignment horizontal="center"/>
    </xf>
    <xf numFmtId="0" fontId="3" fillId="0" borderId="5" xfId="5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167" fontId="33" fillId="0" borderId="1" xfId="15" applyNumberFormat="1" applyFont="1" applyFill="1" applyBorder="1" applyAlignment="1">
      <alignment horizontal="right" wrapText="1"/>
    </xf>
    <xf numFmtId="166" fontId="3" fillId="0" borderId="0" xfId="1" applyNumberFormat="1" applyFont="1" applyAlignment="1">
      <alignment vertical="center"/>
    </xf>
    <xf numFmtId="166" fontId="0" fillId="0" borderId="0" xfId="1" applyNumberFormat="1" applyFont="1"/>
    <xf numFmtId="0" fontId="25" fillId="13" borderId="0" xfId="5" applyFont="1" applyFill="1" applyAlignment="1">
      <alignment horizontal="center" vertical="center"/>
    </xf>
    <xf numFmtId="0" fontId="3" fillId="35" borderId="0" xfId="5" applyFill="1" applyBorder="1" applyAlignment="1">
      <alignment horizontal="center" vertical="center"/>
    </xf>
    <xf numFmtId="0" fontId="3" fillId="35" borderId="0" xfId="5" applyFont="1" applyFill="1" applyBorder="1" applyAlignment="1">
      <alignment horizontal="center" vertical="center"/>
    </xf>
    <xf numFmtId="0" fontId="0" fillId="35" borderId="0" xfId="0" applyFill="1"/>
    <xf numFmtId="0" fontId="2" fillId="35" borderId="0" xfId="0" applyFont="1" applyFill="1"/>
    <xf numFmtId="9" fontId="0" fillId="0" borderId="0" xfId="7" applyFont="1"/>
    <xf numFmtId="9" fontId="3" fillId="0" borderId="0" xfId="7" applyFont="1" applyAlignment="1">
      <alignment vertical="center"/>
    </xf>
    <xf numFmtId="0" fontId="0" fillId="0" borderId="0" xfId="0" applyAlignment="1">
      <alignment horizontal="center"/>
    </xf>
    <xf numFmtId="0" fontId="3" fillId="0" borderId="5" xfId="5" applyBorder="1" applyAlignment="1">
      <alignment horizontal="center" vertical="center"/>
    </xf>
    <xf numFmtId="0" fontId="3" fillId="16" borderId="0" xfId="5" applyFill="1" applyBorder="1" applyAlignment="1">
      <alignment horizontal="left" vertical="center"/>
    </xf>
    <xf numFmtId="0" fontId="3" fillId="13" borderId="0" xfId="5" applyFont="1" applyFill="1" applyBorder="1" applyAlignment="1">
      <alignment horizontal="center" vertical="center"/>
    </xf>
    <xf numFmtId="3" fontId="0" fillId="0" borderId="0" xfId="0" applyNumberFormat="1"/>
    <xf numFmtId="0" fontId="3" fillId="25" borderId="0" xfId="5" applyFill="1" applyBorder="1" applyAlignment="1">
      <alignment horizontal="center" vertical="center"/>
    </xf>
    <xf numFmtId="0" fontId="3" fillId="25" borderId="0" xfId="5" applyFill="1" applyAlignment="1">
      <alignment horizontal="center" vertical="center"/>
    </xf>
    <xf numFmtId="0" fontId="0" fillId="38" borderId="0" xfId="0" applyFill="1"/>
    <xf numFmtId="0" fontId="3" fillId="38" borderId="0" xfId="5" applyFill="1" applyBorder="1" applyAlignment="1">
      <alignment horizontal="center" vertical="center"/>
    </xf>
    <xf numFmtId="1" fontId="3" fillId="0" borderId="0" xfId="5" applyNumberFormat="1" applyFont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/>
    </xf>
    <xf numFmtId="0" fontId="3" fillId="35" borderId="0" xfId="5" applyFill="1" applyAlignment="1">
      <alignment horizontal="center" vertical="center"/>
    </xf>
    <xf numFmtId="0" fontId="34" fillId="0" borderId="0" xfId="5" applyFont="1" applyAlignment="1">
      <alignment horizontal="center" vertical="center"/>
    </xf>
    <xf numFmtId="0" fontId="34" fillId="13" borderId="0" xfId="5" applyFont="1" applyFill="1" applyBorder="1" applyAlignment="1">
      <alignment horizontal="center" vertical="center"/>
    </xf>
    <xf numFmtId="0" fontId="3" fillId="0" borderId="5" xfId="5" applyBorder="1" applyAlignment="1">
      <alignment horizontal="center" vertical="center"/>
    </xf>
    <xf numFmtId="0" fontId="3" fillId="0" borderId="0" xfId="5" applyAlignment="1">
      <alignment horizontal="center"/>
    </xf>
    <xf numFmtId="9" fontId="3" fillId="35" borderId="0" xfId="7" applyFont="1" applyFill="1" applyBorder="1" applyAlignment="1">
      <alignment horizontal="center" vertical="center"/>
    </xf>
    <xf numFmtId="9" fontId="3" fillId="0" borderId="0" xfId="7" applyFont="1" applyFill="1" applyBorder="1" applyAlignment="1">
      <alignment horizontal="center" vertical="center"/>
    </xf>
    <xf numFmtId="9" fontId="0" fillId="35" borderId="0" xfId="7" applyFont="1" applyFill="1"/>
    <xf numFmtId="9" fontId="3" fillId="13" borderId="0" xfId="7" applyFont="1" applyFill="1" applyBorder="1" applyAlignment="1">
      <alignment horizontal="center" vertical="center"/>
    </xf>
    <xf numFmtId="9" fontId="16" fillId="13" borderId="0" xfId="7" applyFont="1" applyFill="1" applyBorder="1" applyAlignment="1">
      <alignment horizontal="center" vertical="center"/>
    </xf>
    <xf numFmtId="9" fontId="3" fillId="16" borderId="0" xfId="7" applyFont="1" applyFill="1" applyBorder="1" applyAlignment="1">
      <alignment horizontal="center" vertical="center"/>
    </xf>
    <xf numFmtId="9" fontId="3" fillId="39" borderId="0" xfId="7" applyFont="1" applyFill="1" applyBorder="1" applyAlignment="1">
      <alignment horizontal="center" vertical="center"/>
    </xf>
    <xf numFmtId="9" fontId="0" fillId="38" borderId="0" xfId="7" applyFont="1" applyFill="1"/>
    <xf numFmtId="9" fontId="3" fillId="38" borderId="0" xfId="7" applyFont="1" applyFill="1" applyBorder="1" applyAlignment="1">
      <alignment horizontal="center" vertical="center"/>
    </xf>
    <xf numFmtId="9" fontId="15" fillId="13" borderId="0" xfId="7" applyFont="1" applyFill="1" applyBorder="1" applyAlignment="1">
      <alignment horizontal="center" vertical="center"/>
    </xf>
    <xf numFmtId="9" fontId="25" fillId="13" borderId="0" xfId="7" applyFont="1" applyFill="1" applyBorder="1" applyAlignment="1">
      <alignment horizontal="center" vertical="center"/>
    </xf>
    <xf numFmtId="49" fontId="3" fillId="0" borderId="4" xfId="5" applyNumberFormat="1" applyBorder="1" applyAlignment="1">
      <alignment horizontal="center" vertical="center"/>
    </xf>
    <xf numFmtId="0" fontId="2" fillId="0" borderId="0" xfId="0" quotePrefix="1" applyFont="1"/>
    <xf numFmtId="0" fontId="2" fillId="0" borderId="0" xfId="0" applyFont="1" applyAlignment="1">
      <alignment horizontal="center"/>
    </xf>
    <xf numFmtId="0" fontId="3" fillId="13" borderId="0" xfId="5" applyFill="1" applyAlignment="1">
      <alignment horizontal="center"/>
    </xf>
    <xf numFmtId="0" fontId="3" fillId="23" borderId="0" xfId="5" applyFill="1" applyAlignment="1">
      <alignment horizontal="center"/>
    </xf>
    <xf numFmtId="0" fontId="3" fillId="0" borderId="0" xfId="5" applyAlignment="1">
      <alignment horizontal="center"/>
    </xf>
    <xf numFmtId="0" fontId="3" fillId="35" borderId="0" xfId="5" applyFill="1"/>
    <xf numFmtId="0" fontId="3" fillId="35" borderId="0" xfId="5" applyFill="1" applyAlignment="1">
      <alignment horizontal="center"/>
    </xf>
    <xf numFmtId="0" fontId="3" fillId="40" borderId="0" xfId="5" applyFill="1" applyAlignment="1">
      <alignment horizontal="center"/>
    </xf>
    <xf numFmtId="0" fontId="25" fillId="16" borderId="0" xfId="5" applyFont="1" applyFill="1" applyBorder="1" applyAlignment="1">
      <alignment horizontal="center" vertical="center"/>
    </xf>
    <xf numFmtId="0" fontId="3" fillId="13" borderId="6" xfId="5" applyFill="1" applyBorder="1" applyAlignment="1">
      <alignment horizontal="center"/>
    </xf>
    <xf numFmtId="0" fontId="3" fillId="40" borderId="6" xfId="5" applyFill="1" applyBorder="1" applyAlignment="1">
      <alignment horizontal="center"/>
    </xf>
    <xf numFmtId="0" fontId="3" fillId="33" borderId="6" xfId="5" applyNumberFormat="1" applyFill="1" applyBorder="1" applyAlignment="1">
      <alignment horizontal="center" vertical="center"/>
    </xf>
    <xf numFmtId="0" fontId="35" fillId="16" borderId="0" xfId="5" applyFont="1" applyFill="1" applyBorder="1" applyAlignment="1">
      <alignment horizontal="center" vertical="center"/>
    </xf>
    <xf numFmtId="0" fontId="34" fillId="16" borderId="0" xfId="5" applyFont="1" applyFill="1" applyBorder="1" applyAlignment="1">
      <alignment horizontal="center" vertical="center"/>
    </xf>
    <xf numFmtId="0" fontId="36" fillId="16" borderId="0" xfId="5" applyFont="1" applyFill="1" applyBorder="1" applyAlignment="1">
      <alignment horizontal="center" vertical="center"/>
    </xf>
    <xf numFmtId="0" fontId="34" fillId="0" borderId="2" xfId="5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5" fillId="22" borderId="0" xfId="5" applyFont="1" applyFill="1" applyAlignment="1">
      <alignment horizontal="center" vertical="center"/>
    </xf>
    <xf numFmtId="0" fontId="37" fillId="16" borderId="0" xfId="5" applyFont="1" applyFill="1" applyAlignment="1">
      <alignment horizontal="center" vertical="center"/>
    </xf>
    <xf numFmtId="0" fontId="3" fillId="27" borderId="0" xfId="5" applyFont="1" applyFill="1" applyBorder="1" applyAlignment="1">
      <alignment horizontal="center" vertical="center"/>
    </xf>
    <xf numFmtId="0" fontId="3" fillId="0" borderId="3" xfId="5" applyBorder="1" applyAlignment="1">
      <alignment horizontal="center" vertical="center"/>
    </xf>
    <xf numFmtId="3" fontId="18" fillId="13" borderId="0" xfId="0" applyNumberFormat="1" applyFont="1" applyFill="1" applyBorder="1" applyAlignment="1">
      <alignment horizontal="center" vertical="center"/>
    </xf>
    <xf numFmtId="0" fontId="27" fillId="6" borderId="0" xfId="0" applyFont="1" applyFill="1" applyBorder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3" fontId="18" fillId="6" borderId="0" xfId="0" applyNumberFormat="1" applyFont="1" applyFill="1" applyBorder="1" applyAlignment="1">
      <alignment horizontal="center" vertical="center"/>
    </xf>
    <xf numFmtId="3" fontId="27" fillId="6" borderId="0" xfId="0" applyNumberFormat="1" applyFont="1" applyFill="1" applyBorder="1" applyAlignment="1">
      <alignment horizontal="center" vertical="center"/>
    </xf>
    <xf numFmtId="0" fontId="25" fillId="22" borderId="0" xfId="5" applyFont="1" applyFill="1" applyAlignment="1">
      <alignment horizontal="center" vertical="center"/>
    </xf>
    <xf numFmtId="0" fontId="16" fillId="22" borderId="0" xfId="5" applyFont="1" applyFill="1" applyAlignment="1">
      <alignment horizontal="center" vertical="center"/>
    </xf>
    <xf numFmtId="166" fontId="15" fillId="22" borderId="0" xfId="1" applyNumberFormat="1" applyFont="1" applyFill="1" applyAlignment="1">
      <alignment horizontal="center" vertical="center"/>
    </xf>
    <xf numFmtId="0" fontId="38" fillId="16" borderId="0" xfId="5" applyFont="1" applyFill="1" applyAlignment="1">
      <alignment horizontal="center" vertical="center"/>
    </xf>
    <xf numFmtId="0" fontId="16" fillId="22" borderId="0" xfId="5" applyFont="1" applyFill="1" applyBorder="1" applyAlignment="1">
      <alignment horizontal="center" vertical="center"/>
    </xf>
    <xf numFmtId="0" fontId="25" fillId="22" borderId="0" xfId="5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34" fillId="6" borderId="0" xfId="0" applyFont="1" applyFill="1" applyBorder="1" applyAlignment="1">
      <alignment horizontal="center" vertical="center"/>
    </xf>
    <xf numFmtId="3" fontId="26" fillId="13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0" fontId="37" fillId="13" borderId="0" xfId="5" applyFont="1" applyFill="1" applyAlignment="1">
      <alignment horizontal="center" vertical="center"/>
    </xf>
    <xf numFmtId="3" fontId="39" fillId="13" borderId="0" xfId="0" applyNumberFormat="1" applyFont="1" applyFill="1" applyBorder="1" applyAlignment="1">
      <alignment horizontal="center" vertical="center"/>
    </xf>
    <xf numFmtId="3" fontId="40" fillId="13" borderId="0" xfId="0" applyNumberFormat="1" applyFont="1" applyFill="1" applyBorder="1" applyAlignment="1">
      <alignment horizontal="center" vertical="center"/>
    </xf>
    <xf numFmtId="0" fontId="3" fillId="28" borderId="0" xfId="5" applyFill="1"/>
    <xf numFmtId="0" fontId="3" fillId="28" borderId="0" xfId="5" applyFill="1" applyBorder="1" applyAlignment="1">
      <alignment horizontal="center" vertical="center" wrapText="1"/>
    </xf>
    <xf numFmtId="0" fontId="3" fillId="41" borderId="0" xfId="5" applyNumberFormat="1" applyFill="1" applyBorder="1" applyAlignment="1">
      <alignment horizontal="center" vertical="center"/>
    </xf>
    <xf numFmtId="0" fontId="3" fillId="41" borderId="0" xfId="5" applyFill="1" applyBorder="1" applyAlignment="1">
      <alignment horizontal="center" vertical="center"/>
    </xf>
    <xf numFmtId="0" fontId="3" fillId="41" borderId="0" xfId="5" applyFill="1" applyAlignment="1">
      <alignment horizontal="center" vertical="center"/>
    </xf>
    <xf numFmtId="0" fontId="3" fillId="0" borderId="0" xfId="5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10" fontId="31" fillId="9" borderId="1" xfId="16" applyNumberFormat="1" applyFont="1" applyFill="1" applyBorder="1" applyAlignment="1">
      <alignment horizontal="right" wrapText="1"/>
    </xf>
    <xf numFmtId="0" fontId="35" fillId="13" borderId="0" xfId="5" applyFont="1" applyFill="1" applyBorder="1" applyAlignment="1">
      <alignment horizontal="center" vertical="center"/>
    </xf>
    <xf numFmtId="3" fontId="26" fillId="6" borderId="0" xfId="0" applyNumberFormat="1" applyFont="1" applyFill="1" applyBorder="1" applyAlignment="1">
      <alignment horizontal="center" vertical="center"/>
    </xf>
    <xf numFmtId="0" fontId="3" fillId="23" borderId="0" xfId="5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6" fillId="0" borderId="0" xfId="5" applyFont="1" applyFill="1" applyAlignment="1">
      <alignment horizontal="center" vertical="center"/>
    </xf>
    <xf numFmtId="3" fontId="27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30" xfId="0" applyBorder="1"/>
    <xf numFmtId="0" fontId="0" fillId="0" borderId="31" xfId="0" applyBorder="1"/>
    <xf numFmtId="0" fontId="3" fillId="0" borderId="0" xfId="5" applyAlignment="1">
      <alignment horizontal="center"/>
    </xf>
    <xf numFmtId="0" fontId="3" fillId="33" borderId="0" xfId="5" applyFill="1"/>
    <xf numFmtId="0" fontId="15" fillId="33" borderId="0" xfId="5" applyFont="1" applyFill="1" applyBorder="1" applyAlignment="1">
      <alignment horizontal="center" vertical="center"/>
    </xf>
    <xf numFmtId="0" fontId="15" fillId="33" borderId="0" xfId="5" applyFont="1" applyFill="1" applyAlignment="1">
      <alignment horizontal="center" vertical="center"/>
    </xf>
    <xf numFmtId="0" fontId="3" fillId="33" borderId="6" xfId="5" applyFill="1" applyBorder="1" applyAlignment="1">
      <alignment horizontal="center" vertical="center"/>
    </xf>
    <xf numFmtId="0" fontId="3" fillId="0" borderId="0" xfId="5" applyAlignment="1">
      <alignment horizontal="center"/>
    </xf>
    <xf numFmtId="3" fontId="27" fillId="13" borderId="0" xfId="0" applyNumberFormat="1" applyFont="1" applyFill="1" applyBorder="1" applyAlignment="1">
      <alignment horizontal="center" vertical="center"/>
    </xf>
    <xf numFmtId="0" fontId="27" fillId="13" borderId="0" xfId="0" applyFont="1" applyFill="1" applyBorder="1" applyAlignment="1">
      <alignment horizontal="center" vertical="center"/>
    </xf>
    <xf numFmtId="3" fontId="37" fillId="22" borderId="0" xfId="5" applyNumberFormat="1" applyFont="1" applyFill="1" applyAlignment="1">
      <alignment horizontal="center" vertical="center"/>
    </xf>
    <xf numFmtId="0" fontId="37" fillId="22" borderId="0" xfId="5" applyFont="1" applyFill="1" applyAlignment="1">
      <alignment horizontal="center" vertical="center"/>
    </xf>
    <xf numFmtId="0" fontId="24" fillId="13" borderId="0" xfId="5" applyFont="1" applyFill="1" applyAlignment="1">
      <alignment horizontal="center" vertical="center"/>
    </xf>
    <xf numFmtId="0" fontId="3" fillId="0" borderId="22" xfId="5" applyBorder="1" applyAlignment="1">
      <alignment horizontal="center" vertical="center"/>
    </xf>
    <xf numFmtId="0" fontId="41" fillId="13" borderId="0" xfId="5" applyFont="1" applyFill="1" applyAlignment="1">
      <alignment horizontal="center" vertical="center"/>
    </xf>
    <xf numFmtId="0" fontId="15" fillId="40" borderId="0" xfId="5" applyFont="1" applyFill="1" applyAlignment="1">
      <alignment horizontal="center"/>
    </xf>
    <xf numFmtId="0" fontId="16" fillId="16" borderId="0" xfId="5" applyFont="1" applyFill="1" applyBorder="1" applyAlignment="1">
      <alignment horizontal="center" vertical="center"/>
    </xf>
    <xf numFmtId="3" fontId="29" fillId="13" borderId="0" xfId="0" applyNumberFormat="1" applyFont="1" applyFill="1" applyBorder="1" applyAlignment="1">
      <alignment horizontal="center" vertical="center"/>
    </xf>
    <xf numFmtId="0" fontId="3" fillId="8" borderId="0" xfId="5" applyNumberFormat="1" applyFont="1" applyFill="1" applyBorder="1" applyAlignment="1">
      <alignment horizontal="center" vertical="center"/>
    </xf>
    <xf numFmtId="0" fontId="3" fillId="12" borderId="0" xfId="5" applyNumberFormat="1" applyFont="1" applyFill="1" applyBorder="1" applyAlignment="1">
      <alignment horizontal="center" vertical="center"/>
    </xf>
    <xf numFmtId="0" fontId="3" fillId="16" borderId="0" xfId="5" applyFont="1" applyFill="1" applyBorder="1" applyAlignment="1">
      <alignment horizontal="center" vertical="center"/>
    </xf>
    <xf numFmtId="0" fontId="3" fillId="16" borderId="0" xfId="5" applyFont="1" applyFill="1" applyAlignment="1">
      <alignment horizontal="center" vertical="center"/>
    </xf>
    <xf numFmtId="0" fontId="3" fillId="0" borderId="0" xfId="5" applyFont="1" applyAlignment="1">
      <alignment vertical="center"/>
    </xf>
    <xf numFmtId="0" fontId="34" fillId="16" borderId="0" xfId="5" applyFont="1" applyFill="1" applyAlignment="1">
      <alignment horizontal="center" vertical="center"/>
    </xf>
    <xf numFmtId="0" fontId="35" fillId="16" borderId="0" xfId="5" applyFont="1" applyFill="1" applyAlignment="1">
      <alignment horizontal="center" vertical="center"/>
    </xf>
    <xf numFmtId="0" fontId="25" fillId="16" borderId="0" xfId="5" applyNumberFormat="1" applyFont="1" applyFill="1" applyBorder="1" applyAlignment="1">
      <alignment horizontal="center" vertical="center"/>
    </xf>
    <xf numFmtId="0" fontId="41" fillId="16" borderId="0" xfId="5" applyNumberFormat="1" applyFont="1" applyFill="1" applyBorder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41" fillId="16" borderId="0" xfId="5" applyFont="1" applyFill="1" applyAlignment="1">
      <alignment horizontal="center" vertical="center"/>
    </xf>
    <xf numFmtId="0" fontId="44" fillId="16" borderId="0" xfId="5" applyFont="1" applyFill="1" applyAlignment="1">
      <alignment horizontal="center" vertical="center"/>
    </xf>
    <xf numFmtId="0" fontId="45" fillId="16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3" fillId="40" borderId="0" xfId="5" applyFont="1" applyFill="1" applyAlignment="1">
      <alignment horizontal="center"/>
    </xf>
    <xf numFmtId="0" fontId="3" fillId="0" borderId="3" xfId="5" applyBorder="1" applyAlignment="1">
      <alignment horizontal="center" vertical="center"/>
    </xf>
    <xf numFmtId="0" fontId="3" fillId="0" borderId="0" xfId="5" applyAlignment="1">
      <alignment horizontal="center"/>
    </xf>
    <xf numFmtId="1" fontId="6" fillId="0" borderId="0" xfId="3" applyNumberFormat="1" applyFont="1" applyFill="1" applyBorder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6" fillId="13" borderId="0" xfId="5" applyNumberFormat="1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3" fillId="12" borderId="0" xfId="5" applyFill="1" applyAlignment="1">
      <alignment horizontal="left" vertical="center"/>
    </xf>
    <xf numFmtId="3" fontId="6" fillId="6" borderId="6" xfId="0" applyNumberFormat="1" applyFont="1" applyFill="1" applyBorder="1" applyAlignment="1">
      <alignment horizontal="center" vertical="top"/>
    </xf>
    <xf numFmtId="3" fontId="6" fillId="6" borderId="6" xfId="0" applyNumberFormat="1" applyFont="1" applyFill="1" applyBorder="1" applyAlignment="1">
      <alignment horizontal="center" vertical="center"/>
    </xf>
    <xf numFmtId="3" fontId="20" fillId="12" borderId="6" xfId="0" applyNumberFormat="1" applyFont="1" applyFill="1" applyBorder="1" applyAlignment="1">
      <alignment horizontal="center" vertical="center"/>
    </xf>
    <xf numFmtId="0" fontId="41" fillId="16" borderId="0" xfId="5" applyFont="1" applyFill="1" applyBorder="1" applyAlignment="1">
      <alignment horizontal="center" vertical="center"/>
    </xf>
    <xf numFmtId="0" fontId="46" fillId="6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3" fontId="47" fillId="6" borderId="0" xfId="0" applyNumberFormat="1" applyFont="1" applyFill="1" applyBorder="1" applyAlignment="1">
      <alignment horizontal="center" vertical="center"/>
    </xf>
    <xf numFmtId="3" fontId="48" fillId="13" borderId="0" xfId="0" applyNumberFormat="1" applyFont="1" applyFill="1" applyBorder="1" applyAlignment="1">
      <alignment horizontal="center" vertical="center"/>
    </xf>
    <xf numFmtId="3" fontId="21" fillId="12" borderId="6" xfId="0" applyNumberFormat="1" applyFont="1" applyFill="1" applyBorder="1" applyAlignment="1">
      <alignment horizontal="center" vertical="center"/>
    </xf>
    <xf numFmtId="0" fontId="3" fillId="0" borderId="0" xfId="5" applyNumberFormat="1" applyFont="1" applyFill="1" applyBorder="1" applyAlignment="1">
      <alignment horizontal="center" vertical="center"/>
    </xf>
    <xf numFmtId="0" fontId="3" fillId="0" borderId="0" xfId="5" applyAlignment="1">
      <alignment horizontal="center"/>
    </xf>
    <xf numFmtId="0" fontId="3" fillId="0" borderId="0" xfId="5" applyAlignment="1">
      <alignment wrapText="1"/>
    </xf>
    <xf numFmtId="0" fontId="0" fillId="0" borderId="0" xfId="0" applyAlignment="1">
      <alignment wrapText="1"/>
    </xf>
    <xf numFmtId="0" fontId="0" fillId="23" borderId="0" xfId="0" applyFill="1"/>
    <xf numFmtId="0" fontId="0" fillId="42" borderId="0" xfId="0" applyFill="1"/>
    <xf numFmtId="0" fontId="0" fillId="30" borderId="0" xfId="0" applyFill="1"/>
    <xf numFmtId="9" fontId="0" fillId="0" borderId="0" xfId="0" applyNumberFormat="1"/>
    <xf numFmtId="9" fontId="0" fillId="38" borderId="0" xfId="0" applyNumberFormat="1" applyFill="1"/>
    <xf numFmtId="9" fontId="0" fillId="36" borderId="0" xfId="0" applyNumberFormat="1" applyFill="1"/>
    <xf numFmtId="9" fontId="0" fillId="16" borderId="0" xfId="0" applyNumberFormat="1" applyFill="1"/>
    <xf numFmtId="0" fontId="0" fillId="43" borderId="0" xfId="0" applyFill="1"/>
    <xf numFmtId="9" fontId="0" fillId="37" borderId="3" xfId="0" applyNumberFormat="1" applyFill="1" applyBorder="1"/>
    <xf numFmtId="0" fontId="6" fillId="28" borderId="0" xfId="0" applyFont="1" applyFill="1" applyBorder="1" applyAlignment="1">
      <alignment horizontal="center" vertical="center"/>
    </xf>
    <xf numFmtId="0" fontId="34" fillId="13" borderId="0" xfId="5" applyFont="1" applyFill="1" applyAlignment="1">
      <alignment horizontal="center" vertical="center"/>
    </xf>
    <xf numFmtId="1" fontId="15" fillId="16" borderId="0" xfId="5" applyNumberFormat="1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29" fillId="13" borderId="0" xfId="0" applyFont="1" applyFill="1" applyBorder="1" applyAlignment="1">
      <alignment horizontal="center" vertical="center"/>
    </xf>
    <xf numFmtId="0" fontId="6" fillId="13" borderId="0" xfId="5" applyFont="1" applyFill="1" applyBorder="1" applyAlignment="1">
      <alignment horizontal="center" vertical="center"/>
    </xf>
    <xf numFmtId="0" fontId="41" fillId="13" borderId="0" xfId="5" applyFont="1" applyFill="1" applyBorder="1" applyAlignment="1">
      <alignment horizontal="center" vertical="center"/>
    </xf>
    <xf numFmtId="0" fontId="3" fillId="40" borderId="0" xfId="5" applyFont="1" applyFill="1" applyAlignment="1">
      <alignment horizontal="center" vertical="center"/>
    </xf>
    <xf numFmtId="0" fontId="15" fillId="40" borderId="0" xfId="5" applyFont="1" applyFill="1" applyAlignment="1">
      <alignment horizontal="center" vertical="center"/>
    </xf>
    <xf numFmtId="0" fontId="41" fillId="40" borderId="0" xfId="5" applyFont="1" applyFill="1" applyAlignment="1">
      <alignment horizontal="center" vertical="center"/>
    </xf>
    <xf numFmtId="0" fontId="25" fillId="40" borderId="0" xfId="5" applyFont="1" applyFill="1" applyAlignment="1">
      <alignment horizontal="center" vertical="center"/>
    </xf>
    <xf numFmtId="0" fontId="47" fillId="13" borderId="0" xfId="0" applyFont="1" applyFill="1" applyBorder="1" applyAlignment="1">
      <alignment horizontal="center" vertical="center"/>
    </xf>
    <xf numFmtId="0" fontId="41" fillId="13" borderId="0" xfId="5" applyFont="1" applyFill="1" applyAlignment="1">
      <alignment horizontal="center"/>
    </xf>
    <xf numFmtId="0" fontId="49" fillId="16" borderId="0" xfId="5" applyFont="1" applyFill="1" applyBorder="1" applyAlignment="1">
      <alignment horizontal="center" vertical="center"/>
    </xf>
    <xf numFmtId="0" fontId="15" fillId="13" borderId="0" xfId="5" applyFont="1" applyFill="1" applyAlignment="1">
      <alignment horizontal="center"/>
    </xf>
    <xf numFmtId="3" fontId="47" fillId="13" borderId="0" xfId="0" applyNumberFormat="1" applyFont="1" applyFill="1" applyBorder="1" applyAlignment="1">
      <alignment horizontal="center" vertical="center"/>
    </xf>
    <xf numFmtId="0" fontId="18" fillId="13" borderId="0" xfId="5" applyFont="1" applyFill="1" applyBorder="1" applyAlignment="1">
      <alignment horizontal="center" vertical="center"/>
    </xf>
    <xf numFmtId="0" fontId="26" fillId="13" borderId="0" xfId="5" applyFont="1" applyFill="1" applyBorder="1" applyAlignment="1">
      <alignment horizontal="center" vertical="center"/>
    </xf>
    <xf numFmtId="166" fontId="3" fillId="13" borderId="0" xfId="1" applyNumberFormat="1" applyFont="1" applyFill="1" applyAlignment="1">
      <alignment horizontal="center" vertical="center"/>
    </xf>
    <xf numFmtId="166" fontId="15" fillId="13" borderId="0" xfId="1" applyNumberFormat="1" applyFont="1" applyFill="1" applyAlignment="1">
      <alignment horizontal="center" vertical="center"/>
    </xf>
    <xf numFmtId="0" fontId="3" fillId="13" borderId="0" xfId="1" applyNumberFormat="1" applyFont="1" applyFill="1" applyAlignment="1">
      <alignment horizontal="center" vertical="center"/>
    </xf>
    <xf numFmtId="166" fontId="15" fillId="13" borderId="0" xfId="1" applyNumberFormat="1" applyFont="1" applyFill="1" applyBorder="1" applyAlignment="1">
      <alignment horizontal="center" vertical="center"/>
    </xf>
    <xf numFmtId="1" fontId="3" fillId="13" borderId="0" xfId="5" applyNumberFormat="1" applyFill="1" applyBorder="1" applyAlignment="1">
      <alignment horizontal="center" vertical="center"/>
    </xf>
    <xf numFmtId="1" fontId="25" fillId="13" borderId="0" xfId="5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31" fillId="0" borderId="1" xfId="14" applyFont="1" applyFill="1" applyBorder="1" applyAlignment="1">
      <alignment horizontal="right" wrapText="1"/>
    </xf>
    <xf numFmtId="0" fontId="3" fillId="0" borderId="0" xfId="14"/>
    <xf numFmtId="10" fontId="31" fillId="0" borderId="1" xfId="14" applyNumberFormat="1" applyFont="1" applyFill="1" applyBorder="1" applyAlignment="1">
      <alignment horizontal="right" wrapText="1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6" fillId="0" borderId="0" xfId="0" applyNumberFormat="1" applyFont="1" applyBorder="1" applyAlignment="1">
      <alignment horizontal="left" vertical="center"/>
    </xf>
    <xf numFmtId="0" fontId="50" fillId="13" borderId="0" xfId="5" applyFont="1" applyFill="1" applyBorder="1" applyAlignment="1">
      <alignment horizontal="center" vertical="center"/>
    </xf>
    <xf numFmtId="1" fontId="0" fillId="0" borderId="0" xfId="0" applyNumberFormat="1"/>
    <xf numFmtId="1" fontId="0" fillId="27" borderId="0" xfId="0" applyNumberFormat="1" applyFill="1"/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51" fillId="0" borderId="32" xfId="0" applyFont="1" applyBorder="1" applyAlignment="1">
      <alignment horizontal="center" vertical="top" wrapText="1"/>
    </xf>
    <xf numFmtId="0" fontId="51" fillId="0" borderId="32" xfId="0" applyFont="1" applyFill="1" applyBorder="1" applyAlignment="1">
      <alignment horizontal="center" vertical="top" wrapText="1"/>
    </xf>
    <xf numFmtId="0" fontId="52" fillId="0" borderId="32" xfId="0" applyFont="1" applyBorder="1" applyAlignment="1">
      <alignment horizontal="center" vertical="center" wrapText="1"/>
    </xf>
    <xf numFmtId="0" fontId="53" fillId="0" borderId="33" xfId="0" applyFont="1" applyBorder="1" applyAlignment="1">
      <alignment horizontal="center" vertical="center" wrapText="1"/>
    </xf>
    <xf numFmtId="0" fontId="52" fillId="0" borderId="34" xfId="0" applyFont="1" applyBorder="1" applyAlignment="1">
      <alignment horizontal="center" vertical="center" wrapText="1"/>
    </xf>
    <xf numFmtId="0" fontId="52" fillId="0" borderId="33" xfId="0" applyFont="1" applyBorder="1" applyAlignment="1">
      <alignment horizontal="center" vertical="center" wrapText="1"/>
    </xf>
    <xf numFmtId="0" fontId="52" fillId="0" borderId="35" xfId="0" applyFont="1" applyBorder="1" applyAlignment="1">
      <alignment horizontal="center" vertical="center" wrapText="1"/>
    </xf>
    <xf numFmtId="0" fontId="52" fillId="0" borderId="36" xfId="0" applyFont="1" applyBorder="1" applyAlignment="1">
      <alignment horizontal="center" vertical="center" wrapText="1"/>
    </xf>
    <xf numFmtId="0" fontId="52" fillId="0" borderId="37" xfId="0" applyFont="1" applyBorder="1" applyAlignment="1">
      <alignment horizontal="center" vertical="center" wrapText="1"/>
    </xf>
    <xf numFmtId="0" fontId="52" fillId="0" borderId="3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20" fillId="0" borderId="28" xfId="0" applyFont="1" applyFill="1" applyBorder="1" applyAlignment="1">
      <alignment horizontal="center" vertical="center"/>
    </xf>
    <xf numFmtId="0" fontId="20" fillId="6" borderId="39" xfId="0" applyFont="1" applyFill="1" applyBorder="1" applyAlignment="1">
      <alignment horizontal="center" vertical="center"/>
    </xf>
    <xf numFmtId="0" fontId="20" fillId="25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20" fillId="25" borderId="29" xfId="0" applyFont="1" applyFill="1" applyBorder="1" applyAlignment="1">
      <alignment horizontal="center" vertical="center"/>
    </xf>
    <xf numFmtId="0" fontId="20" fillId="13" borderId="40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3" fontId="20" fillId="25" borderId="6" xfId="0" applyNumberFormat="1" applyFont="1" applyFill="1" applyBorder="1" applyAlignment="1">
      <alignment horizontal="center" vertical="top"/>
    </xf>
    <xf numFmtId="3" fontId="21" fillId="13" borderId="28" xfId="0" applyNumberFormat="1" applyFont="1" applyFill="1" applyBorder="1" applyAlignment="1">
      <alignment horizontal="center" vertical="top"/>
    </xf>
    <xf numFmtId="0" fontId="29" fillId="13" borderId="39" xfId="0" applyFont="1" applyFill="1" applyBorder="1" applyAlignment="1">
      <alignment horizontal="center" vertical="center"/>
    </xf>
    <xf numFmtId="3" fontId="20" fillId="0" borderId="6" xfId="0" applyNumberFormat="1" applyFont="1" applyFill="1" applyBorder="1" applyAlignment="1">
      <alignment horizontal="center" vertical="center"/>
    </xf>
    <xf numFmtId="3" fontId="20" fillId="0" borderId="6" xfId="0" applyNumberFormat="1" applyFont="1" applyFill="1" applyBorder="1" applyAlignment="1">
      <alignment horizontal="center" vertical="top"/>
    </xf>
    <xf numFmtId="3" fontId="20" fillId="0" borderId="28" xfId="0" applyNumberFormat="1" applyFont="1" applyFill="1" applyBorder="1" applyAlignment="1">
      <alignment horizontal="center" vertical="center"/>
    </xf>
    <xf numFmtId="3" fontId="20" fillId="0" borderId="39" xfId="0" applyNumberFormat="1" applyFont="1" applyFill="1" applyBorder="1" applyAlignment="1">
      <alignment horizontal="center" vertical="center"/>
    </xf>
    <xf numFmtId="3" fontId="20" fillId="0" borderId="28" xfId="0" applyNumberFormat="1" applyFont="1" applyFill="1" applyBorder="1" applyAlignment="1">
      <alignment vertical="center"/>
    </xf>
    <xf numFmtId="0" fontId="20" fillId="13" borderId="6" xfId="0" applyFont="1" applyFill="1" applyBorder="1" applyAlignment="1">
      <alignment horizontal="center" vertical="center"/>
    </xf>
    <xf numFmtId="0" fontId="20" fillId="25" borderId="40" xfId="0" applyFont="1" applyFill="1" applyBorder="1" applyAlignment="1">
      <alignment horizontal="center" vertical="center"/>
    </xf>
    <xf numFmtId="0" fontId="46" fillId="13" borderId="6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/>
    </xf>
    <xf numFmtId="3" fontId="21" fillId="13" borderId="41" xfId="0" applyNumberFormat="1" applyFont="1" applyFill="1" applyBorder="1" applyAlignment="1">
      <alignment horizontal="center" vertical="top"/>
    </xf>
    <xf numFmtId="0" fontId="20" fillId="13" borderId="29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top"/>
    </xf>
    <xf numFmtId="0" fontId="6" fillId="0" borderId="39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 vertical="center"/>
    </xf>
    <xf numFmtId="0" fontId="6" fillId="25" borderId="6" xfId="0" applyFont="1" applyFill="1" applyBorder="1" applyAlignment="1">
      <alignment horizontal="center"/>
    </xf>
    <xf numFmtId="0" fontId="29" fillId="25" borderId="6" xfId="0" applyFont="1" applyFill="1" applyBorder="1" applyAlignment="1">
      <alignment horizontal="center" vertical="center"/>
    </xf>
    <xf numFmtId="3" fontId="46" fillId="13" borderId="6" xfId="0" applyNumberFormat="1" applyFont="1" applyFill="1" applyBorder="1" applyAlignment="1">
      <alignment horizontal="center" vertical="top"/>
    </xf>
    <xf numFmtId="0" fontId="21" fillId="0" borderId="39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44" borderId="6" xfId="0" applyFont="1" applyFill="1" applyBorder="1" applyAlignment="1">
      <alignment vertical="center"/>
    </xf>
    <xf numFmtId="0" fontId="0" fillId="37" borderId="0" xfId="0" applyFill="1" applyAlignment="1">
      <alignment horizontal="center"/>
    </xf>
    <xf numFmtId="0" fontId="6" fillId="37" borderId="0" xfId="0" applyFont="1" applyFill="1"/>
    <xf numFmtId="0" fontId="0" fillId="37" borderId="0" xfId="0" applyFill="1"/>
    <xf numFmtId="0" fontId="4" fillId="45" borderId="6" xfId="0" applyFont="1" applyFill="1" applyBorder="1" applyAlignment="1">
      <alignment vertical="center"/>
    </xf>
    <xf numFmtId="0" fontId="0" fillId="46" borderId="0" xfId="0" applyFill="1" applyBorder="1" applyAlignment="1">
      <alignment vertical="center"/>
    </xf>
    <xf numFmtId="0" fontId="0" fillId="37" borderId="0" xfId="0" applyFill="1" applyBorder="1" applyAlignment="1">
      <alignment vertical="center"/>
    </xf>
    <xf numFmtId="0" fontId="0" fillId="46" borderId="0" xfId="0" applyFill="1"/>
    <xf numFmtId="0" fontId="0" fillId="46" borderId="0" xfId="0" applyFill="1" applyAlignment="1">
      <alignment horizontal="center"/>
    </xf>
    <xf numFmtId="0" fontId="6" fillId="46" borderId="0" xfId="0" applyFont="1" applyFill="1"/>
    <xf numFmtId="0" fontId="54" fillId="45" borderId="0" xfId="0" applyFont="1" applyFill="1" applyAlignment="1">
      <alignment horizontal="center"/>
    </xf>
    <xf numFmtId="0" fontId="54" fillId="45" borderId="0" xfId="0" applyFont="1" applyFill="1" applyAlignment="1">
      <alignment horizontal="right"/>
    </xf>
    <xf numFmtId="0" fontId="54" fillId="45" borderId="0" xfId="0" applyFont="1" applyFill="1"/>
    <xf numFmtId="0" fontId="54" fillId="44" borderId="0" xfId="0" applyFont="1" applyFill="1" applyAlignment="1">
      <alignment horizontal="center"/>
    </xf>
    <xf numFmtId="0" fontId="6" fillId="37" borderId="0" xfId="0" applyFont="1" applyFill="1" applyAlignment="1">
      <alignment horizontal="center"/>
    </xf>
    <xf numFmtId="0" fontId="0" fillId="37" borderId="0" xfId="0" applyFill="1" applyBorder="1"/>
    <xf numFmtId="0" fontId="3" fillId="28" borderId="0" xfId="5" applyFill="1" applyAlignment="1">
      <alignment horizontal="center"/>
    </xf>
    <xf numFmtId="0" fontId="45" fillId="13" borderId="0" xfId="5" applyFont="1" applyFill="1" applyAlignment="1">
      <alignment horizontal="center" vertical="center"/>
    </xf>
    <xf numFmtId="0" fontId="45" fillId="13" borderId="0" xfId="5" applyFont="1" applyFill="1" applyAlignment="1">
      <alignment horizontal="center"/>
    </xf>
    <xf numFmtId="0" fontId="44" fillId="13" borderId="0" xfId="5" applyFont="1" applyFill="1" applyBorder="1" applyAlignment="1">
      <alignment horizontal="center" vertical="center"/>
    </xf>
    <xf numFmtId="0" fontId="55" fillId="13" borderId="0" xfId="5" applyFont="1" applyFill="1" applyBorder="1" applyAlignment="1">
      <alignment horizontal="center" vertical="center"/>
    </xf>
    <xf numFmtId="0" fontId="45" fillId="13" borderId="0" xfId="5" applyFont="1" applyFill="1" applyBorder="1" applyAlignment="1">
      <alignment horizontal="center" vertical="center"/>
    </xf>
    <xf numFmtId="0" fontId="50" fillId="13" borderId="0" xfId="5" applyFont="1" applyFill="1" applyAlignment="1">
      <alignment horizontal="center" vertical="center"/>
    </xf>
    <xf numFmtId="0" fontId="3" fillId="0" borderId="0" xfId="5" applyAlignment="1">
      <alignment horizontal="center"/>
    </xf>
    <xf numFmtId="0" fontId="20" fillId="4" borderId="0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6" fillId="13" borderId="0" xfId="5" applyFont="1" applyFill="1" applyAlignment="1">
      <alignment horizontal="center" vertical="center"/>
    </xf>
    <xf numFmtId="0" fontId="21" fillId="13" borderId="39" xfId="0" applyFont="1" applyFill="1" applyBorder="1" applyAlignment="1">
      <alignment horizontal="center" vertical="center"/>
    </xf>
    <xf numFmtId="0" fontId="47" fillId="13" borderId="0" xfId="5" applyFont="1" applyFill="1" applyBorder="1" applyAlignment="1">
      <alignment horizontal="center" vertical="center"/>
    </xf>
    <xf numFmtId="166" fontId="3" fillId="13" borderId="0" xfId="1" applyNumberFormat="1" applyFont="1" applyFill="1" applyBorder="1" applyAlignment="1">
      <alignment horizontal="center" vertical="center"/>
    </xf>
    <xf numFmtId="166" fontId="56" fillId="13" borderId="0" xfId="1" applyNumberFormat="1" applyFont="1" applyFill="1" applyBorder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/>
    </xf>
    <xf numFmtId="1" fontId="15" fillId="13" borderId="0" xfId="5" applyNumberFormat="1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21" fillId="13" borderId="0" xfId="0" applyFont="1" applyFill="1" applyBorder="1" applyAlignment="1">
      <alignment horizontal="center" vertical="center"/>
    </xf>
    <xf numFmtId="0" fontId="46" fillId="13" borderId="0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31" fillId="0" borderId="42" xfId="13" applyFont="1" applyFill="1" applyBorder="1" applyAlignment="1">
      <alignment horizontal="right" wrapText="1"/>
    </xf>
    <xf numFmtId="0" fontId="57" fillId="13" borderId="0" xfId="0" applyFont="1" applyFill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44" fillId="13" borderId="0" xfId="5" applyFont="1" applyFill="1" applyAlignment="1">
      <alignment horizontal="center" vertical="center"/>
    </xf>
    <xf numFmtId="167" fontId="59" fillId="0" borderId="1" xfId="19" applyNumberFormat="1" applyFont="1" applyFill="1" applyBorder="1" applyAlignment="1">
      <alignment horizontal="right" wrapText="1"/>
    </xf>
    <xf numFmtId="167" fontId="59" fillId="0" borderId="43" xfId="19" applyNumberFormat="1" applyFont="1" applyFill="1" applyBorder="1" applyAlignment="1">
      <alignment horizontal="right" wrapText="1"/>
    </xf>
    <xf numFmtId="0" fontId="59" fillId="0" borderId="0" xfId="19" applyFont="1" applyFill="1" applyBorder="1" applyAlignment="1">
      <alignment horizontal="center"/>
    </xf>
    <xf numFmtId="3" fontId="60" fillId="24" borderId="0" xfId="0" applyNumberFormat="1" applyFont="1" applyFill="1"/>
    <xf numFmtId="3" fontId="0" fillId="24" borderId="0" xfId="0" applyNumberFormat="1" applyFont="1" applyFill="1"/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166" fontId="15" fillId="9" borderId="0" xfId="1" applyNumberFormat="1" applyFont="1" applyFill="1" applyBorder="1" applyAlignment="1">
      <alignment horizontal="center" vertical="center"/>
    </xf>
    <xf numFmtId="0" fontId="31" fillId="34" borderId="26" xfId="20" applyFont="1" applyFill="1" applyBorder="1" applyAlignment="1">
      <alignment horizontal="center"/>
    </xf>
    <xf numFmtId="0" fontId="31" fillId="0" borderId="1" xfId="20" applyFont="1" applyFill="1" applyBorder="1" applyAlignment="1">
      <alignment horizontal="right" wrapText="1"/>
    </xf>
    <xf numFmtId="0" fontId="31" fillId="0" borderId="1" xfId="20" applyFont="1" applyFill="1" applyBorder="1" applyAlignment="1">
      <alignment wrapText="1"/>
    </xf>
    <xf numFmtId="167" fontId="31" fillId="0" borderId="1" xfId="20" applyNumberFormat="1" applyFont="1" applyFill="1" applyBorder="1" applyAlignment="1">
      <alignment horizontal="right" wrapText="1"/>
    </xf>
    <xf numFmtId="0" fontId="3" fillId="0" borderId="0" xfId="20"/>
    <xf numFmtId="10" fontId="31" fillId="0" borderId="1" xfId="20" applyNumberFormat="1" applyFont="1" applyFill="1" applyBorder="1" applyAlignment="1">
      <alignment horizontal="right" wrapText="1"/>
    </xf>
    <xf numFmtId="15" fontId="3" fillId="0" borderId="0" xfId="5" applyNumberFormat="1"/>
    <xf numFmtId="0" fontId="3" fillId="23" borderId="0" xfId="5" applyFill="1" applyBorder="1" applyAlignment="1">
      <alignment horizontal="center" vertical="center"/>
    </xf>
    <xf numFmtId="0" fontId="3" fillId="0" borderId="0" xfId="5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41" fillId="0" borderId="0" xfId="5" applyFont="1" applyFill="1" applyAlignment="1">
      <alignment horizontal="center" vertical="center"/>
    </xf>
    <xf numFmtId="0" fontId="3" fillId="0" borderId="0" xfId="5" applyFont="1" applyFill="1" applyAlignment="1">
      <alignment horizontal="center" vertical="center"/>
    </xf>
    <xf numFmtId="0" fontId="25" fillId="0" borderId="0" xfId="5" applyFont="1" applyFill="1" applyBorder="1" applyAlignment="1">
      <alignment horizontal="center" vertical="center"/>
    </xf>
    <xf numFmtId="0" fontId="41" fillId="0" borderId="0" xfId="5" applyFont="1" applyFill="1" applyBorder="1" applyAlignment="1">
      <alignment horizontal="center" vertical="center"/>
    </xf>
    <xf numFmtId="0" fontId="15" fillId="0" borderId="0" xfId="5" applyFont="1" applyFill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 vertical="center"/>
    </xf>
    <xf numFmtId="164" fontId="3" fillId="0" borderId="0" xfId="5" applyNumberFormat="1" applyFill="1" applyBorder="1" applyAlignment="1">
      <alignment horizontal="center" vertical="center"/>
    </xf>
    <xf numFmtId="0" fontId="25" fillId="0" borderId="0" xfId="5" applyFont="1" applyFill="1" applyAlignment="1">
      <alignment horizontal="center" vertical="center"/>
    </xf>
    <xf numFmtId="0" fontId="2" fillId="0" borderId="0" xfId="0" applyFont="1" applyFill="1"/>
    <xf numFmtId="0" fontId="45" fillId="0" borderId="0" xfId="5" applyFont="1" applyFill="1" applyBorder="1" applyAlignment="1">
      <alignment horizontal="center" vertical="center"/>
    </xf>
    <xf numFmtId="0" fontId="3" fillId="0" borderId="0" xfId="5" applyFill="1" applyAlignment="1">
      <alignment horizontal="center"/>
    </xf>
    <xf numFmtId="14" fontId="0" fillId="0" borderId="0" xfId="0" applyNumberFormat="1" applyFill="1" applyBorder="1" applyAlignment="1">
      <alignment vertical="center"/>
    </xf>
    <xf numFmtId="0" fontId="15" fillId="0" borderId="0" xfId="5" applyFont="1" applyFill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vertical="center"/>
    </xf>
    <xf numFmtId="9" fontId="0" fillId="0" borderId="0" xfId="0" applyNumberFormat="1" applyFill="1"/>
    <xf numFmtId="1" fontId="0" fillId="0" borderId="0" xfId="0" applyNumberFormat="1" applyFill="1"/>
    <xf numFmtId="1" fontId="6" fillId="0" borderId="0" xfId="0" applyNumberFormat="1" applyFont="1" applyFill="1" applyBorder="1" applyAlignment="1">
      <alignment horizontal="center"/>
    </xf>
    <xf numFmtId="0" fontId="3" fillId="0" borderId="0" xfId="5" applyFill="1" applyBorder="1"/>
    <xf numFmtId="0" fontId="21" fillId="0" borderId="4" xfId="0" applyFont="1" applyFill="1" applyBorder="1" applyAlignment="1">
      <alignment horizontal="center" vertical="center"/>
    </xf>
    <xf numFmtId="3" fontId="3" fillId="0" borderId="0" xfId="5" applyNumberFormat="1" applyFill="1" applyBorder="1" applyAlignment="1">
      <alignment horizontal="center" vertical="center"/>
    </xf>
    <xf numFmtId="0" fontId="18" fillId="0" borderId="0" xfId="5" applyFont="1" applyFill="1" applyBorder="1" applyAlignment="1">
      <alignment horizontal="center" vertical="center"/>
    </xf>
    <xf numFmtId="0" fontId="44" fillId="0" borderId="0" xfId="5" applyFont="1" applyFill="1" applyBorder="1" applyAlignment="1">
      <alignment horizontal="center" vertical="center"/>
    </xf>
    <xf numFmtId="0" fontId="50" fillId="0" borderId="0" xfId="5" applyFont="1" applyFill="1" applyBorder="1" applyAlignment="1">
      <alignment horizontal="center" vertical="center"/>
    </xf>
    <xf numFmtId="0" fontId="47" fillId="0" borderId="0" xfId="5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/>
    </xf>
    <xf numFmtId="166" fontId="56" fillId="0" borderId="0" xfId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166" fontId="3" fillId="0" borderId="0" xfId="1" applyNumberFormat="1" applyFont="1" applyFill="1" applyAlignment="1">
      <alignment horizontal="center" vertical="center"/>
    </xf>
    <xf numFmtId="0" fontId="57" fillId="0" borderId="0" xfId="0" applyFont="1" applyFill="1" applyAlignment="1">
      <alignment horizontal="center"/>
    </xf>
    <xf numFmtId="168" fontId="3" fillId="0" borderId="0" xfId="5" applyNumberFormat="1" applyFill="1" applyBorder="1" applyAlignment="1">
      <alignment horizontal="center" vertical="center" wrapText="1"/>
    </xf>
    <xf numFmtId="166" fontId="0" fillId="0" borderId="0" xfId="1" applyNumberFormat="1" applyFont="1" applyFill="1"/>
    <xf numFmtId="0" fontId="21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3" fontId="7" fillId="0" borderId="0" xfId="5" applyNumberFormat="1" applyFont="1" applyBorder="1" applyAlignment="1">
      <alignment horizontal="center" vertical="center"/>
    </xf>
    <xf numFmtId="3" fontId="3" fillId="0" borderId="0" xfId="5" applyNumberFormat="1" applyAlignment="1">
      <alignment horizontal="center" vertical="center"/>
    </xf>
    <xf numFmtId="0" fontId="3" fillId="15" borderId="0" xfId="5" applyFill="1" applyAlignment="1">
      <alignment horizontal="center" vertical="center"/>
    </xf>
    <xf numFmtId="0" fontId="49" fillId="13" borderId="0" xfId="5" applyFont="1" applyFill="1" applyBorder="1" applyAlignment="1">
      <alignment horizontal="center" vertical="center"/>
    </xf>
    <xf numFmtId="0" fontId="35" fillId="13" borderId="0" xfId="5" applyFont="1" applyFill="1" applyAlignment="1">
      <alignment horizontal="center" vertical="center"/>
    </xf>
    <xf numFmtId="0" fontId="49" fillId="13" borderId="0" xfId="5" applyFont="1" applyFill="1" applyAlignment="1">
      <alignment horizontal="center" vertical="center"/>
    </xf>
    <xf numFmtId="0" fontId="41" fillId="12" borderId="0" xfId="5" applyFont="1" applyFill="1" applyAlignment="1">
      <alignment horizontal="center" vertical="center"/>
    </xf>
    <xf numFmtId="166" fontId="35" fillId="13" borderId="0" xfId="1" applyNumberFormat="1" applyFont="1" applyFill="1" applyBorder="1" applyAlignment="1">
      <alignment horizontal="center" vertical="center"/>
    </xf>
    <xf numFmtId="0" fontId="3" fillId="0" borderId="0" xfId="5" applyFont="1" applyAlignment="1">
      <alignment horizontal="left" vertical="center"/>
    </xf>
    <xf numFmtId="0" fontId="3" fillId="0" borderId="0" xfId="5" applyAlignment="1">
      <alignment horizontal="left" vertical="center"/>
    </xf>
    <xf numFmtId="0" fontId="3" fillId="0" borderId="5" xfId="5" applyBorder="1" applyAlignment="1">
      <alignment horizontal="center" vertical="center"/>
    </xf>
    <xf numFmtId="0" fontId="3" fillId="0" borderId="3" xfId="5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3" fillId="13" borderId="0" xfId="5" applyFont="1" applyFill="1" applyAlignment="1">
      <alignment horizontal="center"/>
    </xf>
    <xf numFmtId="0" fontId="25" fillId="23" borderId="0" xfId="5" applyFont="1" applyFill="1" applyAlignment="1">
      <alignment horizontal="center" vertical="center"/>
    </xf>
    <xf numFmtId="0" fontId="15" fillId="23" borderId="0" xfId="5" applyFont="1" applyFill="1" applyAlignment="1">
      <alignment horizontal="center" vertical="center"/>
    </xf>
    <xf numFmtId="0" fontId="57" fillId="1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62" fillId="13" borderId="0" xfId="0" applyFont="1" applyFill="1" applyAlignment="1">
      <alignment horizontal="center" vertical="center"/>
    </xf>
    <xf numFmtId="0" fontId="63" fillId="13" borderId="0" xfId="0" applyFont="1" applyFill="1" applyAlignment="1">
      <alignment horizontal="center" vertical="center"/>
    </xf>
    <xf numFmtId="0" fontId="64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61" fillId="13" borderId="0" xfId="0" applyFont="1" applyFill="1" applyAlignment="1">
      <alignment horizontal="center" vertical="center"/>
    </xf>
    <xf numFmtId="0" fontId="65" fillId="13" borderId="0" xfId="0" applyFont="1" applyFill="1" applyAlignment="1">
      <alignment horizontal="center" vertical="center"/>
    </xf>
    <xf numFmtId="0" fontId="3" fillId="0" borderId="7" xfId="5" applyBorder="1" applyAlignment="1">
      <alignment horizontal="center" vertical="center"/>
    </xf>
    <xf numFmtId="3" fontId="6" fillId="6" borderId="0" xfId="0" applyNumberFormat="1" applyFont="1" applyFill="1" applyBorder="1" applyAlignment="1">
      <alignment horizontal="center" vertical="top"/>
    </xf>
    <xf numFmtId="3" fontId="6" fillId="29" borderId="0" xfId="0" applyNumberFormat="1" applyFont="1" applyFill="1" applyBorder="1" applyAlignment="1">
      <alignment horizontal="center" vertical="top"/>
    </xf>
    <xf numFmtId="0" fontId="20" fillId="0" borderId="0" xfId="0" applyFont="1" applyFill="1" applyBorder="1" applyAlignment="1">
      <alignment horizontal="center" vertical="top"/>
    </xf>
    <xf numFmtId="3" fontId="20" fillId="0" borderId="0" xfId="0" applyNumberFormat="1" applyFont="1" applyFill="1" applyBorder="1" applyAlignment="1">
      <alignment horizontal="center" vertical="top"/>
    </xf>
    <xf numFmtId="3" fontId="20" fillId="18" borderId="0" xfId="0" applyNumberFormat="1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6" fillId="2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25" borderId="0" xfId="0" applyFont="1" applyFill="1" applyBorder="1" applyAlignment="1">
      <alignment horizontal="center"/>
    </xf>
    <xf numFmtId="0" fontId="20" fillId="25" borderId="0" xfId="0" applyFont="1" applyFill="1" applyBorder="1" applyAlignment="1">
      <alignment horizontal="center" vertical="center"/>
    </xf>
    <xf numFmtId="3" fontId="20" fillId="13" borderId="0" xfId="0" applyNumberFormat="1" applyFont="1" applyFill="1" applyBorder="1" applyAlignment="1">
      <alignment horizontal="center" vertical="top"/>
    </xf>
    <xf numFmtId="3" fontId="6" fillId="0" borderId="0" xfId="0" applyNumberFormat="1" applyFont="1" applyFill="1" applyBorder="1" applyAlignment="1">
      <alignment horizontal="center"/>
    </xf>
    <xf numFmtId="3" fontId="66" fillId="13" borderId="0" xfId="0" applyNumberFormat="1" applyFont="1" applyFill="1" applyBorder="1" applyAlignment="1">
      <alignment horizontal="center" vertical="center"/>
    </xf>
    <xf numFmtId="3" fontId="6" fillId="18" borderId="0" xfId="0" applyNumberFormat="1" applyFont="1" applyFill="1" applyBorder="1" applyAlignment="1">
      <alignment horizontal="center"/>
    </xf>
    <xf numFmtId="3" fontId="67" fillId="13" borderId="0" xfId="0" applyNumberFormat="1" applyFont="1" applyFill="1" applyBorder="1" applyAlignment="1">
      <alignment horizontal="center" vertical="top"/>
    </xf>
    <xf numFmtId="3" fontId="21" fillId="13" borderId="0" xfId="0" applyNumberFormat="1" applyFont="1" applyFill="1" applyBorder="1" applyAlignment="1">
      <alignment horizontal="center" vertical="top"/>
    </xf>
    <xf numFmtId="3" fontId="21" fillId="0" borderId="0" xfId="0" applyNumberFormat="1" applyFont="1" applyFill="1" applyBorder="1" applyAlignment="1">
      <alignment horizontal="center" vertical="center"/>
    </xf>
    <xf numFmtId="3" fontId="67" fillId="13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3" fontId="6" fillId="12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3" fontId="20" fillId="26" borderId="0" xfId="0" applyNumberFormat="1" applyFont="1" applyFill="1" applyBorder="1" applyAlignment="1">
      <alignment horizontal="center" vertical="center"/>
    </xf>
    <xf numFmtId="3" fontId="6" fillId="26" borderId="0" xfId="0" applyNumberFormat="1" applyFont="1" applyFill="1" applyBorder="1" applyAlignment="1">
      <alignment horizontal="center" vertical="center"/>
    </xf>
    <xf numFmtId="3" fontId="6" fillId="28" borderId="0" xfId="0" applyNumberFormat="1" applyFont="1" applyFill="1" applyBorder="1" applyAlignment="1">
      <alignment horizontal="center" vertical="center"/>
    </xf>
    <xf numFmtId="3" fontId="20" fillId="13" borderId="0" xfId="0" applyNumberFormat="1" applyFont="1" applyFill="1" applyBorder="1" applyAlignment="1">
      <alignment vertical="center"/>
    </xf>
    <xf numFmtId="3" fontId="46" fillId="13" borderId="0" xfId="0" applyNumberFormat="1" applyFont="1" applyFill="1" applyBorder="1" applyAlignment="1">
      <alignment horizontal="center" vertical="center"/>
    </xf>
    <xf numFmtId="3" fontId="6" fillId="15" borderId="0" xfId="0" applyNumberFormat="1" applyFont="1" applyFill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68" fillId="13" borderId="0" xfId="0" applyFont="1" applyFill="1" applyAlignment="1">
      <alignment horizontal="center"/>
    </xf>
    <xf numFmtId="0" fontId="66" fillId="13" borderId="0" xfId="0" applyFont="1" applyFill="1" applyBorder="1" applyAlignment="1">
      <alignment horizontal="center" vertical="center"/>
    </xf>
    <xf numFmtId="0" fontId="69" fillId="13" borderId="0" xfId="0" applyFont="1" applyFill="1" applyBorder="1" applyAlignment="1">
      <alignment horizontal="center" vertical="center"/>
    </xf>
    <xf numFmtId="0" fontId="70" fillId="13" borderId="0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20" fillId="36" borderId="0" xfId="0" applyFont="1" applyFill="1" applyBorder="1" applyAlignment="1">
      <alignment horizontal="center" vertical="center"/>
    </xf>
    <xf numFmtId="0" fontId="31" fillId="34" borderId="26" xfId="21" applyFont="1" applyFill="1" applyBorder="1" applyAlignment="1">
      <alignment horizontal="center"/>
    </xf>
    <xf numFmtId="167" fontId="31" fillId="0" borderId="1" xfId="21" applyNumberFormat="1" applyFont="1" applyFill="1" applyBorder="1" applyAlignment="1">
      <alignment horizontal="right" wrapText="1"/>
    </xf>
    <xf numFmtId="0" fontId="31" fillId="0" borderId="1" xfId="21" applyFont="1" applyFill="1" applyBorder="1" applyAlignment="1">
      <alignment horizontal="right" wrapText="1"/>
    </xf>
    <xf numFmtId="0" fontId="0" fillId="14" borderId="0" xfId="0" applyFill="1"/>
    <xf numFmtId="0" fontId="31" fillId="47" borderId="26" xfId="21" applyFont="1" applyFill="1" applyBorder="1" applyAlignment="1">
      <alignment horizontal="center"/>
    </xf>
    <xf numFmtId="0" fontId="0" fillId="48" borderId="0" xfId="0" applyFill="1"/>
    <xf numFmtId="0" fontId="31" fillId="50" borderId="26" xfId="21" applyFont="1" applyFill="1" applyBorder="1" applyAlignment="1">
      <alignment horizontal="center"/>
    </xf>
    <xf numFmtId="0" fontId="31" fillId="51" borderId="26" xfId="21" applyFont="1" applyFill="1" applyBorder="1" applyAlignment="1">
      <alignment horizontal="center"/>
    </xf>
    <xf numFmtId="0" fontId="0" fillId="32" borderId="0" xfId="0" applyFill="1"/>
    <xf numFmtId="0" fontId="31" fillId="52" borderId="26" xfId="21" applyFont="1" applyFill="1" applyBorder="1" applyAlignment="1">
      <alignment horizontal="center"/>
    </xf>
    <xf numFmtId="0" fontId="31" fillId="34" borderId="26" xfId="22" applyFont="1" applyFill="1" applyBorder="1" applyAlignment="1">
      <alignment horizontal="center"/>
    </xf>
    <xf numFmtId="0" fontId="31" fillId="0" borderId="1" xfId="22" applyFont="1" applyFill="1" applyBorder="1" applyAlignment="1">
      <alignment wrapText="1"/>
    </xf>
    <xf numFmtId="167" fontId="31" fillId="0" borderId="1" xfId="22" applyNumberFormat="1" applyFont="1" applyFill="1" applyBorder="1" applyAlignment="1">
      <alignment horizontal="right" wrapText="1"/>
    </xf>
    <xf numFmtId="0" fontId="31" fillId="0" borderId="1" xfId="22" applyFont="1" applyFill="1" applyBorder="1" applyAlignment="1">
      <alignment horizontal="right" wrapText="1"/>
    </xf>
    <xf numFmtId="0" fontId="55" fillId="0" borderId="0" xfId="5" applyFont="1" applyFill="1" applyBorder="1" applyAlignment="1">
      <alignment horizontal="center" vertical="center"/>
    </xf>
    <xf numFmtId="0" fontId="31" fillId="34" borderId="26" xfId="23" applyFont="1" applyFill="1" applyBorder="1" applyAlignment="1">
      <alignment horizontal="center"/>
    </xf>
    <xf numFmtId="0" fontId="31" fillId="0" borderId="1" xfId="23" applyFont="1" applyFill="1" applyBorder="1" applyAlignment="1">
      <alignment wrapText="1"/>
    </xf>
    <xf numFmtId="167" fontId="31" fillId="0" borderId="1" xfId="23" applyNumberFormat="1" applyFont="1" applyFill="1" applyBorder="1" applyAlignment="1">
      <alignment horizontal="right" wrapText="1"/>
    </xf>
    <xf numFmtId="0" fontId="31" fillId="0" borderId="1" xfId="23" applyFont="1" applyFill="1" applyBorder="1" applyAlignment="1">
      <alignment horizontal="right" wrapText="1"/>
    </xf>
    <xf numFmtId="0" fontId="31" fillId="34" borderId="26" xfId="24" applyFont="1" applyFill="1" applyBorder="1" applyAlignment="1">
      <alignment horizontal="center"/>
    </xf>
    <xf numFmtId="0" fontId="31" fillId="0" borderId="1" xfId="24" applyFont="1" applyFill="1" applyBorder="1" applyAlignment="1">
      <alignment wrapText="1"/>
    </xf>
    <xf numFmtId="167" fontId="31" fillId="0" borderId="1" xfId="24" applyNumberFormat="1" applyFont="1" applyFill="1" applyBorder="1" applyAlignment="1">
      <alignment horizontal="right" wrapText="1"/>
    </xf>
    <xf numFmtId="0" fontId="31" fillId="0" borderId="1" xfId="24" applyFont="1" applyFill="1" applyBorder="1" applyAlignment="1">
      <alignment horizontal="right" wrapText="1"/>
    </xf>
    <xf numFmtId="0" fontId="31" fillId="50" borderId="26" xfId="24" applyFont="1" applyFill="1" applyBorder="1" applyAlignment="1">
      <alignment horizontal="center"/>
    </xf>
    <xf numFmtId="0" fontId="31" fillId="49" borderId="26" xfId="24" applyFont="1" applyFill="1" applyBorder="1" applyAlignment="1">
      <alignment horizontal="center"/>
    </xf>
    <xf numFmtId="0" fontId="31" fillId="51" borderId="26" xfId="24" applyFont="1" applyFill="1" applyBorder="1" applyAlignment="1">
      <alignment horizontal="center"/>
    </xf>
    <xf numFmtId="0" fontId="0" fillId="24" borderId="0" xfId="0" applyFill="1"/>
    <xf numFmtId="0" fontId="31" fillId="24" borderId="1" xfId="24" applyFont="1" applyFill="1" applyBorder="1" applyAlignment="1">
      <alignment wrapText="1"/>
    </xf>
    <xf numFmtId="15" fontId="0" fillId="24" borderId="0" xfId="0" applyNumberFormat="1" applyFill="1"/>
    <xf numFmtId="167" fontId="31" fillId="24" borderId="1" xfId="24" applyNumberFormat="1" applyFont="1" applyFill="1" applyBorder="1" applyAlignment="1">
      <alignment horizontal="right" wrapText="1"/>
    </xf>
    <xf numFmtId="0" fontId="43" fillId="13" borderId="0" xfId="5" applyFont="1" applyFill="1" applyBorder="1" applyAlignment="1">
      <alignment horizontal="center" vertical="center"/>
    </xf>
    <xf numFmtId="166" fontId="18" fillId="13" borderId="0" xfId="1" applyNumberFormat="1" applyFont="1" applyFill="1" applyBorder="1" applyAlignment="1">
      <alignment horizontal="center" vertical="center"/>
    </xf>
    <xf numFmtId="0" fontId="18" fillId="13" borderId="0" xfId="5" applyFont="1" applyFill="1" applyAlignment="1">
      <alignment horizontal="center" vertical="center"/>
    </xf>
    <xf numFmtId="0" fontId="3" fillId="0" borderId="0" xfId="5" applyAlignment="1">
      <alignment horizontal="center"/>
    </xf>
    <xf numFmtId="0" fontId="0" fillId="0" borderId="0" xfId="0" quotePrefix="1"/>
    <xf numFmtId="0" fontId="0" fillId="0" borderId="3" xfId="0" applyBorder="1"/>
    <xf numFmtId="0" fontId="45" fillId="0" borderId="0" xfId="5" applyFont="1" applyFill="1" applyAlignment="1">
      <alignment horizontal="center" vertical="center"/>
    </xf>
    <xf numFmtId="0" fontId="34" fillId="0" borderId="0" xfId="5" applyFont="1" applyFill="1" applyBorder="1" applyAlignment="1">
      <alignment horizontal="center" vertical="center"/>
    </xf>
    <xf numFmtId="0" fontId="49" fillId="0" borderId="0" xfId="5" applyFont="1" applyFill="1" applyBorder="1" applyAlignment="1">
      <alignment horizontal="center" vertical="center"/>
    </xf>
    <xf numFmtId="0" fontId="35" fillId="0" borderId="0" xfId="5" applyFont="1" applyFill="1" applyBorder="1" applyAlignment="1">
      <alignment horizontal="center" vertical="center"/>
    </xf>
    <xf numFmtId="0" fontId="34" fillId="0" borderId="0" xfId="5" applyFont="1" applyFill="1" applyAlignment="1">
      <alignment horizontal="center" vertical="center"/>
    </xf>
    <xf numFmtId="0" fontId="44" fillId="0" borderId="0" xfId="5" applyFont="1" applyFill="1" applyAlignment="1">
      <alignment horizontal="center" vertical="center"/>
    </xf>
    <xf numFmtId="0" fontId="26" fillId="0" borderId="0" xfId="5" applyFont="1" applyFill="1" applyAlignment="1">
      <alignment horizontal="center" vertical="center"/>
    </xf>
    <xf numFmtId="3" fontId="20" fillId="0" borderId="3" xfId="0" applyNumberFormat="1" applyFont="1" applyFill="1" applyBorder="1" applyAlignment="1">
      <alignment horizontal="center" vertical="top"/>
    </xf>
    <xf numFmtId="0" fontId="26" fillId="0" borderId="0" xfId="5" applyFont="1" applyFill="1" applyBorder="1" applyAlignment="1">
      <alignment horizontal="center" vertical="center"/>
    </xf>
    <xf numFmtId="166" fontId="2" fillId="0" borderId="0" xfId="1" applyNumberFormat="1" applyFont="1" applyFill="1" applyBorder="1"/>
    <xf numFmtId="0" fontId="3" fillId="0" borderId="0" xfId="5" applyFill="1" applyBorder="1" applyAlignment="1">
      <alignment vertical="center"/>
    </xf>
    <xf numFmtId="0" fontId="0" fillId="0" borderId="0" xfId="0" applyFill="1" applyBorder="1"/>
    <xf numFmtId="0" fontId="0" fillId="0" borderId="15" xfId="0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1" fontId="0" fillId="0" borderId="16" xfId="0" applyNumberFormat="1" applyFill="1" applyBorder="1"/>
    <xf numFmtId="0" fontId="18" fillId="0" borderId="0" xfId="5" applyFont="1" applyFill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13" borderId="0" xfId="5" applyNumberFormat="1" applyFont="1" applyFill="1" applyBorder="1" applyAlignment="1">
      <alignment horizontal="center" vertical="center"/>
    </xf>
    <xf numFmtId="0" fontId="6" fillId="13" borderId="0" xfId="5" applyFont="1" applyFill="1" applyAlignment="1">
      <alignment horizontal="center" vertical="center"/>
    </xf>
    <xf numFmtId="0" fontId="62" fillId="13" borderId="0" xfId="0" applyFont="1" applyFill="1" applyAlignment="1">
      <alignment horizontal="center"/>
    </xf>
    <xf numFmtId="0" fontId="15" fillId="28" borderId="0" xfId="5" applyFont="1" applyFill="1" applyBorder="1" applyAlignment="1">
      <alignment horizontal="center" vertical="center"/>
    </xf>
    <xf numFmtId="3" fontId="20" fillId="35" borderId="0" xfId="0" applyNumberFormat="1" applyFont="1" applyFill="1" applyBorder="1" applyAlignment="1">
      <alignment horizontal="center" vertical="center"/>
    </xf>
    <xf numFmtId="3" fontId="6" fillId="29" borderId="0" xfId="0" applyNumberFormat="1" applyFont="1" applyFill="1" applyBorder="1" applyAlignment="1">
      <alignment horizontal="center" vertical="center"/>
    </xf>
    <xf numFmtId="3" fontId="21" fillId="29" borderId="0" xfId="0" applyNumberFormat="1" applyFont="1" applyFill="1" applyBorder="1" applyAlignment="1">
      <alignment horizontal="center" vertical="center"/>
    </xf>
    <xf numFmtId="3" fontId="20" fillId="29" borderId="0" xfId="0" applyNumberFormat="1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15" fillId="0" borderId="0" xfId="5" applyFont="1"/>
    <xf numFmtId="0" fontId="41" fillId="13" borderId="0" xfId="5" applyFont="1" applyFill="1"/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35" fillId="9" borderId="0" xfId="5" applyFont="1" applyFill="1" applyAlignment="1">
      <alignment horizontal="center" vertical="center"/>
    </xf>
    <xf numFmtId="16" fontId="3" fillId="0" borderId="0" xfId="5" applyNumberFormat="1" applyAlignment="1">
      <alignment vertical="center"/>
    </xf>
    <xf numFmtId="0" fontId="0" fillId="0" borderId="0" xfId="0" applyFont="1" applyFill="1" applyBorder="1" applyAlignment="1">
      <alignment vertical="center"/>
    </xf>
    <xf numFmtId="3" fontId="3" fillId="0" borderId="0" xfId="5" applyNumberFormat="1" applyAlignment="1">
      <alignment vertical="center"/>
    </xf>
    <xf numFmtId="3" fontId="3" fillId="0" borderId="0" xfId="5" applyNumberFormat="1" applyFill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5" fillId="23" borderId="0" xfId="5" applyFont="1" applyFill="1" applyAlignment="1">
      <alignment horizontal="center"/>
    </xf>
    <xf numFmtId="1" fontId="41" fillId="13" borderId="0" xfId="5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167" fontId="76" fillId="0" borderId="1" xfId="15" applyNumberFormat="1" applyFont="1" applyFill="1" applyBorder="1" applyAlignment="1">
      <alignment horizontal="right" wrapText="1"/>
    </xf>
    <xf numFmtId="0" fontId="77" fillId="9" borderId="0" xfId="0" applyFont="1" applyFill="1" applyBorder="1" applyAlignment="1">
      <alignment vertical="center"/>
    </xf>
    <xf numFmtId="167" fontId="78" fillId="0" borderId="1" xfId="15" applyNumberFormat="1" applyFont="1" applyFill="1" applyBorder="1" applyAlignment="1">
      <alignment horizontal="right" wrapText="1"/>
    </xf>
    <xf numFmtId="0" fontId="79" fillId="9" borderId="0" xfId="0" applyFont="1" applyFill="1" applyBorder="1" applyAlignment="1">
      <alignment vertical="center"/>
    </xf>
    <xf numFmtId="0" fontId="68" fillId="0" borderId="0" xfId="0" applyFont="1"/>
    <xf numFmtId="9" fontId="68" fillId="9" borderId="0" xfId="0" applyNumberFormat="1" applyFont="1" applyFill="1"/>
    <xf numFmtId="1" fontId="68" fillId="18" borderId="0" xfId="0" applyNumberFormat="1" applyFont="1" applyFill="1"/>
    <xf numFmtId="167" fontId="80" fillId="0" borderId="1" xfId="15" applyNumberFormat="1" applyFont="1" applyFill="1" applyBorder="1" applyAlignment="1">
      <alignment horizontal="right" wrapText="1"/>
    </xf>
    <xf numFmtId="0" fontId="68" fillId="9" borderId="0" xfId="0" applyFont="1" applyFill="1" applyBorder="1" applyAlignment="1">
      <alignment vertical="center"/>
    </xf>
    <xf numFmtId="167" fontId="81" fillId="0" borderId="1" xfId="15" applyNumberFormat="1" applyFont="1" applyFill="1" applyBorder="1" applyAlignment="1">
      <alignment horizontal="right" wrapText="1"/>
    </xf>
    <xf numFmtId="0" fontId="18" fillId="0" borderId="3" xfId="0" applyFont="1" applyBorder="1" applyAlignment="1">
      <alignment horizontal="center" vertical="center" wrapText="1"/>
    </xf>
    <xf numFmtId="0" fontId="35" fillId="12" borderId="0" xfId="5" applyFont="1" applyFill="1" applyBorder="1" applyAlignment="1">
      <alignment horizontal="center" vertical="center"/>
    </xf>
    <xf numFmtId="0" fontId="3" fillId="12" borderId="0" xfId="5" applyFont="1" applyFill="1" applyBorder="1" applyAlignment="1">
      <alignment horizontal="center" vertical="center"/>
    </xf>
    <xf numFmtId="0" fontId="25" fillId="12" borderId="0" xfId="5" applyFont="1" applyFill="1" applyBorder="1" applyAlignment="1">
      <alignment horizontal="center" vertical="center"/>
    </xf>
    <xf numFmtId="0" fontId="41" fillId="12" borderId="0" xfId="5" applyFont="1" applyFill="1" applyBorder="1" applyAlignment="1">
      <alignment horizontal="center" vertical="center"/>
    </xf>
    <xf numFmtId="9" fontId="68" fillId="9" borderId="0" xfId="0" applyNumberFormat="1" applyFont="1" applyFill="1" applyBorder="1"/>
    <xf numFmtId="1" fontId="0" fillId="9" borderId="0" xfId="0" applyNumberFormat="1" applyFill="1" applyBorder="1"/>
    <xf numFmtId="9" fontId="68" fillId="18" borderId="0" xfId="0" applyNumberFormat="1" applyFont="1" applyFill="1" applyBorder="1"/>
    <xf numFmtId="0" fontId="18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166" fontId="0" fillId="0" borderId="0" xfId="0" applyNumberFormat="1"/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2" xfId="0" applyBorder="1"/>
    <xf numFmtId="0" fontId="3" fillId="0" borderId="0" xfId="5" applyFont="1" applyAlignment="1">
      <alignment horizontal="left" vertical="center"/>
    </xf>
    <xf numFmtId="0" fontId="3" fillId="0" borderId="0" xfId="5" applyAlignment="1">
      <alignment horizontal="left" vertical="center"/>
    </xf>
    <xf numFmtId="0" fontId="3" fillId="0" borderId="5" xfId="5" applyBorder="1" applyAlignment="1">
      <alignment horizontal="center" vertical="center"/>
    </xf>
    <xf numFmtId="0" fontId="3" fillId="0" borderId="3" xfId="5" applyBorder="1" applyAlignment="1">
      <alignment horizontal="center" vertical="center"/>
    </xf>
    <xf numFmtId="0" fontId="25" fillId="13" borderId="0" xfId="5" applyFont="1" applyFill="1" applyAlignment="1">
      <alignment horizontal="center"/>
    </xf>
    <xf numFmtId="3" fontId="71" fillId="0" borderId="0" xfId="0" applyNumberFormat="1" applyFont="1" applyFill="1" applyBorder="1" applyAlignment="1">
      <alignment horizontal="center" vertical="center"/>
    </xf>
    <xf numFmtId="3" fontId="46" fillId="0" borderId="0" xfId="0" applyNumberFormat="1" applyFont="1" applyFill="1" applyBorder="1" applyAlignment="1">
      <alignment horizontal="center" vertical="center"/>
    </xf>
    <xf numFmtId="3" fontId="72" fillId="0" borderId="0" xfId="0" applyNumberFormat="1" applyFont="1" applyFill="1" applyBorder="1" applyAlignment="1">
      <alignment horizontal="center" vertical="center"/>
    </xf>
    <xf numFmtId="3" fontId="75" fillId="13" borderId="0" xfId="0" applyNumberFormat="1" applyFont="1" applyFill="1" applyBorder="1" applyAlignment="1">
      <alignment horizontal="center" vertical="center"/>
    </xf>
    <xf numFmtId="3" fontId="67" fillId="0" borderId="0" xfId="0" applyNumberFormat="1" applyFont="1" applyFill="1" applyBorder="1" applyAlignment="1">
      <alignment horizontal="center" vertical="center"/>
    </xf>
    <xf numFmtId="3" fontId="71" fillId="13" borderId="0" xfId="0" applyNumberFormat="1" applyFont="1" applyFill="1" applyBorder="1" applyAlignment="1">
      <alignment horizontal="center" vertical="center"/>
    </xf>
    <xf numFmtId="3" fontId="46" fillId="35" borderId="0" xfId="0" applyNumberFormat="1" applyFont="1" applyFill="1" applyBorder="1" applyAlignment="1">
      <alignment horizontal="center" vertical="center"/>
    </xf>
    <xf numFmtId="3" fontId="6" fillId="35" borderId="0" xfId="0" applyNumberFormat="1" applyFont="1" applyFill="1" applyBorder="1" applyAlignment="1">
      <alignment horizontal="center" vertical="center"/>
    </xf>
    <xf numFmtId="3" fontId="72" fillId="13" borderId="0" xfId="0" applyNumberFormat="1" applyFont="1" applyFill="1" applyBorder="1" applyAlignment="1">
      <alignment horizontal="center" vertical="center"/>
    </xf>
    <xf numFmtId="3" fontId="73" fillId="13" borderId="0" xfId="0" applyNumberFormat="1" applyFont="1" applyFill="1" applyBorder="1" applyAlignment="1">
      <alignment horizontal="center" vertical="center"/>
    </xf>
    <xf numFmtId="3" fontId="67" fillId="29" borderId="0" xfId="0" applyNumberFormat="1" applyFont="1" applyFill="1" applyBorder="1" applyAlignment="1">
      <alignment horizontal="center" vertical="center"/>
    </xf>
    <xf numFmtId="3" fontId="21" fillId="35" borderId="0" xfId="0" applyNumberFormat="1" applyFont="1" applyFill="1" applyBorder="1" applyAlignment="1">
      <alignment horizontal="center" vertical="center"/>
    </xf>
    <xf numFmtId="3" fontId="74" fillId="13" borderId="0" xfId="0" applyNumberFormat="1" applyFont="1" applyFill="1" applyBorder="1" applyAlignment="1">
      <alignment horizontal="center" vertical="center"/>
    </xf>
    <xf numFmtId="3" fontId="74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7" fillId="13" borderId="0" xfId="0" applyFont="1" applyFill="1" applyAlignment="1">
      <alignment horizontal="center" vertical="center"/>
    </xf>
    <xf numFmtId="0" fontId="43" fillId="13" borderId="0" xfId="0" applyFont="1" applyFill="1" applyAlignment="1">
      <alignment horizontal="center" vertical="center"/>
    </xf>
    <xf numFmtId="0" fontId="45" fillId="13" borderId="0" xfId="0" applyFont="1" applyFill="1" applyAlignment="1">
      <alignment horizontal="center" vertical="center"/>
    </xf>
    <xf numFmtId="0" fontId="6" fillId="0" borderId="0" xfId="0" applyFont="1"/>
    <xf numFmtId="0" fontId="47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6" fillId="13" borderId="0" xfId="0" applyFont="1" applyFill="1"/>
    <xf numFmtId="0" fontId="18" fillId="13" borderId="0" xfId="0" applyFont="1" applyFill="1" applyAlignment="1">
      <alignment horizontal="center"/>
    </xf>
    <xf numFmtId="0" fontId="47" fillId="13" borderId="0" xfId="0" applyFont="1" applyFill="1"/>
    <xf numFmtId="0" fontId="47" fillId="28" borderId="0" xfId="0" applyFont="1" applyFill="1"/>
    <xf numFmtId="0" fontId="6" fillId="13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0" fontId="26" fillId="13" borderId="0" xfId="0" applyFont="1" applyFill="1" applyAlignment="1">
      <alignment horizontal="center" vertical="center"/>
    </xf>
    <xf numFmtId="0" fontId="35" fillId="13" borderId="0" xfId="0" applyFont="1" applyFill="1" applyAlignment="1">
      <alignment horizontal="center" vertical="center"/>
    </xf>
    <xf numFmtId="0" fontId="26" fillId="28" borderId="0" xfId="0" applyFont="1" applyFill="1"/>
    <xf numFmtId="0" fontId="6" fillId="28" borderId="0" xfId="0" applyFont="1" applyFill="1"/>
    <xf numFmtId="0" fontId="6" fillId="28" borderId="0" xfId="0" applyFont="1" applyFill="1" applyAlignment="1">
      <alignment horizontal="center"/>
    </xf>
    <xf numFmtId="3" fontId="6" fillId="13" borderId="0" xfId="0" applyNumberFormat="1" applyFont="1" applyFill="1" applyBorder="1" applyAlignment="1">
      <alignment horizontal="center"/>
    </xf>
    <xf numFmtId="3" fontId="6" fillId="29" borderId="0" xfId="0" applyNumberFormat="1" applyFont="1" applyFill="1" applyBorder="1" applyAlignment="1">
      <alignment horizontal="center"/>
    </xf>
    <xf numFmtId="3" fontId="29" fillId="0" borderId="0" xfId="0" applyNumberFormat="1" applyFont="1" applyFill="1" applyBorder="1" applyAlignment="1">
      <alignment horizontal="center" vertical="top"/>
    </xf>
    <xf numFmtId="3" fontId="46" fillId="0" borderId="0" xfId="0" applyNumberFormat="1" applyFont="1" applyFill="1" applyBorder="1" applyAlignment="1">
      <alignment horizontal="center" vertical="top"/>
    </xf>
    <xf numFmtId="0" fontId="3" fillId="0" borderId="0" xfId="5" applyFill="1" applyBorder="1" applyAlignment="1">
      <alignment horizontal="center"/>
    </xf>
    <xf numFmtId="3" fontId="29" fillId="13" borderId="0" xfId="0" applyNumberFormat="1" applyFont="1" applyFill="1" applyBorder="1" applyAlignment="1">
      <alignment horizontal="center" vertical="top"/>
    </xf>
    <xf numFmtId="3" fontId="46" fillId="13" borderId="0" xfId="0" applyNumberFormat="1" applyFont="1" applyFill="1" applyBorder="1" applyAlignment="1">
      <alignment horizontal="center" vertical="top"/>
    </xf>
    <xf numFmtId="3" fontId="29" fillId="0" borderId="0" xfId="0" applyNumberFormat="1" applyFont="1" applyFill="1" applyBorder="1" applyAlignment="1">
      <alignment horizontal="center" vertical="center"/>
    </xf>
    <xf numFmtId="3" fontId="69" fillId="13" borderId="0" xfId="0" applyNumberFormat="1" applyFont="1" applyFill="1" applyBorder="1" applyAlignment="1">
      <alignment horizontal="center" vertical="center"/>
    </xf>
    <xf numFmtId="3" fontId="20" fillId="29" borderId="0" xfId="0" applyNumberFormat="1" applyFont="1" applyFill="1" applyBorder="1" applyAlignment="1">
      <alignment horizontal="center" vertical="top"/>
    </xf>
    <xf numFmtId="3" fontId="21" fillId="29" borderId="0" xfId="0" applyNumberFormat="1" applyFont="1" applyFill="1" applyBorder="1" applyAlignment="1">
      <alignment horizontal="center" vertical="top"/>
    </xf>
    <xf numFmtId="3" fontId="21" fillId="0" borderId="0" xfId="0" applyNumberFormat="1" applyFont="1" applyFill="1" applyBorder="1" applyAlignment="1">
      <alignment horizontal="center" vertical="top"/>
    </xf>
    <xf numFmtId="0" fontId="25" fillId="28" borderId="0" xfId="5" applyFont="1" applyFill="1" applyBorder="1" applyAlignment="1">
      <alignment horizontal="center" vertical="center"/>
    </xf>
    <xf numFmtId="0" fontId="15" fillId="9" borderId="0" xfId="5" applyFont="1" applyFill="1" applyAlignment="1">
      <alignment horizontal="center" vertical="center"/>
    </xf>
    <xf numFmtId="0" fontId="35" fillId="9" borderId="0" xfId="5" applyFont="1" applyFill="1" applyBorder="1" applyAlignment="1">
      <alignment horizontal="center" vertical="center"/>
    </xf>
    <xf numFmtId="0" fontId="15" fillId="13" borderId="0" xfId="5" applyNumberFormat="1" applyFont="1" applyFill="1" applyBorder="1" applyAlignment="1">
      <alignment horizontal="center" vertical="center"/>
    </xf>
    <xf numFmtId="0" fontId="41" fillId="13" borderId="0" xfId="5" applyNumberFormat="1" applyFont="1" applyFill="1" applyBorder="1" applyAlignment="1">
      <alignment horizontal="center" vertical="center"/>
    </xf>
    <xf numFmtId="1" fontId="3" fillId="0" borderId="3" xfId="5" applyNumberFormat="1" applyFill="1" applyBorder="1" applyAlignment="1">
      <alignment horizontal="center" vertical="center"/>
    </xf>
    <xf numFmtId="1" fontId="3" fillId="13" borderId="3" xfId="5" applyNumberFormat="1" applyFill="1" applyBorder="1" applyAlignment="1">
      <alignment horizontal="center" vertical="center"/>
    </xf>
    <xf numFmtId="0" fontId="41" fillId="23" borderId="3" xfId="5" applyFont="1" applyFill="1" applyBorder="1" applyAlignment="1">
      <alignment horizontal="center" vertical="center"/>
    </xf>
    <xf numFmtId="0" fontId="3" fillId="53" borderId="0" xfId="5" applyNumberFormat="1" applyFill="1" applyBorder="1" applyAlignment="1">
      <alignment horizontal="center" vertical="center"/>
    </xf>
    <xf numFmtId="0" fontId="15" fillId="53" borderId="0" xfId="5" applyNumberFormat="1" applyFont="1" applyFill="1" applyBorder="1" applyAlignment="1">
      <alignment horizontal="center" vertical="center"/>
    </xf>
    <xf numFmtId="0" fontId="0" fillId="30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31" borderId="0" xfId="0" applyFill="1" applyAlignment="1">
      <alignment horizontal="center"/>
    </xf>
    <xf numFmtId="0" fontId="2" fillId="32" borderId="0" xfId="0" applyFont="1" applyFill="1" applyAlignment="1">
      <alignment horizontal="center"/>
    </xf>
    <xf numFmtId="0" fontId="0" fillId="32" borderId="0" xfId="0" applyFill="1" applyAlignment="1">
      <alignment horizontal="center"/>
    </xf>
    <xf numFmtId="0" fontId="3" fillId="0" borderId="0" xfId="5" applyFont="1" applyAlignment="1">
      <alignment horizontal="left" vertical="center"/>
    </xf>
    <xf numFmtId="0" fontId="3" fillId="0" borderId="0" xfId="5" applyAlignment="1">
      <alignment horizontal="left" vertical="center"/>
    </xf>
    <xf numFmtId="0" fontId="3" fillId="0" borderId="5" xfId="5" applyBorder="1" applyAlignment="1">
      <alignment horizontal="center" vertical="center"/>
    </xf>
    <xf numFmtId="0" fontId="3" fillId="0" borderId="3" xfId="5" applyBorder="1" applyAlignment="1">
      <alignment horizontal="center" vertical="center"/>
    </xf>
    <xf numFmtId="0" fontId="3" fillId="0" borderId="10" xfId="5" applyBorder="1" applyAlignment="1">
      <alignment horizontal="center" vertical="center"/>
    </xf>
    <xf numFmtId="0" fontId="3" fillId="34" borderId="6" xfId="10" applyFont="1" applyFill="1" applyBorder="1" applyAlignment="1">
      <alignment horizontal="center"/>
    </xf>
    <xf numFmtId="1" fontId="3" fillId="0" borderId="5" xfId="5" applyNumberFormat="1" applyFont="1" applyBorder="1" applyAlignment="1">
      <alignment horizontal="center" vertical="center" wrapText="1"/>
    </xf>
    <xf numFmtId="1" fontId="3" fillId="0" borderId="3" xfId="5" applyNumberFormat="1" applyBorder="1" applyAlignment="1">
      <alignment horizontal="center" vertical="center" wrapText="1"/>
    </xf>
    <xf numFmtId="0" fontId="3" fillId="0" borderId="5" xfId="5" applyFont="1" applyBorder="1" applyAlignment="1">
      <alignment horizontal="center" vertical="center" wrapText="1"/>
    </xf>
    <xf numFmtId="0" fontId="3" fillId="0" borderId="3" xfId="5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5" applyAlignment="1">
      <alignment horizontal="center"/>
    </xf>
    <xf numFmtId="0" fontId="11" fillId="0" borderId="0" xfId="0" applyFont="1" applyAlignment="1">
      <alignment horizontal="center"/>
    </xf>
    <xf numFmtId="0" fontId="3" fillId="2" borderId="5" xfId="5" applyFill="1" applyBorder="1" applyAlignment="1">
      <alignment horizontal="center" vertical="center"/>
    </xf>
    <xf numFmtId="0" fontId="3" fillId="24" borderId="3" xfId="5" applyFill="1" applyBorder="1" applyAlignment="1">
      <alignment horizontal="center" vertical="center"/>
    </xf>
    <xf numFmtId="2" fontId="3" fillId="0" borderId="4" xfId="5" applyNumberFormat="1" applyFont="1" applyFill="1" applyBorder="1" applyAlignment="1">
      <alignment horizontal="center" vertical="center"/>
    </xf>
    <xf numFmtId="2" fontId="3" fillId="0" borderId="4" xfId="5" applyNumberFormat="1" applyFill="1" applyBorder="1" applyAlignment="1">
      <alignment horizontal="center" vertical="center"/>
    </xf>
    <xf numFmtId="0" fontId="3" fillId="2" borderId="0" xfId="5" applyFont="1" applyFill="1" applyAlignment="1">
      <alignment horizontal="left" vertical="center"/>
    </xf>
    <xf numFmtId="0" fontId="3" fillId="2" borderId="0" xfId="5" applyFill="1" applyAlignment="1">
      <alignment horizontal="left" vertical="center"/>
    </xf>
    <xf numFmtId="0" fontId="3" fillId="2" borderId="10" xfId="5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0" fontId="3" fillId="0" borderId="5" xfId="5" applyBorder="1" applyAlignment="1">
      <alignment horizontal="center" vertical="center" wrapText="1"/>
    </xf>
    <xf numFmtId="1" fontId="3" fillId="0" borderId="0" xfId="5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35" borderId="5" xfId="5" applyFill="1" applyBorder="1" applyAlignment="1">
      <alignment horizontal="center" vertical="center"/>
    </xf>
    <xf numFmtId="0" fontId="3" fillId="35" borderId="3" xfId="5" applyFill="1" applyBorder="1" applyAlignment="1">
      <alignment horizontal="center" vertical="center"/>
    </xf>
    <xf numFmtId="166" fontId="45" fillId="13" borderId="0" xfId="1" applyNumberFormat="1" applyFont="1" applyFill="1" applyBorder="1" applyAlignment="1">
      <alignment horizontal="center" vertical="center"/>
    </xf>
  </cellXfs>
  <cellStyles count="25">
    <cellStyle name="Comma" xfId="1" builtinId="3"/>
    <cellStyle name="Comma 2" xfId="2" xr:uid="{00000000-0005-0000-0000-000001000000}"/>
    <cellStyle name="Comma_Data dump from NusedsMar_09" xfId="3" xr:uid="{00000000-0005-0000-0000-000002000000}"/>
    <cellStyle name="Normal" xfId="0" builtinId="0"/>
    <cellStyle name="Normal 2" xfId="4" xr:uid="{00000000-0005-0000-0000-000004000000}"/>
    <cellStyle name="Normal 3" xfId="9" xr:uid="{00000000-0005-0000-0000-000005000000}"/>
    <cellStyle name="Normal 4" xfId="17" xr:uid="{00000000-0005-0000-0000-000006000000}"/>
    <cellStyle name="Normal 5" xfId="18" xr:uid="{00000000-0005-0000-0000-000007000000}"/>
    <cellStyle name="Normal_25" xfId="15" xr:uid="{00000000-0005-0000-0000-000008000000}"/>
    <cellStyle name="Normal_Area 23" xfId="12" xr:uid="{00000000-0005-0000-0000-000009000000}"/>
    <cellStyle name="Normal_Area 24" xfId="10" xr:uid="{00000000-0005-0000-0000-00000A000000}"/>
    <cellStyle name="Normal_Area 24_2" xfId="11" xr:uid="{00000000-0005-0000-0000-00000B000000}"/>
    <cellStyle name="Normal_Artlish" xfId="23" xr:uid="{00000000-0005-0000-0000-00000C000000}"/>
    <cellStyle name="Normal_Burman" xfId="16" xr:uid="{00000000-0005-0000-0000-00000D000000}"/>
    <cellStyle name="Normal_Cayeghle" xfId="24" xr:uid="{00000000-0005-0000-0000-00000E000000}"/>
    <cellStyle name="Normal_Clemens" xfId="19" xr:uid="{00000000-0005-0000-0000-00000F000000}"/>
    <cellStyle name="Normal_Data dump from NusedsMar_09" xfId="5" xr:uid="{00000000-0005-0000-0000-000010000000}"/>
    <cellStyle name="Normal_Kaouk" xfId="22" xr:uid="{00000000-0005-0000-0000-000011000000}"/>
    <cellStyle name="Normal_Nahmint" xfId="14" xr:uid="{00000000-0005-0000-0000-000012000000}"/>
    <cellStyle name="Normal_Nitinat" xfId="20" xr:uid="{00000000-0005-0000-0000-000013000000}"/>
    <cellStyle name="Normal_Sarita" xfId="13" xr:uid="{00000000-0005-0000-0000-000014000000}"/>
    <cellStyle name="Normal_Sheet1" xfId="6" xr:uid="{00000000-0005-0000-0000-000015000000}"/>
    <cellStyle name="Normal_Tahsish" xfId="21" xr:uid="{00000000-0005-0000-0000-000016000000}"/>
    <cellStyle name="Percent" xfId="7" builtinId="5"/>
    <cellStyle name="Percent 2" xfId="8" xr:uid="{00000000-0005-0000-0000-000018000000}"/>
  </cellStyles>
  <dxfs count="0"/>
  <tableStyles count="0" defaultTableStyle="TableStyleMedium2" defaultPivotStyle="PivotStyleLight16"/>
  <colors>
    <mruColors>
      <color rgb="FF0000FF"/>
      <color rgb="FF99CCFF"/>
      <color rgb="FF00FF00"/>
      <color rgb="FFFF99CC"/>
      <color rgb="FFFFFFCC"/>
      <color rgb="FFCCFFFF"/>
      <color rgb="FFCCFFCC"/>
      <color rgb="FF00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CA"/>
              <a:t>Sarita chum counts</a:t>
            </a:r>
          </a:p>
        </c:rich>
      </c:tx>
      <c:layout>
        <c:manualLayout>
          <c:xMode val="edge"/>
          <c:yMode val="edge"/>
          <c:x val="0.35108386521322721"/>
          <c:y val="5.950422863808690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Sarita!$A$75</c:f>
              <c:strCache>
                <c:ptCount val="1"/>
                <c:pt idx="0">
                  <c:v>1995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Sarita!$B$75:$W$75</c:f>
              <c:numCache>
                <c:formatCode>General</c:formatCode>
                <c:ptCount val="22"/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158</c:v>
                </c:pt>
                <c:pt idx="10">
                  <c:v>976</c:v>
                </c:pt>
                <c:pt idx="12">
                  <c:v>3145</c:v>
                </c:pt>
                <c:pt idx="13">
                  <c:v>132</c:v>
                </c:pt>
                <c:pt idx="1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3-4081-B0E6-5401569ABC5E}"/>
            </c:ext>
          </c:extLst>
        </c:ser>
        <c:ser>
          <c:idx val="1"/>
          <c:order val="1"/>
          <c:tx>
            <c:strRef>
              <c:f>Sarita!$A$76</c:f>
              <c:strCache>
                <c:ptCount val="1"/>
                <c:pt idx="0">
                  <c:v>1996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Sarita!$B$76:$W$76</c:f>
              <c:numCache>
                <c:formatCode>General</c:formatCode>
                <c:ptCount val="22"/>
                <c:pt idx="2">
                  <c:v>0</c:v>
                </c:pt>
                <c:pt idx="5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60</c:v>
                </c:pt>
                <c:pt idx="10">
                  <c:v>150</c:v>
                </c:pt>
                <c:pt idx="11">
                  <c:v>2209</c:v>
                </c:pt>
                <c:pt idx="12">
                  <c:v>4387</c:v>
                </c:pt>
                <c:pt idx="13">
                  <c:v>2200</c:v>
                </c:pt>
                <c:pt idx="14">
                  <c:v>70</c:v>
                </c:pt>
                <c:pt idx="15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4081-B0E6-5401569ABC5E}"/>
            </c:ext>
          </c:extLst>
        </c:ser>
        <c:ser>
          <c:idx val="2"/>
          <c:order val="2"/>
          <c:tx>
            <c:strRef>
              <c:f>Sarita!$A$77</c:f>
              <c:strCache>
                <c:ptCount val="1"/>
                <c:pt idx="0">
                  <c:v>1997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Sarita!$B$77:$W$77</c:f>
              <c:numCache>
                <c:formatCode>General</c:formatCode>
                <c:ptCount val="22"/>
                <c:pt idx="1">
                  <c:v>1</c:v>
                </c:pt>
                <c:pt idx="4">
                  <c:v>6</c:v>
                </c:pt>
                <c:pt idx="5">
                  <c:v>10</c:v>
                </c:pt>
                <c:pt idx="6">
                  <c:v>0</c:v>
                </c:pt>
                <c:pt idx="7">
                  <c:v>38</c:v>
                </c:pt>
                <c:pt idx="11">
                  <c:v>5948</c:v>
                </c:pt>
                <c:pt idx="12">
                  <c:v>2000</c:v>
                </c:pt>
                <c:pt idx="13">
                  <c:v>500</c:v>
                </c:pt>
                <c:pt idx="14">
                  <c:v>4292</c:v>
                </c:pt>
                <c:pt idx="15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3-4081-B0E6-5401569ABC5E}"/>
            </c:ext>
          </c:extLst>
        </c:ser>
        <c:ser>
          <c:idx val="3"/>
          <c:order val="3"/>
          <c:tx>
            <c:strRef>
              <c:f>Sarita!$A$78</c:f>
              <c:strCache>
                <c:ptCount val="1"/>
                <c:pt idx="0">
                  <c:v>1998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Sarita!$B$78:$W$78</c:f>
              <c:numCache>
                <c:formatCode>General</c:formatCode>
                <c:ptCount val="22"/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  <c:pt idx="9">
                  <c:v>3250</c:v>
                </c:pt>
                <c:pt idx="10">
                  <c:v>650</c:v>
                </c:pt>
                <c:pt idx="11">
                  <c:v>6159</c:v>
                </c:pt>
                <c:pt idx="12">
                  <c:v>14600</c:v>
                </c:pt>
                <c:pt idx="13">
                  <c:v>3700</c:v>
                </c:pt>
                <c:pt idx="14">
                  <c:v>4500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3-4081-B0E6-5401569ABC5E}"/>
            </c:ext>
          </c:extLst>
        </c:ser>
        <c:ser>
          <c:idx val="4"/>
          <c:order val="4"/>
          <c:tx>
            <c:strRef>
              <c:f>Sarita!$A$79</c:f>
              <c:strCache>
                <c:ptCount val="1"/>
                <c:pt idx="0">
                  <c:v>1999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Sarita!$B$79:$W$79</c:f>
              <c:numCache>
                <c:formatCode>General</c:formatCode>
                <c:ptCount val="22"/>
                <c:pt idx="6">
                  <c:v>0</c:v>
                </c:pt>
                <c:pt idx="8">
                  <c:v>500</c:v>
                </c:pt>
                <c:pt idx="9">
                  <c:v>219</c:v>
                </c:pt>
                <c:pt idx="10">
                  <c:v>1500</c:v>
                </c:pt>
                <c:pt idx="11">
                  <c:v>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3-4081-B0E6-5401569ABC5E}"/>
            </c:ext>
          </c:extLst>
        </c:ser>
        <c:ser>
          <c:idx val="5"/>
          <c:order val="5"/>
          <c:tx>
            <c:strRef>
              <c:f>Sarita!$A$80</c:f>
              <c:strCache>
                <c:ptCount val="1"/>
                <c:pt idx="0">
                  <c:v>2000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Sarita!$B$80:$W$80</c:f>
              <c:numCache>
                <c:formatCode>General</c:formatCode>
                <c:ptCount val="22"/>
                <c:pt idx="7">
                  <c:v>1</c:v>
                </c:pt>
                <c:pt idx="9">
                  <c:v>890</c:v>
                </c:pt>
                <c:pt idx="10">
                  <c:v>458</c:v>
                </c:pt>
                <c:pt idx="11">
                  <c:v>1200</c:v>
                </c:pt>
                <c:pt idx="14">
                  <c:v>340</c:v>
                </c:pt>
                <c:pt idx="1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E3-4081-B0E6-5401569ABC5E}"/>
            </c:ext>
          </c:extLst>
        </c:ser>
        <c:ser>
          <c:idx val="6"/>
          <c:order val="6"/>
          <c:tx>
            <c:strRef>
              <c:f>Sarita!$A$81</c:f>
              <c:strCache>
                <c:ptCount val="1"/>
                <c:pt idx="0">
                  <c:v>2001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Sarita!$B$81:$W$81</c:f>
              <c:numCache>
                <c:formatCode>General</c:formatCode>
                <c:ptCount val="22"/>
                <c:pt idx="6">
                  <c:v>0</c:v>
                </c:pt>
                <c:pt idx="7">
                  <c:v>4</c:v>
                </c:pt>
                <c:pt idx="8">
                  <c:v>99</c:v>
                </c:pt>
                <c:pt idx="9">
                  <c:v>175</c:v>
                </c:pt>
                <c:pt idx="10">
                  <c:v>1205</c:v>
                </c:pt>
                <c:pt idx="12">
                  <c:v>3300</c:v>
                </c:pt>
                <c:pt idx="13">
                  <c:v>1021</c:v>
                </c:pt>
                <c:pt idx="1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E3-4081-B0E6-5401569ABC5E}"/>
            </c:ext>
          </c:extLst>
        </c:ser>
        <c:ser>
          <c:idx val="7"/>
          <c:order val="7"/>
          <c:tx>
            <c:strRef>
              <c:f>Sarita!$A$82</c:f>
              <c:strCache>
                <c:ptCount val="1"/>
                <c:pt idx="0">
                  <c:v>2002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Sarita!$B$82:$W$82</c:f>
              <c:numCache>
                <c:formatCode>General</c:formatCode>
                <c:ptCount val="22"/>
                <c:pt idx="5">
                  <c:v>1</c:v>
                </c:pt>
                <c:pt idx="7">
                  <c:v>41</c:v>
                </c:pt>
                <c:pt idx="8">
                  <c:v>9</c:v>
                </c:pt>
                <c:pt idx="9">
                  <c:v>250</c:v>
                </c:pt>
                <c:pt idx="10" formatCode="#,##0">
                  <c:v>4000</c:v>
                </c:pt>
                <c:pt idx="11" formatCode="#,##0">
                  <c:v>20000</c:v>
                </c:pt>
                <c:pt idx="12" formatCode="#,##0">
                  <c:v>2028</c:v>
                </c:pt>
                <c:pt idx="13" formatCode="#,##0">
                  <c:v>25000</c:v>
                </c:pt>
                <c:pt idx="14" formatCode="#,##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E3-4081-B0E6-5401569ABC5E}"/>
            </c:ext>
          </c:extLst>
        </c:ser>
        <c:ser>
          <c:idx val="8"/>
          <c:order val="8"/>
          <c:tx>
            <c:strRef>
              <c:f>Sarita!$A$83</c:f>
              <c:strCache>
                <c:ptCount val="1"/>
                <c:pt idx="0">
                  <c:v>2003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Sarita!$B$83:$W$83</c:f>
              <c:numCache>
                <c:formatCode>General</c:formatCode>
                <c:ptCount val="22"/>
                <c:pt idx="5">
                  <c:v>0</c:v>
                </c:pt>
                <c:pt idx="6">
                  <c:v>6</c:v>
                </c:pt>
                <c:pt idx="7">
                  <c:v>46</c:v>
                </c:pt>
                <c:pt idx="8">
                  <c:v>27</c:v>
                </c:pt>
                <c:pt idx="9">
                  <c:v>0</c:v>
                </c:pt>
                <c:pt idx="10" formatCode="#,##0">
                  <c:v>1500</c:v>
                </c:pt>
                <c:pt idx="11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E3-4081-B0E6-5401569ABC5E}"/>
            </c:ext>
          </c:extLst>
        </c:ser>
        <c:ser>
          <c:idx val="9"/>
          <c:order val="9"/>
          <c:tx>
            <c:strRef>
              <c:f>Sarita!$A$84</c:f>
              <c:strCache>
                <c:ptCount val="1"/>
                <c:pt idx="0">
                  <c:v>2004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Sarita!$B$84:$W$84</c:f>
              <c:numCache>
                <c:formatCode>General</c:formatCode>
                <c:ptCount val="22"/>
                <c:pt idx="7">
                  <c:v>89</c:v>
                </c:pt>
                <c:pt idx="8">
                  <c:v>272</c:v>
                </c:pt>
                <c:pt idx="9">
                  <c:v>0</c:v>
                </c:pt>
                <c:pt idx="10" formatCode="#,##0">
                  <c:v>7000</c:v>
                </c:pt>
                <c:pt idx="11" formatCode="#,##0">
                  <c:v>10000</c:v>
                </c:pt>
                <c:pt idx="12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E3-4081-B0E6-5401569ABC5E}"/>
            </c:ext>
          </c:extLst>
        </c:ser>
        <c:ser>
          <c:idx val="10"/>
          <c:order val="10"/>
          <c:tx>
            <c:strRef>
              <c:f>Sarita!$A$85</c:f>
              <c:strCache>
                <c:ptCount val="1"/>
                <c:pt idx="0">
                  <c:v>2005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Sarita!$B$85:$W$85</c:f>
              <c:numCache>
                <c:formatCode>General</c:formatCode>
                <c:ptCount val="22"/>
                <c:pt idx="5">
                  <c:v>9</c:v>
                </c:pt>
                <c:pt idx="7">
                  <c:v>9</c:v>
                </c:pt>
                <c:pt idx="9">
                  <c:v>300</c:v>
                </c:pt>
                <c:pt idx="10">
                  <c:v>1500</c:v>
                </c:pt>
                <c:pt idx="12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E3-4081-B0E6-5401569ABC5E}"/>
            </c:ext>
          </c:extLst>
        </c:ser>
        <c:ser>
          <c:idx val="11"/>
          <c:order val="11"/>
          <c:tx>
            <c:strRef>
              <c:f>Sarita!$A$86</c:f>
              <c:strCache>
                <c:ptCount val="1"/>
                <c:pt idx="0">
                  <c:v>2006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Sarita!$B$86:$W$86</c:f>
              <c:numCache>
                <c:formatCode>General</c:formatCode>
                <c:ptCount val="22"/>
                <c:pt idx="5">
                  <c:v>4</c:v>
                </c:pt>
                <c:pt idx="6">
                  <c:v>9</c:v>
                </c:pt>
                <c:pt idx="8">
                  <c:v>147</c:v>
                </c:pt>
                <c:pt idx="10">
                  <c:v>1830</c:v>
                </c:pt>
                <c:pt idx="11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E3-4081-B0E6-5401569ABC5E}"/>
            </c:ext>
          </c:extLst>
        </c:ser>
        <c:ser>
          <c:idx val="12"/>
          <c:order val="12"/>
          <c:tx>
            <c:strRef>
              <c:f>Sarita!$A$87</c:f>
              <c:strCache>
                <c:ptCount val="1"/>
                <c:pt idx="0">
                  <c:v>2007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Sarita!$B$87:$W$87</c:f>
              <c:numCache>
                <c:formatCode>General</c:formatCode>
                <c:ptCount val="22"/>
                <c:pt idx="6">
                  <c:v>1</c:v>
                </c:pt>
                <c:pt idx="10">
                  <c:v>2034</c:v>
                </c:pt>
                <c:pt idx="12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E3-4081-B0E6-5401569ABC5E}"/>
            </c:ext>
          </c:extLst>
        </c:ser>
        <c:ser>
          <c:idx val="13"/>
          <c:order val="13"/>
          <c:tx>
            <c:strRef>
              <c:f>Sarita!$A$88</c:f>
              <c:strCache>
                <c:ptCount val="1"/>
                <c:pt idx="0">
                  <c:v>2008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Sarita!$B$88:$W$88</c:f>
              <c:numCache>
                <c:formatCode>General</c:formatCode>
                <c:ptCount val="2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229</c:v>
                </c:pt>
                <c:pt idx="10">
                  <c:v>1617</c:v>
                </c:pt>
                <c:pt idx="11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E3-4081-B0E6-5401569ABC5E}"/>
            </c:ext>
          </c:extLst>
        </c:ser>
        <c:ser>
          <c:idx val="14"/>
          <c:order val="14"/>
          <c:tx>
            <c:strRef>
              <c:f>Sarita!$A$89</c:f>
              <c:strCache>
                <c:ptCount val="1"/>
                <c:pt idx="0">
                  <c:v>2009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Sarita!$B$89:$W$89</c:f>
              <c:numCache>
                <c:formatCode>General</c:formatCode>
                <c:ptCount val="22"/>
                <c:pt idx="7">
                  <c:v>43</c:v>
                </c:pt>
                <c:pt idx="8">
                  <c:v>37</c:v>
                </c:pt>
                <c:pt idx="10">
                  <c:v>473</c:v>
                </c:pt>
                <c:pt idx="11">
                  <c:v>3645</c:v>
                </c:pt>
                <c:pt idx="12">
                  <c:v>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E3-4081-B0E6-5401569ABC5E}"/>
            </c:ext>
          </c:extLst>
        </c:ser>
        <c:ser>
          <c:idx val="15"/>
          <c:order val="15"/>
          <c:tx>
            <c:strRef>
              <c:f>Sarita!$A$90</c:f>
              <c:strCache>
                <c:ptCount val="1"/>
                <c:pt idx="0">
                  <c:v>2010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Sarita!$B$90:$W$90</c:f>
              <c:numCache>
                <c:formatCode>General</c:formatCode>
                <c:ptCount val="22"/>
                <c:pt idx="6">
                  <c:v>22</c:v>
                </c:pt>
                <c:pt idx="9">
                  <c:v>845</c:v>
                </c:pt>
                <c:pt idx="11">
                  <c:v>3452</c:v>
                </c:pt>
                <c:pt idx="13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E3-4081-B0E6-5401569ABC5E}"/>
            </c:ext>
          </c:extLst>
        </c:ser>
        <c:ser>
          <c:idx val="16"/>
          <c:order val="16"/>
          <c:tx>
            <c:strRef>
              <c:f>Sarita!$A$91</c:f>
              <c:strCache>
                <c:ptCount val="1"/>
                <c:pt idx="0">
                  <c:v>2011</c:v>
                </c:pt>
              </c:strCache>
            </c:strRef>
          </c:tx>
          <c:marker>
            <c:symbol val="triangle"/>
            <c:size val="7"/>
          </c:marker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Sarita!$B$91:$W$91</c:f>
              <c:numCache>
                <c:formatCode>General</c:formatCode>
                <c:ptCount val="22"/>
                <c:pt idx="7">
                  <c:v>209</c:v>
                </c:pt>
                <c:pt idx="8">
                  <c:v>1296</c:v>
                </c:pt>
                <c:pt idx="9">
                  <c:v>644</c:v>
                </c:pt>
                <c:pt idx="12" formatCode="#,##0">
                  <c:v>15288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E3-4081-B0E6-5401569ABC5E}"/>
            </c:ext>
          </c:extLst>
        </c:ser>
        <c:ser>
          <c:idx val="17"/>
          <c:order val="17"/>
          <c:tx>
            <c:strRef>
              <c:f>Sarita!$A$92</c:f>
              <c:strCache>
                <c:ptCount val="1"/>
                <c:pt idx="0">
                  <c:v>2012</c:v>
                </c:pt>
              </c:strCache>
            </c:strRef>
          </c:tx>
          <c:cat>
            <c:numRef>
              <c:f>Sarita!$B$74:$W$74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Sarita!$B$92:$W$92</c:f>
              <c:numCache>
                <c:formatCode>General</c:formatCode>
                <c:ptCount val="22"/>
                <c:pt idx="6">
                  <c:v>52</c:v>
                </c:pt>
                <c:pt idx="8">
                  <c:v>161</c:v>
                </c:pt>
                <c:pt idx="9">
                  <c:v>637</c:v>
                </c:pt>
                <c:pt idx="11">
                  <c:v>1076</c:v>
                </c:pt>
                <c:pt idx="12">
                  <c:v>1555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E3-4081-B0E6-5401569A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4000"/>
        <c:axId val="47854336"/>
      </c:lineChart>
      <c:catAx>
        <c:axId val="4646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54336"/>
        <c:crosses val="autoZero"/>
        <c:auto val="1"/>
        <c:lblAlgn val="ctr"/>
        <c:lblOffset val="100"/>
        <c:noMultiLvlLbl val="0"/>
      </c:catAx>
      <c:valAx>
        <c:axId val="478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4640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4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Leiner!$F$218:$F$219</c:f>
              <c:strCache>
                <c:ptCount val="2"/>
                <c:pt idx="0">
                  <c:v>135</c:v>
                </c:pt>
                <c:pt idx="1">
                  <c:v>Cum tag target</c:v>
                </c:pt>
              </c:strCache>
            </c:strRef>
          </c:tx>
          <c:marker>
            <c:symbol val="none"/>
          </c:marker>
          <c:cat>
            <c:strRef>
              <c:f>Leiner!$E$220:$E$241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Leiner!$F$220:$F$241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18.75</c:v>
                </c:pt>
                <c:pt idx="7">
                  <c:v>18.75</c:v>
                </c:pt>
                <c:pt idx="8">
                  <c:v>122.81250000000001</c:v>
                </c:pt>
                <c:pt idx="9">
                  <c:v>122.81250000000001</c:v>
                </c:pt>
                <c:pt idx="10">
                  <c:v>134.53125000000003</c:v>
                </c:pt>
                <c:pt idx="11">
                  <c:v>134.53125000000003</c:v>
                </c:pt>
                <c:pt idx="12">
                  <c:v>135.00000000000003</c:v>
                </c:pt>
                <c:pt idx="13">
                  <c:v>135.00000000000003</c:v>
                </c:pt>
                <c:pt idx="14">
                  <c:v>135.00000000000003</c:v>
                </c:pt>
                <c:pt idx="15">
                  <c:v>135.00000000000003</c:v>
                </c:pt>
                <c:pt idx="16">
                  <c:v>135.00000000000003</c:v>
                </c:pt>
                <c:pt idx="17">
                  <c:v>135.00000000000003</c:v>
                </c:pt>
                <c:pt idx="18">
                  <c:v>135.00000000000003</c:v>
                </c:pt>
                <c:pt idx="19">
                  <c:v>135.00000000000003</c:v>
                </c:pt>
                <c:pt idx="20">
                  <c:v>135.00000000000003</c:v>
                </c:pt>
                <c:pt idx="21">
                  <c:v>135.00000000000003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D-4FAE-B532-6EC37920927C}"/>
            </c:ext>
          </c:extLst>
        </c:ser>
        <c:ser>
          <c:idx val="1"/>
          <c:order val="1"/>
          <c:tx>
            <c:strRef>
              <c:f>Leiner!$H$219</c:f>
              <c:strCache>
                <c:ptCount val="1"/>
                <c:pt idx="0">
                  <c:v>weekly tag target</c:v>
                </c:pt>
              </c:strCache>
            </c:strRef>
          </c:tx>
          <c:marker>
            <c:symbol val="none"/>
          </c:marker>
          <c:cat>
            <c:strRef>
              <c:f>Leiner!$E$220:$E$241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Leiner!$H$220:$H$241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2.8705080084730019</c:v>
                </c:pt>
                <c:pt idx="4">
                  <c:v>2.5570830305015448</c:v>
                </c:pt>
                <c:pt idx="5">
                  <c:v>10.734826343061155</c:v>
                </c:pt>
                <c:pt idx="6">
                  <c:v>25.777059575411382</c:v>
                </c:pt>
                <c:pt idx="7">
                  <c:v>21.309383924404724</c:v>
                </c:pt>
                <c:pt idx="8">
                  <c:v>38.620367856883654</c:v>
                </c:pt>
                <c:pt idx="9">
                  <c:v>23.976260434674707</c:v>
                </c:pt>
                <c:pt idx="10">
                  <c:v>5.054893659572067</c:v>
                </c:pt>
                <c:pt idx="11">
                  <c:v>2.5677883802634449</c:v>
                </c:pt>
                <c:pt idx="12">
                  <c:v>0.83513194047426687</c:v>
                </c:pt>
                <c:pt idx="13">
                  <c:v>0.33465732958465444</c:v>
                </c:pt>
                <c:pt idx="14">
                  <c:v>0.15541070649533062</c:v>
                </c:pt>
                <c:pt idx="15">
                  <c:v>0.10515484275658053</c:v>
                </c:pt>
                <c:pt idx="16">
                  <c:v>5.1640080400290812E-2</c:v>
                </c:pt>
                <c:pt idx="17">
                  <c:v>0</c:v>
                </c:pt>
                <c:pt idx="18">
                  <c:v>4.9833887043189369E-2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D-4FAE-B532-6EC37920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5104"/>
        <c:axId val="52976640"/>
      </c:lineChart>
      <c:lineChart>
        <c:grouping val="standard"/>
        <c:varyColors val="0"/>
        <c:ser>
          <c:idx val="2"/>
          <c:order val="2"/>
          <c:tx>
            <c:strRef>
              <c:f>Leiner!$J$219</c:f>
              <c:strCache>
                <c:ptCount val="1"/>
                <c:pt idx="0">
                  <c:v>avg weekly</c:v>
                </c:pt>
              </c:strCache>
            </c:strRef>
          </c:tx>
          <c:marker>
            <c:symbol val="none"/>
          </c:marker>
          <c:cat>
            <c:strRef>
              <c:f>Leiner!$E$220:$E$241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Leiner!$J$220:$J$241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3.0393614207361193</c:v>
                </c:pt>
                <c:pt idx="4">
                  <c:v>2.4248630885529292</c:v>
                </c:pt>
                <c:pt idx="5">
                  <c:v>10.217505734214409</c:v>
                </c:pt>
                <c:pt idx="6">
                  <c:v>25.98958195605454</c:v>
                </c:pt>
                <c:pt idx="7">
                  <c:v>20.748532529669568</c:v>
                </c:pt>
                <c:pt idx="8">
                  <c:v>37.728447846303915</c:v>
                </c:pt>
                <c:pt idx="9">
                  <c:v>25.386628695537915</c:v>
                </c:pt>
                <c:pt idx="10">
                  <c:v>5.3522403454292142</c:v>
                </c:pt>
                <c:pt idx="11">
                  <c:v>2.4909020210556192</c:v>
                </c:pt>
                <c:pt idx="12">
                  <c:v>0.88425734873745609</c:v>
                </c:pt>
                <c:pt idx="13">
                  <c:v>0.35434305485435469</c:v>
                </c:pt>
                <c:pt idx="14">
                  <c:v>0.16455251275976912</c:v>
                </c:pt>
                <c:pt idx="15">
                  <c:v>0.11134042174224812</c:v>
                </c:pt>
                <c:pt idx="16">
                  <c:v>5.4677732188548878E-2</c:v>
                </c:pt>
                <c:pt idx="17">
                  <c:v>0</c:v>
                </c:pt>
                <c:pt idx="18">
                  <c:v>5.2765292163391431E-2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D-4FAE-B532-6EC37920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6624"/>
        <c:axId val="52988160"/>
      </c:lineChart>
      <c:catAx>
        <c:axId val="52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976640"/>
        <c:crosses val="autoZero"/>
        <c:auto val="1"/>
        <c:lblAlgn val="ctr"/>
        <c:lblOffset val="100"/>
        <c:noMultiLvlLbl val="0"/>
      </c:catAx>
      <c:valAx>
        <c:axId val="529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975104"/>
        <c:crosses val="autoZero"/>
        <c:crossBetween val="between"/>
      </c:valAx>
      <c:catAx>
        <c:axId val="529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988160"/>
        <c:crosses val="autoZero"/>
        <c:auto val="1"/>
        <c:lblAlgn val="ctr"/>
        <c:lblOffset val="100"/>
        <c:noMultiLvlLbl val="0"/>
      </c:catAx>
      <c:valAx>
        <c:axId val="52988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9866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9684286433892739"/>
          <c:y val="0.37809261474824479"/>
          <c:w val="0.28421071608473181"/>
          <c:h val="0.24028305649073017"/>
        </c:manualLayout>
      </c:layout>
      <c:overlay val="0"/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65242792835935E-2"/>
          <c:y val="6.0765369365884538E-2"/>
          <c:w val="0.90228905277272287"/>
          <c:h val="0.80795435564268692"/>
        </c:manualLayout>
      </c:layout>
      <c:scatterChart>
        <c:scatterStyle val="lineMarker"/>
        <c:varyColors val="0"/>
        <c:ser>
          <c:idx val="0"/>
          <c:order val="0"/>
          <c:tx>
            <c:v>1995-2009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Zeballos!$AA$5:$AA$19</c:f>
              <c:numCache>
                <c:formatCode>General</c:formatCode>
                <c:ptCount val="15"/>
                <c:pt idx="0">
                  <c:v>86</c:v>
                </c:pt>
                <c:pt idx="1">
                  <c:v>250</c:v>
                </c:pt>
                <c:pt idx="2">
                  <c:v>540</c:v>
                </c:pt>
                <c:pt idx="3">
                  <c:v>432</c:v>
                </c:pt>
                <c:pt idx="4">
                  <c:v>380</c:v>
                </c:pt>
                <c:pt idx="6">
                  <c:v>42</c:v>
                </c:pt>
                <c:pt idx="7">
                  <c:v>105</c:v>
                </c:pt>
                <c:pt idx="11">
                  <c:v>418</c:v>
                </c:pt>
                <c:pt idx="12">
                  <c:v>396</c:v>
                </c:pt>
                <c:pt idx="13">
                  <c:v>393</c:v>
                </c:pt>
                <c:pt idx="14">
                  <c:v>91</c:v>
                </c:pt>
              </c:numCache>
            </c:numRef>
          </c:xVal>
          <c:yVal>
            <c:numRef>
              <c:f>Zeballos!$AB$5:$AB$19</c:f>
              <c:numCache>
                <c:formatCode>General</c:formatCode>
                <c:ptCount val="15"/>
                <c:pt idx="0">
                  <c:v>1.8255813953488371</c:v>
                </c:pt>
                <c:pt idx="1">
                  <c:v>1.3839999999999999</c:v>
                </c:pt>
                <c:pt idx="2">
                  <c:v>1.5962962962962963</c:v>
                </c:pt>
                <c:pt idx="3">
                  <c:v>1.5601851851851851</c:v>
                </c:pt>
                <c:pt idx="4">
                  <c:v>1.8052631578947369</c:v>
                </c:pt>
                <c:pt idx="6">
                  <c:v>2.3809523809523809</c:v>
                </c:pt>
                <c:pt idx="7">
                  <c:v>1.4095238095238096</c:v>
                </c:pt>
                <c:pt idx="11">
                  <c:v>1.0861244019138756</c:v>
                </c:pt>
                <c:pt idx="12">
                  <c:v>1.1136363636363635</c:v>
                </c:pt>
                <c:pt idx="13">
                  <c:v>1.2010178117048347</c:v>
                </c:pt>
                <c:pt idx="14">
                  <c:v>1.4835164835164836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A-4BF4-BB5E-B56432F1ED8E}"/>
            </c:ext>
          </c:extLst>
        </c:ser>
        <c:ser>
          <c:idx val="1"/>
          <c:order val="1"/>
          <c:tx>
            <c:v>Avg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Zeballos!$AA$21</c:f>
              <c:numCache>
                <c:formatCode>General</c:formatCode>
                <c:ptCount val="1"/>
                <c:pt idx="0">
                  <c:v>106</c:v>
                </c:pt>
              </c:numCache>
            </c:numRef>
          </c:xVal>
          <c:yVal>
            <c:numRef>
              <c:f>Zeballos!$AB$21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A-4BF4-BB5E-B56432F1ED8E}"/>
            </c:ext>
          </c:extLst>
        </c:ser>
        <c:ser>
          <c:idx val="2"/>
          <c:order val="2"/>
          <c:tx>
            <c:v>Proposed Lower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Zeballos!$AA$34</c:f>
              <c:numCache>
                <c:formatCode>General</c:formatCode>
                <c:ptCount val="1"/>
              </c:numCache>
            </c:numRef>
          </c:xVal>
          <c:yVal>
            <c:numRef>
              <c:f>Zeballos!$AB$34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A-4BF4-BB5E-B56432F1ED8E}"/>
            </c:ext>
          </c:extLst>
        </c:ser>
        <c:ser>
          <c:idx val="3"/>
          <c:order val="3"/>
          <c:tx>
            <c:v>PL+D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106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ACA-4BF4-BB5E-B56432F1ED8E}"/>
            </c:ext>
          </c:extLst>
        </c:ser>
        <c:ser>
          <c:idx val="4"/>
          <c:order val="4"/>
          <c:tx>
            <c:v>Proposed Upper</c:v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Zeballos!$AA$36</c:f>
              <c:numCache>
                <c:formatCode>General</c:formatCode>
                <c:ptCount val="1"/>
              </c:numCache>
            </c:numRef>
          </c:xVal>
          <c:yVal>
            <c:numRef>
              <c:f>Zeballos!$AB$36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A-4BF4-BB5E-B56432F1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2256"/>
        <c:axId val="52034560"/>
      </c:scatterChart>
      <c:valAx>
        <c:axId val="520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Peak</a:t>
                </a:r>
              </a:p>
            </c:rich>
          </c:tx>
          <c:layout>
            <c:manualLayout>
              <c:xMode val="edge"/>
              <c:yMode val="edge"/>
              <c:x val="0.48928481978968313"/>
              <c:y val="0.9069794991842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34560"/>
        <c:crosses val="autoZero"/>
        <c:crossBetween val="midCat"/>
      </c:valAx>
      <c:valAx>
        <c:axId val="5203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Expansion</a:t>
                </a:r>
              </a:p>
            </c:rich>
          </c:tx>
          <c:layout>
            <c:manualLayout>
              <c:xMode val="edge"/>
              <c:yMode val="edge"/>
              <c:x val="5.4485672951011845E-3"/>
              <c:y val="0.33758530183727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322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1699346405228759E-2"/>
          <c:y val="0.61036036036036034"/>
          <c:w val="0.29629629629629634"/>
          <c:h val="0.1621621621621621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 AUC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Zeballos!$AE$112:$AE$115</c:f>
              <c:numCache>
                <c:formatCode>dd\-mmm\-yy</c:formatCode>
                <c:ptCount val="4"/>
                <c:pt idx="0">
                  <c:v>43709</c:v>
                </c:pt>
                <c:pt idx="1">
                  <c:v>43761</c:v>
                </c:pt>
                <c:pt idx="2">
                  <c:v>43771</c:v>
                </c:pt>
                <c:pt idx="3">
                  <c:v>43784</c:v>
                </c:pt>
              </c:numCache>
            </c:numRef>
          </c:xVal>
          <c:yVal>
            <c:numRef>
              <c:f>Zeballos!$AI$112:$AI$115</c:f>
              <c:numCache>
                <c:formatCode>0</c:formatCode>
                <c:ptCount val="4"/>
                <c:pt idx="0" formatCode="General">
                  <c:v>0</c:v>
                </c:pt>
                <c:pt idx="1">
                  <c:v>1543.75</c:v>
                </c:pt>
                <c:pt idx="2">
                  <c:v>1234.4444444444443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5-4C68-9289-7DA987A1117C}"/>
            </c:ext>
          </c:extLst>
        </c:ser>
        <c:ser>
          <c:idx val="1"/>
          <c:order val="1"/>
          <c:tx>
            <c:v>Tahsis-based exp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Zeballos!$AE$129:$AE$136</c:f>
              <c:numCache>
                <c:formatCode>dd\-mmm\-yy</c:formatCode>
                <c:ptCount val="8"/>
                <c:pt idx="0">
                  <c:v>43709</c:v>
                </c:pt>
                <c:pt idx="1">
                  <c:v>43713</c:v>
                </c:pt>
                <c:pt idx="2">
                  <c:v>43725</c:v>
                </c:pt>
                <c:pt idx="3">
                  <c:v>43733</c:v>
                </c:pt>
                <c:pt idx="4">
                  <c:v>43748</c:v>
                </c:pt>
                <c:pt idx="5">
                  <c:v>43761</c:v>
                </c:pt>
                <c:pt idx="6">
                  <c:v>43771</c:v>
                </c:pt>
                <c:pt idx="7">
                  <c:v>43774</c:v>
                </c:pt>
              </c:numCache>
            </c:numRef>
          </c:xVal>
          <c:yVal>
            <c:numRef>
              <c:f>Zeballos!$AF$129:$AF$136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13</c:v>
                </c:pt>
                <c:pt idx="4">
                  <c:v>217</c:v>
                </c:pt>
                <c:pt idx="5">
                  <c:v>1235</c:v>
                </c:pt>
                <c:pt idx="6">
                  <c:v>1111</c:v>
                </c:pt>
                <c:pt idx="7">
                  <c:v>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5-4C68-9289-7DA987A1117C}"/>
            </c:ext>
          </c:extLst>
        </c:ser>
        <c:ser>
          <c:idx val="2"/>
          <c:order val="2"/>
          <c:tx>
            <c:v>Leiner-based Exp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Zeballos!$AE$150:$AE$158</c:f>
              <c:numCache>
                <c:formatCode>dd\-mmm\-yy</c:formatCode>
                <c:ptCount val="9"/>
                <c:pt idx="0">
                  <c:v>43709</c:v>
                </c:pt>
                <c:pt idx="1">
                  <c:v>43713</c:v>
                </c:pt>
                <c:pt idx="2">
                  <c:v>43725</c:v>
                </c:pt>
                <c:pt idx="3">
                  <c:v>43733</c:v>
                </c:pt>
                <c:pt idx="4">
                  <c:v>43748</c:v>
                </c:pt>
                <c:pt idx="5">
                  <c:v>43761</c:v>
                </c:pt>
                <c:pt idx="6">
                  <c:v>43771</c:v>
                </c:pt>
                <c:pt idx="7">
                  <c:v>43774</c:v>
                </c:pt>
                <c:pt idx="8">
                  <c:v>43784</c:v>
                </c:pt>
              </c:numCache>
            </c:numRef>
          </c:xVal>
          <c:yVal>
            <c:numRef>
              <c:f>Zeballos!$AF$150:$AF$158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418</c:v>
                </c:pt>
                <c:pt idx="3">
                  <c:v>435</c:v>
                </c:pt>
                <c:pt idx="4">
                  <c:v>1519</c:v>
                </c:pt>
                <c:pt idx="5">
                  <c:v>1239</c:v>
                </c:pt>
                <c:pt idx="6">
                  <c:v>1191</c:v>
                </c:pt>
                <c:pt idx="7">
                  <c:v>447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5-4C68-9289-7DA987A1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048992"/>
        <c:axId val="769048008"/>
      </c:scatterChart>
      <c:valAx>
        <c:axId val="7690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48008"/>
        <c:crosses val="autoZero"/>
        <c:crossBetween val="midCat"/>
      </c:valAx>
      <c:valAx>
        <c:axId val="7690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4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CA"/>
              <a:t>Kaouk Chum counts </a:t>
            </a:r>
          </a:p>
        </c:rich>
      </c:tx>
      <c:layout>
        <c:manualLayout>
          <c:xMode val="edge"/>
          <c:yMode val="edge"/>
          <c:x val="0.12798497748757015"/>
          <c:y val="5.257831088870899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Kaouk!$A$75</c:f>
              <c:strCache>
                <c:ptCount val="1"/>
                <c:pt idx="0">
                  <c:v>1995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Kaouk!$B$75:$W$75</c:f>
              <c:numCache>
                <c:formatCode>General</c:formatCode>
                <c:ptCount val="22"/>
                <c:pt idx="7">
                  <c:v>3</c:v>
                </c:pt>
                <c:pt idx="8">
                  <c:v>160</c:v>
                </c:pt>
                <c:pt idx="9">
                  <c:v>551</c:v>
                </c:pt>
                <c:pt idx="10">
                  <c:v>1859</c:v>
                </c:pt>
                <c:pt idx="13">
                  <c:v>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E-467E-91EB-C65F75FEFB51}"/>
            </c:ext>
          </c:extLst>
        </c:ser>
        <c:ser>
          <c:idx val="1"/>
          <c:order val="1"/>
          <c:tx>
            <c:strRef>
              <c:f>Kaouk!$A$76</c:f>
              <c:strCache>
                <c:ptCount val="1"/>
                <c:pt idx="0">
                  <c:v>1996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Kaouk!$B$76:$W$76</c:f>
              <c:numCache>
                <c:formatCode>General</c:formatCode>
                <c:ptCount val="22"/>
                <c:pt idx="3">
                  <c:v>5</c:v>
                </c:pt>
                <c:pt idx="4">
                  <c:v>2</c:v>
                </c:pt>
                <c:pt idx="6">
                  <c:v>21</c:v>
                </c:pt>
                <c:pt idx="7">
                  <c:v>51</c:v>
                </c:pt>
                <c:pt idx="8">
                  <c:v>0</c:v>
                </c:pt>
                <c:pt idx="9">
                  <c:v>872</c:v>
                </c:pt>
                <c:pt idx="12">
                  <c:v>2841</c:v>
                </c:pt>
                <c:pt idx="14">
                  <c:v>96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E-467E-91EB-C65F75FEFB51}"/>
            </c:ext>
          </c:extLst>
        </c:ser>
        <c:ser>
          <c:idx val="2"/>
          <c:order val="2"/>
          <c:tx>
            <c:strRef>
              <c:f>Kaouk!$A$77</c:f>
              <c:strCache>
                <c:ptCount val="1"/>
                <c:pt idx="0">
                  <c:v>1997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Kaouk!$B$77:$W$77</c:f>
              <c:numCache>
                <c:formatCode>General</c:formatCode>
                <c:ptCount val="22"/>
                <c:pt idx="2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9">
                  <c:v>502</c:v>
                </c:pt>
                <c:pt idx="11">
                  <c:v>2240</c:v>
                </c:pt>
                <c:pt idx="12">
                  <c:v>165</c:v>
                </c:pt>
                <c:pt idx="14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E-467E-91EB-C65F75FEFB51}"/>
            </c:ext>
          </c:extLst>
        </c:ser>
        <c:ser>
          <c:idx val="3"/>
          <c:order val="3"/>
          <c:tx>
            <c:strRef>
              <c:f>Kaouk!$A$78</c:f>
              <c:strCache>
                <c:ptCount val="1"/>
                <c:pt idx="0">
                  <c:v>1998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Kaouk!$B$78:$W$78</c:f>
              <c:numCache>
                <c:formatCode>General</c:formatCode>
                <c:ptCount val="22"/>
                <c:pt idx="1">
                  <c:v>16</c:v>
                </c:pt>
                <c:pt idx="5">
                  <c:v>0</c:v>
                </c:pt>
                <c:pt idx="7">
                  <c:v>24</c:v>
                </c:pt>
                <c:pt idx="8">
                  <c:v>60</c:v>
                </c:pt>
                <c:pt idx="9">
                  <c:v>2073</c:v>
                </c:pt>
                <c:pt idx="10">
                  <c:v>9919</c:v>
                </c:pt>
                <c:pt idx="11">
                  <c:v>5300</c:v>
                </c:pt>
                <c:pt idx="12">
                  <c:v>7788</c:v>
                </c:pt>
                <c:pt idx="13">
                  <c:v>10202</c:v>
                </c:pt>
                <c:pt idx="15">
                  <c:v>580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E-467E-91EB-C65F75FEFB51}"/>
            </c:ext>
          </c:extLst>
        </c:ser>
        <c:ser>
          <c:idx val="4"/>
          <c:order val="4"/>
          <c:tx>
            <c:strRef>
              <c:f>Kaouk!$A$79</c:f>
              <c:strCache>
                <c:ptCount val="1"/>
                <c:pt idx="0">
                  <c:v>1999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Kaouk!$B$79:$W$79</c:f>
              <c:numCache>
                <c:formatCode>General</c:formatCode>
                <c:ptCount val="22"/>
                <c:pt idx="6">
                  <c:v>12</c:v>
                </c:pt>
                <c:pt idx="7">
                  <c:v>29</c:v>
                </c:pt>
                <c:pt idx="8">
                  <c:v>305</c:v>
                </c:pt>
                <c:pt idx="10">
                  <c:v>2373</c:v>
                </c:pt>
                <c:pt idx="11">
                  <c:v>5920</c:v>
                </c:pt>
                <c:pt idx="13">
                  <c:v>6499</c:v>
                </c:pt>
                <c:pt idx="14">
                  <c:v>3613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1E-467E-91EB-C65F75FEFB51}"/>
            </c:ext>
          </c:extLst>
        </c:ser>
        <c:ser>
          <c:idx val="5"/>
          <c:order val="5"/>
          <c:tx>
            <c:strRef>
              <c:f>Kaouk!$A$80</c:f>
              <c:strCache>
                <c:ptCount val="1"/>
                <c:pt idx="0">
                  <c:v>2000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Kaouk!$B$80:$W$80</c:f>
              <c:numCache>
                <c:formatCode>General</c:formatCode>
                <c:ptCount val="22"/>
                <c:pt idx="6">
                  <c:v>60</c:v>
                </c:pt>
                <c:pt idx="7">
                  <c:v>63</c:v>
                </c:pt>
                <c:pt idx="8">
                  <c:v>90</c:v>
                </c:pt>
                <c:pt idx="10">
                  <c:v>227</c:v>
                </c:pt>
                <c:pt idx="14">
                  <c:v>281</c:v>
                </c:pt>
                <c:pt idx="15">
                  <c:v>168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1E-467E-91EB-C65F75FEFB51}"/>
            </c:ext>
          </c:extLst>
        </c:ser>
        <c:ser>
          <c:idx val="6"/>
          <c:order val="6"/>
          <c:tx>
            <c:strRef>
              <c:f>Kaouk!$A$81</c:f>
              <c:strCache>
                <c:ptCount val="1"/>
                <c:pt idx="0">
                  <c:v>2001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Kaouk!$B$81:$W$81</c:f>
              <c:numCache>
                <c:formatCode>General</c:formatCode>
                <c:ptCount val="22"/>
                <c:pt idx="6">
                  <c:v>2</c:v>
                </c:pt>
                <c:pt idx="8">
                  <c:v>445</c:v>
                </c:pt>
                <c:pt idx="10">
                  <c:v>430</c:v>
                </c:pt>
                <c:pt idx="1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1E-467E-91EB-C65F75FEFB51}"/>
            </c:ext>
          </c:extLst>
        </c:ser>
        <c:ser>
          <c:idx val="7"/>
          <c:order val="7"/>
          <c:tx>
            <c:strRef>
              <c:f>Kaouk!$A$82</c:f>
              <c:strCache>
                <c:ptCount val="1"/>
                <c:pt idx="0">
                  <c:v>2002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Kaouk!$B$82:$W$82</c:f>
              <c:numCache>
                <c:formatCode>General</c:formatCode>
                <c:ptCount val="22"/>
                <c:pt idx="6">
                  <c:v>7</c:v>
                </c:pt>
                <c:pt idx="8">
                  <c:v>118</c:v>
                </c:pt>
                <c:pt idx="12">
                  <c:v>1935</c:v>
                </c:pt>
                <c:pt idx="16">
                  <c:v>25</c:v>
                </c:pt>
                <c:pt idx="1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1E-467E-91EB-C65F75FEFB51}"/>
            </c:ext>
          </c:extLst>
        </c:ser>
        <c:ser>
          <c:idx val="8"/>
          <c:order val="8"/>
          <c:tx>
            <c:strRef>
              <c:f>Kaouk!$A$83</c:f>
              <c:strCache>
                <c:ptCount val="1"/>
                <c:pt idx="0">
                  <c:v>2003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Kaouk!$B$83:$W$83</c:f>
              <c:numCache>
                <c:formatCode>General</c:formatCode>
                <c:ptCount val="22"/>
                <c:pt idx="7">
                  <c:v>721</c:v>
                </c:pt>
                <c:pt idx="8">
                  <c:v>660</c:v>
                </c:pt>
                <c:pt idx="9">
                  <c:v>637</c:v>
                </c:pt>
                <c:pt idx="12">
                  <c:v>6004</c:v>
                </c:pt>
                <c:pt idx="13">
                  <c:v>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1E-467E-91EB-C65F75FEFB51}"/>
            </c:ext>
          </c:extLst>
        </c:ser>
        <c:ser>
          <c:idx val="9"/>
          <c:order val="9"/>
          <c:tx>
            <c:strRef>
              <c:f>Kaouk!$A$84</c:f>
              <c:strCache>
                <c:ptCount val="1"/>
                <c:pt idx="0">
                  <c:v>2004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Kaouk!$B$84:$W$84</c:f>
              <c:numCache>
                <c:formatCode>General</c:formatCode>
                <c:ptCount val="22"/>
                <c:pt idx="6">
                  <c:v>150</c:v>
                </c:pt>
                <c:pt idx="7">
                  <c:v>986</c:v>
                </c:pt>
                <c:pt idx="10">
                  <c:v>2705</c:v>
                </c:pt>
                <c:pt idx="12">
                  <c:v>5076</c:v>
                </c:pt>
                <c:pt idx="1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1E-467E-91EB-C65F75FEFB51}"/>
            </c:ext>
          </c:extLst>
        </c:ser>
        <c:ser>
          <c:idx val="10"/>
          <c:order val="10"/>
          <c:tx>
            <c:strRef>
              <c:f>Kaouk!$A$85</c:f>
              <c:strCache>
                <c:ptCount val="1"/>
                <c:pt idx="0">
                  <c:v>2005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Kaouk!$B$85:$W$85</c:f>
              <c:numCache>
                <c:formatCode>General</c:formatCode>
                <c:ptCount val="22"/>
                <c:pt idx="6">
                  <c:v>35</c:v>
                </c:pt>
                <c:pt idx="9">
                  <c:v>1732</c:v>
                </c:pt>
                <c:pt idx="14">
                  <c:v>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1E-467E-91EB-C65F75FEFB51}"/>
            </c:ext>
          </c:extLst>
        </c:ser>
        <c:ser>
          <c:idx val="11"/>
          <c:order val="11"/>
          <c:tx>
            <c:strRef>
              <c:f>Kaouk!$A$86</c:f>
              <c:strCache>
                <c:ptCount val="1"/>
                <c:pt idx="0">
                  <c:v>2006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Kaouk!$B$86:$W$86</c:f>
              <c:numCache>
                <c:formatCode>General</c:formatCode>
                <c:ptCount val="22"/>
                <c:pt idx="7">
                  <c:v>32</c:v>
                </c:pt>
                <c:pt idx="10">
                  <c:v>6560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1E-467E-91EB-C65F75FEFB51}"/>
            </c:ext>
          </c:extLst>
        </c:ser>
        <c:ser>
          <c:idx val="12"/>
          <c:order val="12"/>
          <c:tx>
            <c:strRef>
              <c:f>Kaouk!$A$87</c:f>
              <c:strCache>
                <c:ptCount val="1"/>
                <c:pt idx="0">
                  <c:v>2007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Kaouk!$B$87:$W$87</c:f>
              <c:numCache>
                <c:formatCode>General</c:formatCode>
                <c:ptCount val="22"/>
                <c:pt idx="6">
                  <c:v>5</c:v>
                </c:pt>
                <c:pt idx="7">
                  <c:v>26</c:v>
                </c:pt>
                <c:pt idx="11">
                  <c:v>9033</c:v>
                </c:pt>
                <c:pt idx="1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1E-467E-91EB-C65F75FEFB51}"/>
            </c:ext>
          </c:extLst>
        </c:ser>
        <c:ser>
          <c:idx val="13"/>
          <c:order val="13"/>
          <c:tx>
            <c:strRef>
              <c:f>Kaouk!$A$88</c:f>
              <c:strCache>
                <c:ptCount val="1"/>
                <c:pt idx="0">
                  <c:v>2008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Kaouk!$B$88:$W$88</c:f>
              <c:numCache>
                <c:formatCode>General</c:formatCode>
                <c:ptCount val="22"/>
                <c:pt idx="5">
                  <c:v>12</c:v>
                </c:pt>
                <c:pt idx="9">
                  <c:v>420</c:v>
                </c:pt>
                <c:pt idx="11">
                  <c:v>2031</c:v>
                </c:pt>
                <c:pt idx="15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1E-467E-91EB-C65F75FEFB51}"/>
            </c:ext>
          </c:extLst>
        </c:ser>
        <c:ser>
          <c:idx val="14"/>
          <c:order val="14"/>
          <c:tx>
            <c:strRef>
              <c:f>Kaouk!$A$89</c:f>
              <c:strCache>
                <c:ptCount val="1"/>
                <c:pt idx="0">
                  <c:v>2009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Kaouk!$B$89:$W$89</c:f>
              <c:numCache>
                <c:formatCode>General</c:formatCode>
                <c:ptCount val="22"/>
                <c:pt idx="5">
                  <c:v>2</c:v>
                </c:pt>
                <c:pt idx="7">
                  <c:v>24</c:v>
                </c:pt>
                <c:pt idx="9">
                  <c:v>13</c:v>
                </c:pt>
                <c:pt idx="11">
                  <c:v>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1E-467E-91EB-C65F75FEFB51}"/>
            </c:ext>
          </c:extLst>
        </c:ser>
        <c:ser>
          <c:idx val="15"/>
          <c:order val="15"/>
          <c:tx>
            <c:strRef>
              <c:f>Kaouk!$A$90</c:f>
              <c:strCache>
                <c:ptCount val="1"/>
                <c:pt idx="0">
                  <c:v>2010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Kaouk!$B$90:$W$90</c:f>
              <c:numCache>
                <c:formatCode>General</c:formatCode>
                <c:ptCount val="22"/>
                <c:pt idx="5">
                  <c:v>0</c:v>
                </c:pt>
                <c:pt idx="6">
                  <c:v>3</c:v>
                </c:pt>
                <c:pt idx="7">
                  <c:v>29</c:v>
                </c:pt>
                <c:pt idx="8">
                  <c:v>593</c:v>
                </c:pt>
                <c:pt idx="9">
                  <c:v>1120</c:v>
                </c:pt>
                <c:pt idx="11">
                  <c:v>5605</c:v>
                </c:pt>
                <c:pt idx="12">
                  <c:v>3607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1E-467E-91EB-C65F75FEFB51}"/>
            </c:ext>
          </c:extLst>
        </c:ser>
        <c:ser>
          <c:idx val="16"/>
          <c:order val="16"/>
          <c:tx>
            <c:strRef>
              <c:f>Kaouk!$A$91</c:f>
              <c:strCache>
                <c:ptCount val="1"/>
                <c:pt idx="0">
                  <c:v>2011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Kaouk!$B$91:$W$91</c:f>
              <c:numCache>
                <c:formatCode>General</c:formatCode>
                <c:ptCount val="22"/>
                <c:pt idx="8">
                  <c:v>1187</c:v>
                </c:pt>
                <c:pt idx="9">
                  <c:v>3202</c:v>
                </c:pt>
                <c:pt idx="10">
                  <c:v>11074</c:v>
                </c:pt>
                <c:pt idx="11">
                  <c:v>12159</c:v>
                </c:pt>
                <c:pt idx="12">
                  <c:v>7794</c:v>
                </c:pt>
                <c:pt idx="14">
                  <c:v>1732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1E-467E-91EB-C65F75FEFB51}"/>
            </c:ext>
          </c:extLst>
        </c:ser>
        <c:ser>
          <c:idx val="17"/>
          <c:order val="17"/>
          <c:tx>
            <c:strRef>
              <c:f>Kaouk!$A$92</c:f>
              <c:strCache>
                <c:ptCount val="1"/>
                <c:pt idx="0">
                  <c:v>2012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Kaouk!$B$92:$W$92</c:f>
              <c:numCache>
                <c:formatCode>General</c:formatCode>
                <c:ptCount val="22"/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163</c:v>
                </c:pt>
                <c:pt idx="9">
                  <c:v>344</c:v>
                </c:pt>
                <c:pt idx="11">
                  <c:v>5094</c:v>
                </c:pt>
                <c:pt idx="12">
                  <c:v>2112</c:v>
                </c:pt>
                <c:pt idx="13">
                  <c:v>831</c:v>
                </c:pt>
                <c:pt idx="14">
                  <c:v>236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1E-467E-91EB-C65F75FEFB51}"/>
            </c:ext>
          </c:extLst>
        </c:ser>
        <c:ser>
          <c:idx val="18"/>
          <c:order val="18"/>
          <c:tx>
            <c:strRef>
              <c:f>Kaouk!$A$93</c:f>
              <c:strCache>
                <c:ptCount val="1"/>
                <c:pt idx="0">
                  <c:v>2013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Kaouk!$B$93:$W$93</c:f>
              <c:numCache>
                <c:formatCode>General</c:formatCode>
                <c:ptCount val="22"/>
                <c:pt idx="5">
                  <c:v>0</c:v>
                </c:pt>
                <c:pt idx="6">
                  <c:v>9</c:v>
                </c:pt>
                <c:pt idx="7">
                  <c:v>1115</c:v>
                </c:pt>
                <c:pt idx="9">
                  <c:v>2251</c:v>
                </c:pt>
                <c:pt idx="10">
                  <c:v>4077</c:v>
                </c:pt>
                <c:pt idx="11">
                  <c:v>4610</c:v>
                </c:pt>
                <c:pt idx="12">
                  <c:v>2735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1E-467E-91EB-C65F75FEFB51}"/>
            </c:ext>
          </c:extLst>
        </c:ser>
        <c:ser>
          <c:idx val="19"/>
          <c:order val="19"/>
          <c:tx>
            <c:strRef>
              <c:f>Kaouk!$A$94</c:f>
              <c:strCache>
                <c:ptCount val="1"/>
                <c:pt idx="0">
                  <c:v>2014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Kaouk!$B$94:$W$94</c:f>
              <c:numCache>
                <c:formatCode>General</c:formatCode>
                <c:ptCount val="22"/>
                <c:pt idx="4">
                  <c:v>0</c:v>
                </c:pt>
                <c:pt idx="5">
                  <c:v>4</c:v>
                </c:pt>
                <c:pt idx="7">
                  <c:v>23</c:v>
                </c:pt>
                <c:pt idx="8">
                  <c:v>337</c:v>
                </c:pt>
                <c:pt idx="9">
                  <c:v>2178</c:v>
                </c:pt>
                <c:pt idx="10">
                  <c:v>2703</c:v>
                </c:pt>
                <c:pt idx="11">
                  <c:v>2839</c:v>
                </c:pt>
                <c:pt idx="13">
                  <c:v>481</c:v>
                </c:pt>
                <c:pt idx="15">
                  <c:v>32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1E-467E-91EB-C65F75FEFB51}"/>
            </c:ext>
          </c:extLst>
        </c:ser>
        <c:ser>
          <c:idx val="20"/>
          <c:order val="20"/>
          <c:tx>
            <c:strRef>
              <c:f>Kaouk!$A$95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11"/>
            <c:spPr>
              <a:solidFill>
                <a:srgbClr val="FF66FF"/>
              </a:solidFill>
            </c:spPr>
          </c:marker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Kaouk!$B$95:$W$95</c:f>
              <c:numCache>
                <c:formatCode>General</c:formatCode>
                <c:ptCount val="22"/>
                <c:pt idx="5">
                  <c:v>10</c:v>
                </c:pt>
                <c:pt idx="6">
                  <c:v>105</c:v>
                </c:pt>
                <c:pt idx="7">
                  <c:v>1469</c:v>
                </c:pt>
                <c:pt idx="8">
                  <c:v>1612</c:v>
                </c:pt>
                <c:pt idx="9">
                  <c:v>1825</c:v>
                </c:pt>
                <c:pt idx="10">
                  <c:v>5933</c:v>
                </c:pt>
                <c:pt idx="12">
                  <c:v>4395</c:v>
                </c:pt>
                <c:pt idx="13">
                  <c:v>1179</c:v>
                </c:pt>
                <c:pt idx="14">
                  <c:v>207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1E-467E-91EB-C65F75FEFB51}"/>
            </c:ext>
          </c:extLst>
        </c:ser>
        <c:ser>
          <c:idx val="21"/>
          <c:order val="21"/>
          <c:tx>
            <c:strRef>
              <c:f>Kaouk!$A$104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Kaouk!$B$74:$W$74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Kaouk!$B$104:$W$104</c:f>
              <c:numCache>
                <c:formatCode>0</c:formatCode>
                <c:ptCount val="22"/>
                <c:pt idx="1">
                  <c:v>16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3.5</c:v>
                </c:pt>
                <c:pt idx="6">
                  <c:v>32.444444444444443</c:v>
                </c:pt>
                <c:pt idx="7">
                  <c:v>178.36363636363637</c:v>
                </c:pt>
                <c:pt idx="8">
                  <c:v>229.75</c:v>
                </c:pt>
                <c:pt idx="9">
                  <c:v>850</c:v>
                </c:pt>
                <c:pt idx="10">
                  <c:v>3439</c:v>
                </c:pt>
                <c:pt idx="11">
                  <c:v>4758.833333333333</c:v>
                </c:pt>
                <c:pt idx="12">
                  <c:v>3968.1666666666665</c:v>
                </c:pt>
                <c:pt idx="13">
                  <c:v>5490.25</c:v>
                </c:pt>
                <c:pt idx="14">
                  <c:v>2020.6</c:v>
                </c:pt>
                <c:pt idx="15">
                  <c:v>238.75</c:v>
                </c:pt>
                <c:pt idx="16">
                  <c:v>19.600000000000001</c:v>
                </c:pt>
                <c:pt idx="17">
                  <c:v>43.666666666666664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1E-467E-91EB-C65F75FE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9600"/>
        <c:axId val="53535872"/>
      </c:lineChart>
      <c:catAx>
        <c:axId val="535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/>
                  <a:t>Statweek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535872"/>
        <c:crosses val="autoZero"/>
        <c:auto val="1"/>
        <c:lblAlgn val="ctr"/>
        <c:lblOffset val="100"/>
        <c:noMultiLvlLbl val="0"/>
      </c:catAx>
      <c:valAx>
        <c:axId val="535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52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31771333461363"/>
          <c:y val="7.1865642962853943E-2"/>
          <c:w val="0.10282013528796707"/>
          <c:h val="0.56924129810876445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CA"/>
              <a:t>Artlish chum counts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Artlish!$A$75</c:f>
              <c:strCache>
                <c:ptCount val="1"/>
                <c:pt idx="0">
                  <c:v>1995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Artlish!$B$75:$W$75</c:f>
              <c:numCache>
                <c:formatCode>General</c:formatCode>
                <c:ptCount val="22"/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F-48E5-80DE-35D447D65CAD}"/>
            </c:ext>
          </c:extLst>
        </c:ser>
        <c:ser>
          <c:idx val="1"/>
          <c:order val="1"/>
          <c:tx>
            <c:strRef>
              <c:f>Artlish!$A$76</c:f>
              <c:strCache>
                <c:ptCount val="1"/>
                <c:pt idx="0">
                  <c:v>1996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Artlish!$B$76:$W$76</c:f>
              <c:numCache>
                <c:formatCode>General</c:formatCode>
                <c:ptCount val="22"/>
                <c:pt idx="5">
                  <c:v>0</c:v>
                </c:pt>
                <c:pt idx="7">
                  <c:v>0</c:v>
                </c:pt>
                <c:pt idx="9">
                  <c:v>46</c:v>
                </c:pt>
                <c:pt idx="11">
                  <c:v>1000</c:v>
                </c:pt>
                <c:pt idx="12">
                  <c:v>129</c:v>
                </c:pt>
                <c:pt idx="13">
                  <c:v>371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F-48E5-80DE-35D447D65CAD}"/>
            </c:ext>
          </c:extLst>
        </c:ser>
        <c:ser>
          <c:idx val="2"/>
          <c:order val="2"/>
          <c:tx>
            <c:strRef>
              <c:f>Artlish!$A$77</c:f>
              <c:strCache>
                <c:ptCount val="1"/>
                <c:pt idx="0">
                  <c:v>1997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Artlish!$B$77:$W$77</c:f>
              <c:numCache>
                <c:formatCode>General</c:formatCode>
                <c:ptCount val="22"/>
                <c:pt idx="2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9">
                  <c:v>182</c:v>
                </c:pt>
                <c:pt idx="10">
                  <c:v>127</c:v>
                </c:pt>
                <c:pt idx="11">
                  <c:v>1424</c:v>
                </c:pt>
                <c:pt idx="14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F-48E5-80DE-35D447D65CAD}"/>
            </c:ext>
          </c:extLst>
        </c:ser>
        <c:ser>
          <c:idx val="3"/>
          <c:order val="3"/>
          <c:tx>
            <c:strRef>
              <c:f>Artlish!$A$78</c:f>
              <c:strCache>
                <c:ptCount val="1"/>
                <c:pt idx="0">
                  <c:v>1998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Artlish!$B$78:$W$78</c:f>
              <c:numCache>
                <c:formatCode>General</c:formatCode>
                <c:ptCount val="22"/>
                <c:pt idx="5">
                  <c:v>0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459</c:v>
                </c:pt>
                <c:pt idx="11">
                  <c:v>4047</c:v>
                </c:pt>
                <c:pt idx="12">
                  <c:v>3652</c:v>
                </c:pt>
                <c:pt idx="13">
                  <c:v>5518</c:v>
                </c:pt>
                <c:pt idx="16">
                  <c:v>17</c:v>
                </c:pt>
                <c:pt idx="18">
                  <c:v>0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F-48E5-80DE-35D447D65CAD}"/>
            </c:ext>
          </c:extLst>
        </c:ser>
        <c:ser>
          <c:idx val="4"/>
          <c:order val="4"/>
          <c:tx>
            <c:strRef>
              <c:f>Artlish!$A$79</c:f>
              <c:strCache>
                <c:ptCount val="1"/>
                <c:pt idx="0">
                  <c:v>1999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Artlish!$B$79:$W$79</c:f>
              <c:numCache>
                <c:formatCode>General</c:formatCode>
                <c:ptCount val="22"/>
                <c:pt idx="5">
                  <c:v>14</c:v>
                </c:pt>
                <c:pt idx="8">
                  <c:v>46</c:v>
                </c:pt>
                <c:pt idx="11">
                  <c:v>2082</c:v>
                </c:pt>
                <c:pt idx="12">
                  <c:v>2008</c:v>
                </c:pt>
                <c:pt idx="13">
                  <c:v>2518</c:v>
                </c:pt>
                <c:pt idx="15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1F-48E5-80DE-35D447D65CAD}"/>
            </c:ext>
          </c:extLst>
        </c:ser>
        <c:ser>
          <c:idx val="5"/>
          <c:order val="5"/>
          <c:tx>
            <c:strRef>
              <c:f>Artlish!$A$80</c:f>
              <c:strCache>
                <c:ptCount val="1"/>
                <c:pt idx="0">
                  <c:v>2000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Artlish!$B$80:$W$80</c:f>
              <c:numCache>
                <c:formatCode>General</c:formatCode>
                <c:ptCount val="22"/>
                <c:pt idx="6">
                  <c:v>1</c:v>
                </c:pt>
                <c:pt idx="7">
                  <c:v>9</c:v>
                </c:pt>
                <c:pt idx="9">
                  <c:v>110</c:v>
                </c:pt>
                <c:pt idx="14">
                  <c:v>237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1F-48E5-80DE-35D447D65CAD}"/>
            </c:ext>
          </c:extLst>
        </c:ser>
        <c:ser>
          <c:idx val="6"/>
          <c:order val="6"/>
          <c:tx>
            <c:strRef>
              <c:f>Artlish!$A$81</c:f>
              <c:strCache>
                <c:ptCount val="1"/>
                <c:pt idx="0">
                  <c:v>2001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Artlish!$B$81:$W$81</c:f>
              <c:numCache>
                <c:formatCode>General</c:formatCode>
                <c:ptCount val="22"/>
                <c:pt idx="6">
                  <c:v>0</c:v>
                </c:pt>
                <c:pt idx="8">
                  <c:v>54</c:v>
                </c:pt>
                <c:pt idx="1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1F-48E5-80DE-35D447D65CAD}"/>
            </c:ext>
          </c:extLst>
        </c:ser>
        <c:ser>
          <c:idx val="7"/>
          <c:order val="7"/>
          <c:tx>
            <c:strRef>
              <c:f>Artlish!$A$82</c:f>
              <c:strCache>
                <c:ptCount val="1"/>
                <c:pt idx="0">
                  <c:v>2002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Artlish!$B$82:$W$82</c:f>
              <c:numCache>
                <c:formatCode>General</c:formatCode>
                <c:ptCount val="22"/>
                <c:pt idx="6">
                  <c:v>4</c:v>
                </c:pt>
                <c:pt idx="8">
                  <c:v>20</c:v>
                </c:pt>
                <c:pt idx="11">
                  <c:v>1638</c:v>
                </c:pt>
                <c:pt idx="13">
                  <c:v>203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1F-48E5-80DE-35D447D65CAD}"/>
            </c:ext>
          </c:extLst>
        </c:ser>
        <c:ser>
          <c:idx val="8"/>
          <c:order val="8"/>
          <c:tx>
            <c:strRef>
              <c:f>Artlish!$A$83</c:f>
              <c:strCache>
                <c:ptCount val="1"/>
                <c:pt idx="0">
                  <c:v>2003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Artlish!$B$83:$W$83</c:f>
              <c:numCache>
                <c:formatCode>General</c:formatCode>
                <c:ptCount val="22"/>
                <c:pt idx="7">
                  <c:v>59</c:v>
                </c:pt>
                <c:pt idx="8">
                  <c:v>36</c:v>
                </c:pt>
                <c:pt idx="10">
                  <c:v>1670</c:v>
                </c:pt>
                <c:pt idx="12">
                  <c:v>4594</c:v>
                </c:pt>
                <c:pt idx="13">
                  <c:v>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1F-48E5-80DE-35D447D65CAD}"/>
            </c:ext>
          </c:extLst>
        </c:ser>
        <c:ser>
          <c:idx val="9"/>
          <c:order val="9"/>
          <c:tx>
            <c:strRef>
              <c:f>Artlish!$A$84</c:f>
              <c:strCache>
                <c:ptCount val="1"/>
                <c:pt idx="0">
                  <c:v>2004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Artlish!$B$84:$W$84</c:f>
              <c:numCache>
                <c:formatCode>General</c:formatCode>
                <c:ptCount val="22"/>
                <c:pt idx="6">
                  <c:v>4</c:v>
                </c:pt>
                <c:pt idx="8">
                  <c:v>163</c:v>
                </c:pt>
                <c:pt idx="10">
                  <c:v>3114</c:v>
                </c:pt>
                <c:pt idx="12">
                  <c:v>3048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1F-48E5-80DE-35D447D65CAD}"/>
            </c:ext>
          </c:extLst>
        </c:ser>
        <c:ser>
          <c:idx val="10"/>
          <c:order val="10"/>
          <c:tx>
            <c:strRef>
              <c:f>Artlish!$A$85</c:f>
              <c:strCache>
                <c:ptCount val="1"/>
                <c:pt idx="0">
                  <c:v>2005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Artlish!$B$85:$W$85</c:f>
              <c:numCache>
                <c:formatCode>General</c:formatCode>
                <c:ptCount val="22"/>
                <c:pt idx="6">
                  <c:v>3</c:v>
                </c:pt>
                <c:pt idx="9">
                  <c:v>928</c:v>
                </c:pt>
                <c:pt idx="14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1F-48E5-80DE-35D447D65CAD}"/>
            </c:ext>
          </c:extLst>
        </c:ser>
        <c:ser>
          <c:idx val="11"/>
          <c:order val="11"/>
          <c:tx>
            <c:strRef>
              <c:f>Artlish!$A$86</c:f>
              <c:strCache>
                <c:ptCount val="1"/>
                <c:pt idx="0">
                  <c:v>2006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Artlish!$B$86:$W$86</c:f>
              <c:numCache>
                <c:formatCode>General</c:formatCode>
                <c:ptCount val="22"/>
                <c:pt idx="6">
                  <c:v>2</c:v>
                </c:pt>
                <c:pt idx="9">
                  <c:v>21</c:v>
                </c:pt>
                <c:pt idx="12">
                  <c:v>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1F-48E5-80DE-35D447D65CAD}"/>
            </c:ext>
          </c:extLst>
        </c:ser>
        <c:ser>
          <c:idx val="12"/>
          <c:order val="12"/>
          <c:tx>
            <c:strRef>
              <c:f>Artlish!$A$87</c:f>
              <c:strCache>
                <c:ptCount val="1"/>
                <c:pt idx="0">
                  <c:v>2007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Artlish!$B$87:$W$87</c:f>
              <c:numCache>
                <c:formatCode>General</c:formatCode>
                <c:ptCount val="22"/>
                <c:pt idx="6">
                  <c:v>1</c:v>
                </c:pt>
                <c:pt idx="8">
                  <c:v>31</c:v>
                </c:pt>
                <c:pt idx="15">
                  <c:v>20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1F-48E5-80DE-35D447D65CAD}"/>
            </c:ext>
          </c:extLst>
        </c:ser>
        <c:ser>
          <c:idx val="13"/>
          <c:order val="13"/>
          <c:tx>
            <c:strRef>
              <c:f>Artlish!$A$88</c:f>
              <c:strCache>
                <c:ptCount val="1"/>
                <c:pt idx="0">
                  <c:v>2008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Artlish!$B$88:$W$88</c:f>
              <c:numCache>
                <c:formatCode>General</c:formatCode>
                <c:ptCount val="22"/>
                <c:pt idx="5">
                  <c:v>0</c:v>
                </c:pt>
                <c:pt idx="8">
                  <c:v>4</c:v>
                </c:pt>
                <c:pt idx="9">
                  <c:v>435</c:v>
                </c:pt>
                <c:pt idx="12">
                  <c:v>1752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1F-48E5-80DE-35D447D65CAD}"/>
            </c:ext>
          </c:extLst>
        </c:ser>
        <c:ser>
          <c:idx val="14"/>
          <c:order val="14"/>
          <c:tx>
            <c:strRef>
              <c:f>Artlish!$A$89</c:f>
              <c:strCache>
                <c:ptCount val="1"/>
                <c:pt idx="0">
                  <c:v>2009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Artlish!$B$89:$W$89</c:f>
              <c:numCache>
                <c:formatCode>General</c:formatCode>
                <c:ptCount val="22"/>
                <c:pt idx="7">
                  <c:v>41</c:v>
                </c:pt>
                <c:pt idx="8">
                  <c:v>5</c:v>
                </c:pt>
                <c:pt idx="9">
                  <c:v>55</c:v>
                </c:pt>
                <c:pt idx="11">
                  <c:v>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1F-48E5-80DE-35D447D65CAD}"/>
            </c:ext>
          </c:extLst>
        </c:ser>
        <c:ser>
          <c:idx val="15"/>
          <c:order val="15"/>
          <c:tx>
            <c:strRef>
              <c:f>Artlish!$A$90</c:f>
              <c:strCache>
                <c:ptCount val="1"/>
                <c:pt idx="0">
                  <c:v>2010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Artlish!$B$90:$W$90</c:f>
              <c:numCache>
                <c:formatCode>General</c:formatCode>
                <c:ptCount val="22"/>
                <c:pt idx="5">
                  <c:v>5</c:v>
                </c:pt>
                <c:pt idx="8">
                  <c:v>622</c:v>
                </c:pt>
                <c:pt idx="11">
                  <c:v>1057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1F-48E5-80DE-35D447D65CAD}"/>
            </c:ext>
          </c:extLst>
        </c:ser>
        <c:ser>
          <c:idx val="16"/>
          <c:order val="16"/>
          <c:tx>
            <c:strRef>
              <c:f>Artlish!$A$91</c:f>
              <c:strCache>
                <c:ptCount val="1"/>
                <c:pt idx="0">
                  <c:v>2011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Artlish!$B$91:$W$91</c:f>
              <c:numCache>
                <c:formatCode>General</c:formatCode>
                <c:ptCount val="22"/>
                <c:pt idx="9">
                  <c:v>1723</c:v>
                </c:pt>
                <c:pt idx="11">
                  <c:v>6777</c:v>
                </c:pt>
                <c:pt idx="12">
                  <c:v>2870</c:v>
                </c:pt>
                <c:pt idx="13">
                  <c:v>1595</c:v>
                </c:pt>
                <c:pt idx="15">
                  <c:v>54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91F-48E5-80DE-35D447D65CAD}"/>
            </c:ext>
          </c:extLst>
        </c:ser>
        <c:ser>
          <c:idx val="17"/>
          <c:order val="17"/>
          <c:tx>
            <c:strRef>
              <c:f>Artlish!$A$92</c:f>
              <c:strCache>
                <c:ptCount val="1"/>
                <c:pt idx="0">
                  <c:v>2012</c:v>
                </c:pt>
              </c:strCache>
            </c:strRef>
          </c:tx>
          <c:cat>
            <c:numRef>
              <c:f>Artlish!$B$74:$W$74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Artlish!$B$92:$W$92</c:f>
              <c:numCache>
                <c:formatCode>General</c:formatCode>
                <c:ptCount val="22"/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109</c:v>
                </c:pt>
                <c:pt idx="9">
                  <c:v>122</c:v>
                </c:pt>
                <c:pt idx="11">
                  <c:v>4581</c:v>
                </c:pt>
                <c:pt idx="12">
                  <c:v>1716</c:v>
                </c:pt>
                <c:pt idx="13">
                  <c:v>266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91F-48E5-80DE-35D447D6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5616"/>
        <c:axId val="53217152"/>
      </c:lineChart>
      <c:catAx>
        <c:axId val="532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17152"/>
        <c:crosses val="autoZero"/>
        <c:auto val="1"/>
        <c:lblAlgn val="ctr"/>
        <c:lblOffset val="100"/>
        <c:noMultiLvlLbl val="0"/>
      </c:catAx>
      <c:valAx>
        <c:axId val="5321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156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4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CA"/>
              <a:t>Tahsish chum counts</a:t>
            </a:r>
          </a:p>
        </c:rich>
      </c:tx>
      <c:layout>
        <c:manualLayout>
          <c:xMode val="edge"/>
          <c:yMode val="edge"/>
          <c:x val="8.3386703610823704E-2"/>
          <c:y val="4.355394237430357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Tahsish!$A$75</c:f>
              <c:strCache>
                <c:ptCount val="1"/>
                <c:pt idx="0">
                  <c:v>1995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Tahsish!$B$75:$W$75</c:f>
              <c:numCache>
                <c:formatCode>General</c:formatCode>
                <c:ptCount val="22"/>
                <c:pt idx="6">
                  <c:v>0</c:v>
                </c:pt>
                <c:pt idx="8">
                  <c:v>76</c:v>
                </c:pt>
                <c:pt idx="9">
                  <c:v>997</c:v>
                </c:pt>
                <c:pt idx="10">
                  <c:v>657</c:v>
                </c:pt>
                <c:pt idx="11">
                  <c:v>4000</c:v>
                </c:pt>
                <c:pt idx="12">
                  <c:v>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0-48D0-98F2-C6B6A0C6DAF4}"/>
            </c:ext>
          </c:extLst>
        </c:ser>
        <c:ser>
          <c:idx val="1"/>
          <c:order val="1"/>
          <c:tx>
            <c:strRef>
              <c:f>Tahsish!$A$76</c:f>
              <c:strCache>
                <c:ptCount val="1"/>
                <c:pt idx="0">
                  <c:v>1996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Tahsish!$B$76:$W$76</c:f>
              <c:numCache>
                <c:formatCode>General</c:formatCode>
                <c:ptCount val="22"/>
                <c:pt idx="2">
                  <c:v>0</c:v>
                </c:pt>
                <c:pt idx="4">
                  <c:v>1</c:v>
                </c:pt>
                <c:pt idx="6">
                  <c:v>23</c:v>
                </c:pt>
                <c:pt idx="8">
                  <c:v>379</c:v>
                </c:pt>
                <c:pt idx="9">
                  <c:v>1600</c:v>
                </c:pt>
                <c:pt idx="12">
                  <c:v>2637</c:v>
                </c:pt>
                <c:pt idx="1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0-48D0-98F2-C6B6A0C6DAF4}"/>
            </c:ext>
          </c:extLst>
        </c:ser>
        <c:ser>
          <c:idx val="2"/>
          <c:order val="2"/>
          <c:tx>
            <c:strRef>
              <c:f>Tahsish!$A$77</c:f>
              <c:strCache>
                <c:ptCount val="1"/>
                <c:pt idx="0">
                  <c:v>1997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Tahsish!$B$77:$W$77</c:f>
              <c:numCache>
                <c:formatCode>General</c:formatCode>
                <c:ptCount val="22"/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8">
                  <c:v>20</c:v>
                </c:pt>
                <c:pt idx="9">
                  <c:v>46</c:v>
                </c:pt>
                <c:pt idx="11">
                  <c:v>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0-48D0-98F2-C6B6A0C6DAF4}"/>
            </c:ext>
          </c:extLst>
        </c:ser>
        <c:ser>
          <c:idx val="3"/>
          <c:order val="3"/>
          <c:tx>
            <c:strRef>
              <c:f>Tahsish!$A$78</c:f>
              <c:strCache>
                <c:ptCount val="1"/>
                <c:pt idx="0">
                  <c:v>1998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Tahsish!$B$78:$W$78</c:f>
              <c:numCache>
                <c:formatCode>General</c:formatCode>
                <c:ptCount val="22"/>
                <c:pt idx="6">
                  <c:v>37</c:v>
                </c:pt>
                <c:pt idx="8">
                  <c:v>93</c:v>
                </c:pt>
                <c:pt idx="11">
                  <c:v>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0-48D0-98F2-C6B6A0C6DAF4}"/>
            </c:ext>
          </c:extLst>
        </c:ser>
        <c:ser>
          <c:idx val="4"/>
          <c:order val="4"/>
          <c:tx>
            <c:strRef>
              <c:f>Tahsish!$A$79</c:f>
              <c:strCache>
                <c:ptCount val="1"/>
                <c:pt idx="0">
                  <c:v>1999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Tahsish!$B$79:$W$79</c:f>
              <c:numCache>
                <c:formatCode>General</c:formatCode>
                <c:ptCount val="22"/>
                <c:pt idx="6">
                  <c:v>18</c:v>
                </c:pt>
                <c:pt idx="9">
                  <c:v>453</c:v>
                </c:pt>
                <c:pt idx="11">
                  <c:v>1937</c:v>
                </c:pt>
                <c:pt idx="13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0-48D0-98F2-C6B6A0C6DAF4}"/>
            </c:ext>
          </c:extLst>
        </c:ser>
        <c:ser>
          <c:idx val="5"/>
          <c:order val="5"/>
          <c:tx>
            <c:strRef>
              <c:f>Tahsish!$A$80</c:f>
              <c:strCache>
                <c:ptCount val="1"/>
                <c:pt idx="0">
                  <c:v>2000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Tahsish!$B$80:$W$80</c:f>
              <c:numCache>
                <c:formatCode>General</c:formatCode>
                <c:ptCount val="22"/>
                <c:pt idx="8">
                  <c:v>155</c:v>
                </c:pt>
                <c:pt idx="10">
                  <c:v>1230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0-48D0-98F2-C6B6A0C6DAF4}"/>
            </c:ext>
          </c:extLst>
        </c:ser>
        <c:ser>
          <c:idx val="6"/>
          <c:order val="6"/>
          <c:tx>
            <c:strRef>
              <c:f>Tahsish!$A$81</c:f>
              <c:strCache>
                <c:ptCount val="1"/>
                <c:pt idx="0">
                  <c:v>2001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Tahsish!$B$81:$W$81</c:f>
              <c:numCache>
                <c:formatCode>General</c:formatCode>
                <c:ptCount val="22"/>
                <c:pt idx="6">
                  <c:v>34</c:v>
                </c:pt>
                <c:pt idx="8">
                  <c:v>232</c:v>
                </c:pt>
                <c:pt idx="10">
                  <c:v>1400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0-48D0-98F2-C6B6A0C6DAF4}"/>
            </c:ext>
          </c:extLst>
        </c:ser>
        <c:ser>
          <c:idx val="7"/>
          <c:order val="7"/>
          <c:tx>
            <c:strRef>
              <c:f>Tahsish!$A$82</c:f>
              <c:strCache>
                <c:ptCount val="1"/>
                <c:pt idx="0">
                  <c:v>2002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Tahsish!$B$82:$W$82</c:f>
              <c:numCache>
                <c:formatCode>General</c:formatCode>
                <c:ptCount val="22"/>
                <c:pt idx="7">
                  <c:v>138</c:v>
                </c:pt>
                <c:pt idx="10">
                  <c:v>1446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F0-48D0-98F2-C6B6A0C6DAF4}"/>
            </c:ext>
          </c:extLst>
        </c:ser>
        <c:ser>
          <c:idx val="8"/>
          <c:order val="8"/>
          <c:tx>
            <c:strRef>
              <c:f>Tahsish!$A$83</c:f>
              <c:strCache>
                <c:ptCount val="1"/>
                <c:pt idx="0">
                  <c:v>2003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Tahsish!$B$83:$W$83</c:f>
              <c:numCache>
                <c:formatCode>General</c:formatCode>
                <c:ptCount val="22"/>
                <c:pt idx="5">
                  <c:v>0</c:v>
                </c:pt>
                <c:pt idx="6">
                  <c:v>54</c:v>
                </c:pt>
                <c:pt idx="7">
                  <c:v>431</c:v>
                </c:pt>
                <c:pt idx="9">
                  <c:v>107</c:v>
                </c:pt>
                <c:pt idx="12">
                  <c:v>2249</c:v>
                </c:pt>
                <c:pt idx="14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F0-48D0-98F2-C6B6A0C6DAF4}"/>
            </c:ext>
          </c:extLst>
        </c:ser>
        <c:ser>
          <c:idx val="9"/>
          <c:order val="9"/>
          <c:tx>
            <c:strRef>
              <c:f>Tahsish!$A$84</c:f>
              <c:strCache>
                <c:ptCount val="1"/>
                <c:pt idx="0">
                  <c:v>2004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Tahsish!$B$84:$W$84</c:f>
              <c:numCache>
                <c:formatCode>General</c:formatCode>
                <c:ptCount val="22"/>
                <c:pt idx="7">
                  <c:v>170</c:v>
                </c:pt>
                <c:pt idx="8">
                  <c:v>341</c:v>
                </c:pt>
                <c:pt idx="10">
                  <c:v>4611</c:v>
                </c:pt>
                <c:pt idx="12">
                  <c:v>2871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F0-48D0-98F2-C6B6A0C6DAF4}"/>
            </c:ext>
          </c:extLst>
        </c:ser>
        <c:ser>
          <c:idx val="10"/>
          <c:order val="10"/>
          <c:tx>
            <c:strRef>
              <c:f>Tahsish!$A$85</c:f>
              <c:strCache>
                <c:ptCount val="1"/>
                <c:pt idx="0">
                  <c:v>2005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Tahsish!$B$85:$W$85</c:f>
              <c:numCache>
                <c:formatCode>General</c:formatCode>
                <c:ptCount val="22"/>
                <c:pt idx="8">
                  <c:v>180</c:v>
                </c:pt>
                <c:pt idx="9">
                  <c:v>84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F0-48D0-98F2-C6B6A0C6DAF4}"/>
            </c:ext>
          </c:extLst>
        </c:ser>
        <c:ser>
          <c:idx val="11"/>
          <c:order val="11"/>
          <c:tx>
            <c:strRef>
              <c:f>Tahsish!$A$86</c:f>
              <c:strCache>
                <c:ptCount val="1"/>
                <c:pt idx="0">
                  <c:v>2006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Tahsish!$B$86:$W$86</c:f>
              <c:numCache>
                <c:formatCode>General</c:formatCode>
                <c:ptCount val="22"/>
                <c:pt idx="6">
                  <c:v>18</c:v>
                </c:pt>
                <c:pt idx="8">
                  <c:v>81</c:v>
                </c:pt>
                <c:pt idx="10">
                  <c:v>9759</c:v>
                </c:pt>
                <c:pt idx="12">
                  <c:v>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F0-48D0-98F2-C6B6A0C6DAF4}"/>
            </c:ext>
          </c:extLst>
        </c:ser>
        <c:ser>
          <c:idx val="12"/>
          <c:order val="12"/>
          <c:tx>
            <c:strRef>
              <c:f>Tahsish!$A$87</c:f>
              <c:strCache>
                <c:ptCount val="1"/>
                <c:pt idx="0">
                  <c:v>2007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Tahsish!$B$87:$W$87</c:f>
              <c:numCache>
                <c:formatCode>General</c:formatCode>
                <c:ptCount val="22"/>
                <c:pt idx="6">
                  <c:v>46</c:v>
                </c:pt>
                <c:pt idx="8">
                  <c:v>867</c:v>
                </c:pt>
                <c:pt idx="11">
                  <c:v>4658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F0-48D0-98F2-C6B6A0C6DAF4}"/>
            </c:ext>
          </c:extLst>
        </c:ser>
        <c:ser>
          <c:idx val="13"/>
          <c:order val="13"/>
          <c:tx>
            <c:strRef>
              <c:f>Tahsish!$A$88</c:f>
              <c:strCache>
                <c:ptCount val="1"/>
                <c:pt idx="0">
                  <c:v>2008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Tahsish!$B$88:$W$88</c:f>
              <c:numCache>
                <c:formatCode>General</c:formatCode>
                <c:ptCount val="22"/>
                <c:pt idx="5">
                  <c:v>12</c:v>
                </c:pt>
                <c:pt idx="8">
                  <c:v>133</c:v>
                </c:pt>
                <c:pt idx="12">
                  <c:v>2137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F0-48D0-98F2-C6B6A0C6DAF4}"/>
            </c:ext>
          </c:extLst>
        </c:ser>
        <c:ser>
          <c:idx val="14"/>
          <c:order val="14"/>
          <c:tx>
            <c:strRef>
              <c:f>Tahsish!$A$89</c:f>
              <c:strCache>
                <c:ptCount val="1"/>
                <c:pt idx="0">
                  <c:v>2009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Tahsish!$B$89:$W$89</c:f>
              <c:numCache>
                <c:formatCode>General</c:formatCode>
                <c:ptCount val="22"/>
                <c:pt idx="7">
                  <c:v>77</c:v>
                </c:pt>
                <c:pt idx="8">
                  <c:v>173</c:v>
                </c:pt>
                <c:pt idx="10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F0-48D0-98F2-C6B6A0C6DAF4}"/>
            </c:ext>
          </c:extLst>
        </c:ser>
        <c:ser>
          <c:idx val="15"/>
          <c:order val="15"/>
          <c:tx>
            <c:strRef>
              <c:f>Tahsish!$A$90</c:f>
              <c:strCache>
                <c:ptCount val="1"/>
                <c:pt idx="0">
                  <c:v>2010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Tahsish!$B$90:$W$90</c:f>
              <c:numCache>
                <c:formatCode>General</c:formatCode>
                <c:ptCount val="22"/>
                <c:pt idx="5">
                  <c:v>6</c:v>
                </c:pt>
                <c:pt idx="8">
                  <c:v>210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F0-48D0-98F2-C6B6A0C6DAF4}"/>
            </c:ext>
          </c:extLst>
        </c:ser>
        <c:ser>
          <c:idx val="16"/>
          <c:order val="16"/>
          <c:tx>
            <c:strRef>
              <c:f>Tahsish!$A$91</c:f>
              <c:strCache>
                <c:ptCount val="1"/>
                <c:pt idx="0">
                  <c:v>2011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Tahsish!$B$91:$W$91</c:f>
              <c:numCache>
                <c:formatCode>General</c:formatCode>
                <c:ptCount val="22"/>
                <c:pt idx="6">
                  <c:v>62</c:v>
                </c:pt>
                <c:pt idx="9">
                  <c:v>2026</c:v>
                </c:pt>
                <c:pt idx="11">
                  <c:v>5943</c:v>
                </c:pt>
                <c:pt idx="13">
                  <c:v>1311</c:v>
                </c:pt>
                <c:pt idx="14">
                  <c:v>127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F0-48D0-98F2-C6B6A0C6DAF4}"/>
            </c:ext>
          </c:extLst>
        </c:ser>
        <c:ser>
          <c:idx val="17"/>
          <c:order val="17"/>
          <c:tx>
            <c:strRef>
              <c:f>Tahsish!$A$92</c:f>
              <c:strCache>
                <c:ptCount val="1"/>
                <c:pt idx="0">
                  <c:v>2012</c:v>
                </c:pt>
              </c:strCache>
            </c:strRef>
          </c:tx>
          <c:cat>
            <c:numRef>
              <c:f>Tahsish!$B$74:$W$74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Tahsish!$B$92:$W$92</c:f>
              <c:numCache>
                <c:formatCode>General</c:formatCode>
                <c:ptCount val="22"/>
                <c:pt idx="6">
                  <c:v>3</c:v>
                </c:pt>
                <c:pt idx="8">
                  <c:v>20</c:v>
                </c:pt>
                <c:pt idx="10">
                  <c:v>729</c:v>
                </c:pt>
                <c:pt idx="12">
                  <c:v>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F0-48D0-98F2-C6B6A0C6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2400"/>
        <c:axId val="53303936"/>
      </c:lineChart>
      <c:catAx>
        <c:axId val="533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303936"/>
        <c:crosses val="autoZero"/>
        <c:auto val="1"/>
        <c:lblAlgn val="ctr"/>
        <c:lblOffset val="100"/>
        <c:noMultiLvlLbl val="0"/>
      </c:catAx>
      <c:valAx>
        <c:axId val="53303936"/>
        <c:scaling>
          <c:orientation val="minMax"/>
          <c:max val="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3024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4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Marble!$A$5</c:f>
              <c:strCache>
                <c:ptCount val="1"/>
                <c:pt idx="0">
                  <c:v>1995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Marble!$B$5:$W$5</c:f>
              <c:numCache>
                <c:formatCode>General</c:formatCode>
                <c:ptCount val="22"/>
                <c:pt idx="7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42FA-8429-929F92E164F3}"/>
            </c:ext>
          </c:extLst>
        </c:ser>
        <c:ser>
          <c:idx val="1"/>
          <c:order val="1"/>
          <c:tx>
            <c:strRef>
              <c:f>Marble!$A$6</c:f>
              <c:strCache>
                <c:ptCount val="1"/>
                <c:pt idx="0">
                  <c:v>1996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Marble!$B$6:$W$6</c:f>
              <c:numCache>
                <c:formatCode>General</c:formatCode>
                <c:ptCount val="22"/>
                <c:pt idx="2">
                  <c:v>5</c:v>
                </c:pt>
                <c:pt idx="3">
                  <c:v>572</c:v>
                </c:pt>
                <c:pt idx="5">
                  <c:v>2631</c:v>
                </c:pt>
                <c:pt idx="8">
                  <c:v>3245</c:v>
                </c:pt>
                <c:pt idx="13">
                  <c:v>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B-42FA-8429-929F92E164F3}"/>
            </c:ext>
          </c:extLst>
        </c:ser>
        <c:ser>
          <c:idx val="2"/>
          <c:order val="2"/>
          <c:tx>
            <c:strRef>
              <c:f>Marble!$A$7</c:f>
              <c:strCache>
                <c:ptCount val="1"/>
                <c:pt idx="0">
                  <c:v>1997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Marble!$B$7:$W$7</c:f>
              <c:numCache>
                <c:formatCode>General</c:formatCode>
                <c:ptCount val="22"/>
                <c:pt idx="0">
                  <c:v>0</c:v>
                </c:pt>
                <c:pt idx="4">
                  <c:v>580</c:v>
                </c:pt>
                <c:pt idx="6">
                  <c:v>1201</c:v>
                </c:pt>
                <c:pt idx="7">
                  <c:v>779</c:v>
                </c:pt>
                <c:pt idx="11">
                  <c:v>177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B-42FA-8429-929F92E164F3}"/>
            </c:ext>
          </c:extLst>
        </c:ser>
        <c:ser>
          <c:idx val="3"/>
          <c:order val="3"/>
          <c:tx>
            <c:strRef>
              <c:f>Marble!$A$8</c:f>
              <c:strCache>
                <c:ptCount val="1"/>
                <c:pt idx="0">
                  <c:v>1998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Marble!$B$8:$W$8</c:f>
              <c:numCache>
                <c:formatCode>General</c:formatCode>
                <c:ptCount val="22"/>
                <c:pt idx="2">
                  <c:v>0</c:v>
                </c:pt>
                <c:pt idx="4">
                  <c:v>76</c:v>
                </c:pt>
                <c:pt idx="7">
                  <c:v>930</c:v>
                </c:pt>
                <c:pt idx="9">
                  <c:v>1252</c:v>
                </c:pt>
                <c:pt idx="11">
                  <c:v>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B-42FA-8429-929F92E164F3}"/>
            </c:ext>
          </c:extLst>
        </c:ser>
        <c:ser>
          <c:idx val="4"/>
          <c:order val="4"/>
          <c:tx>
            <c:strRef>
              <c:f>Marble!$A$9</c:f>
              <c:strCache>
                <c:ptCount val="1"/>
                <c:pt idx="0">
                  <c:v>1999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Marble!$B$9:$W$9</c:f>
              <c:numCache>
                <c:formatCode>General</c:formatCode>
                <c:ptCount val="22"/>
                <c:pt idx="6">
                  <c:v>1234</c:v>
                </c:pt>
                <c:pt idx="7">
                  <c:v>1961</c:v>
                </c:pt>
                <c:pt idx="9">
                  <c:v>1937</c:v>
                </c:pt>
                <c:pt idx="1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B-42FA-8429-929F92E164F3}"/>
            </c:ext>
          </c:extLst>
        </c:ser>
        <c:ser>
          <c:idx val="5"/>
          <c:order val="5"/>
          <c:tx>
            <c:strRef>
              <c:f>Marble!$A$10</c:f>
              <c:strCache>
                <c:ptCount val="1"/>
                <c:pt idx="0">
                  <c:v>2000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Marble!$B$10:$W$10</c:f>
              <c:numCache>
                <c:formatCode>General</c:formatCode>
                <c:ptCount val="22"/>
                <c:pt idx="7">
                  <c:v>1281</c:v>
                </c:pt>
                <c:pt idx="9">
                  <c:v>993</c:v>
                </c:pt>
                <c:pt idx="15">
                  <c:v>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B-42FA-8429-929F92E164F3}"/>
            </c:ext>
          </c:extLst>
        </c:ser>
        <c:ser>
          <c:idx val="6"/>
          <c:order val="6"/>
          <c:tx>
            <c:strRef>
              <c:f>Marble!$A$11</c:f>
              <c:strCache>
                <c:ptCount val="1"/>
                <c:pt idx="0">
                  <c:v>2001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Marble!$B$11:$W$11</c:f>
              <c:numCache>
                <c:formatCode>General</c:formatCode>
                <c:ptCount val="22"/>
                <c:pt idx="7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CB-42FA-8429-929F92E164F3}"/>
            </c:ext>
          </c:extLst>
        </c:ser>
        <c:ser>
          <c:idx val="7"/>
          <c:order val="7"/>
          <c:tx>
            <c:strRef>
              <c:f>Marble!$A$12</c:f>
              <c:strCache>
                <c:ptCount val="1"/>
                <c:pt idx="0">
                  <c:v>2002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Marble!$B$12:$W$12</c:f>
              <c:numCache>
                <c:formatCode>General</c:formatCode>
                <c:ptCount val="22"/>
                <c:pt idx="5">
                  <c:v>391</c:v>
                </c:pt>
                <c:pt idx="7">
                  <c:v>526</c:v>
                </c:pt>
                <c:pt idx="9">
                  <c:v>799</c:v>
                </c:pt>
                <c:pt idx="10">
                  <c:v>799</c:v>
                </c:pt>
                <c:pt idx="1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CB-42FA-8429-929F92E164F3}"/>
            </c:ext>
          </c:extLst>
        </c:ser>
        <c:ser>
          <c:idx val="8"/>
          <c:order val="8"/>
          <c:tx>
            <c:strRef>
              <c:f>Marble!$A$13</c:f>
              <c:strCache>
                <c:ptCount val="1"/>
                <c:pt idx="0">
                  <c:v>2003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Marble!$B$13:$W$13</c:f>
              <c:numCache>
                <c:formatCode>General</c:formatCode>
                <c:ptCount val="22"/>
                <c:pt idx="6">
                  <c:v>373</c:v>
                </c:pt>
                <c:pt idx="7">
                  <c:v>805</c:v>
                </c:pt>
                <c:pt idx="13">
                  <c:v>1062</c:v>
                </c:pt>
                <c:pt idx="14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CB-42FA-8429-929F92E164F3}"/>
            </c:ext>
          </c:extLst>
        </c:ser>
        <c:ser>
          <c:idx val="9"/>
          <c:order val="9"/>
          <c:tx>
            <c:strRef>
              <c:f>Marble!$A$14</c:f>
              <c:strCache>
                <c:ptCount val="1"/>
                <c:pt idx="0">
                  <c:v>2004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Marble!$B$14:$W$14</c:f>
              <c:numCache>
                <c:formatCode>General</c:formatCode>
                <c:ptCount val="22"/>
                <c:pt idx="4">
                  <c:v>180</c:v>
                </c:pt>
                <c:pt idx="7">
                  <c:v>12</c:v>
                </c:pt>
                <c:pt idx="9">
                  <c:v>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CB-42FA-8429-929F92E164F3}"/>
            </c:ext>
          </c:extLst>
        </c:ser>
        <c:ser>
          <c:idx val="10"/>
          <c:order val="10"/>
          <c:tx>
            <c:strRef>
              <c:f>Marble!$A$15</c:f>
              <c:strCache>
                <c:ptCount val="1"/>
                <c:pt idx="0">
                  <c:v>2005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Marble!$B$15:$W$15</c:f>
              <c:numCache>
                <c:formatCode>General</c:formatCode>
                <c:ptCount val="22"/>
                <c:pt idx="3">
                  <c:v>13</c:v>
                </c:pt>
                <c:pt idx="7">
                  <c:v>1851</c:v>
                </c:pt>
                <c:pt idx="8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CB-42FA-8429-929F92E164F3}"/>
            </c:ext>
          </c:extLst>
        </c:ser>
        <c:ser>
          <c:idx val="11"/>
          <c:order val="11"/>
          <c:tx>
            <c:strRef>
              <c:f>Marble!$A$16</c:f>
              <c:strCache>
                <c:ptCount val="1"/>
                <c:pt idx="0">
                  <c:v>2006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Marble!$B$16:$W$16</c:f>
              <c:numCache>
                <c:formatCode>General</c:formatCode>
                <c:ptCount val="22"/>
                <c:pt idx="6">
                  <c:v>850</c:v>
                </c:pt>
                <c:pt idx="9">
                  <c:v>2818</c:v>
                </c:pt>
                <c:pt idx="11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CB-42FA-8429-929F92E164F3}"/>
            </c:ext>
          </c:extLst>
        </c:ser>
        <c:ser>
          <c:idx val="12"/>
          <c:order val="12"/>
          <c:tx>
            <c:strRef>
              <c:f>Marble!$A$17</c:f>
              <c:strCache>
                <c:ptCount val="1"/>
                <c:pt idx="0">
                  <c:v>2007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Marble!$B$17:$W$17</c:f>
              <c:numCache>
                <c:formatCode>General</c:formatCode>
                <c:ptCount val="22"/>
                <c:pt idx="4">
                  <c:v>1295</c:v>
                </c:pt>
                <c:pt idx="5">
                  <c:v>427</c:v>
                </c:pt>
                <c:pt idx="6">
                  <c:v>533</c:v>
                </c:pt>
                <c:pt idx="7">
                  <c:v>1100</c:v>
                </c:pt>
                <c:pt idx="8">
                  <c:v>331</c:v>
                </c:pt>
                <c:pt idx="13">
                  <c:v>224</c:v>
                </c:pt>
                <c:pt idx="1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CB-42FA-8429-929F92E164F3}"/>
            </c:ext>
          </c:extLst>
        </c:ser>
        <c:ser>
          <c:idx val="13"/>
          <c:order val="13"/>
          <c:tx>
            <c:strRef>
              <c:f>Marble!$A$18</c:f>
              <c:strCache>
                <c:ptCount val="1"/>
                <c:pt idx="0">
                  <c:v>2008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Marble!$B$18:$W$18</c:f>
              <c:numCache>
                <c:formatCode>General</c:formatCode>
                <c:ptCount val="22"/>
                <c:pt idx="4">
                  <c:v>702</c:v>
                </c:pt>
                <c:pt idx="6">
                  <c:v>2151</c:v>
                </c:pt>
                <c:pt idx="8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CB-42FA-8429-929F92E164F3}"/>
            </c:ext>
          </c:extLst>
        </c:ser>
        <c:ser>
          <c:idx val="14"/>
          <c:order val="14"/>
          <c:tx>
            <c:strRef>
              <c:f>Marble!$A$19</c:f>
              <c:strCache>
                <c:ptCount val="1"/>
                <c:pt idx="0">
                  <c:v>2009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Marble!$B$19:$W$19</c:f>
              <c:numCache>
                <c:formatCode>General</c:formatCode>
                <c:ptCount val="22"/>
                <c:pt idx="4">
                  <c:v>150</c:v>
                </c:pt>
                <c:pt idx="9">
                  <c:v>1762</c:v>
                </c:pt>
                <c:pt idx="10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CB-42FA-8429-929F92E164F3}"/>
            </c:ext>
          </c:extLst>
        </c:ser>
        <c:ser>
          <c:idx val="15"/>
          <c:order val="15"/>
          <c:tx>
            <c:strRef>
              <c:f>Marble!$A$20</c:f>
              <c:strCache>
                <c:ptCount val="1"/>
                <c:pt idx="0">
                  <c:v>2010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Marble!$B$20:$W$20</c:f>
              <c:numCache>
                <c:formatCode>General</c:formatCode>
                <c:ptCount val="22"/>
                <c:pt idx="3">
                  <c:v>2</c:v>
                </c:pt>
                <c:pt idx="5">
                  <c:v>36</c:v>
                </c:pt>
                <c:pt idx="7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CB-42FA-8429-929F92E164F3}"/>
            </c:ext>
          </c:extLst>
        </c:ser>
        <c:ser>
          <c:idx val="16"/>
          <c:order val="16"/>
          <c:tx>
            <c:strRef>
              <c:f>Marble!$A$21</c:f>
              <c:strCache>
                <c:ptCount val="1"/>
                <c:pt idx="0">
                  <c:v>2011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Marble!$B$21:$W$21</c:f>
              <c:numCache>
                <c:formatCode>General</c:formatCode>
                <c:ptCount val="22"/>
                <c:pt idx="4">
                  <c:v>407</c:v>
                </c:pt>
                <c:pt idx="6">
                  <c:v>1112</c:v>
                </c:pt>
                <c:pt idx="7">
                  <c:v>973</c:v>
                </c:pt>
                <c:pt idx="11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CB-42FA-8429-929F92E164F3}"/>
            </c:ext>
          </c:extLst>
        </c:ser>
        <c:ser>
          <c:idx val="17"/>
          <c:order val="17"/>
          <c:tx>
            <c:strRef>
              <c:f>Marble!$A$22</c:f>
              <c:strCache>
                <c:ptCount val="1"/>
                <c:pt idx="0">
                  <c:v>2012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Marble!$B$22:$W$22</c:f>
              <c:numCache>
                <c:formatCode>General</c:formatCode>
                <c:ptCount val="22"/>
                <c:pt idx="3">
                  <c:v>20</c:v>
                </c:pt>
                <c:pt idx="4">
                  <c:v>394</c:v>
                </c:pt>
                <c:pt idx="5">
                  <c:v>722</c:v>
                </c:pt>
                <c:pt idx="6">
                  <c:v>596</c:v>
                </c:pt>
                <c:pt idx="7">
                  <c:v>885</c:v>
                </c:pt>
                <c:pt idx="8">
                  <c:v>1092</c:v>
                </c:pt>
                <c:pt idx="9">
                  <c:v>902</c:v>
                </c:pt>
                <c:pt idx="10">
                  <c:v>633</c:v>
                </c:pt>
                <c:pt idx="12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CB-42FA-8429-929F92E164F3}"/>
            </c:ext>
          </c:extLst>
        </c:ser>
        <c:ser>
          <c:idx val="18"/>
          <c:order val="18"/>
          <c:tx>
            <c:strRef>
              <c:f>Marble!$A$23</c:f>
              <c:strCache>
                <c:ptCount val="1"/>
                <c:pt idx="0">
                  <c:v>2013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Marble!$B$23:$W$23</c:f>
              <c:numCache>
                <c:formatCode>General</c:formatCode>
                <c:ptCount val="22"/>
                <c:pt idx="3">
                  <c:v>8</c:v>
                </c:pt>
                <c:pt idx="4">
                  <c:v>25</c:v>
                </c:pt>
                <c:pt idx="5">
                  <c:v>28</c:v>
                </c:pt>
                <c:pt idx="6">
                  <c:v>95</c:v>
                </c:pt>
                <c:pt idx="7">
                  <c:v>479</c:v>
                </c:pt>
                <c:pt idx="10">
                  <c:v>827</c:v>
                </c:pt>
                <c:pt idx="11">
                  <c:v>1360</c:v>
                </c:pt>
                <c:pt idx="12">
                  <c:v>976</c:v>
                </c:pt>
                <c:pt idx="13">
                  <c:v>1140</c:v>
                </c:pt>
                <c:pt idx="14">
                  <c:v>470</c:v>
                </c:pt>
                <c:pt idx="16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CB-42FA-8429-929F92E164F3}"/>
            </c:ext>
          </c:extLst>
        </c:ser>
        <c:ser>
          <c:idx val="19"/>
          <c:order val="19"/>
          <c:tx>
            <c:strRef>
              <c:f>Marble!$A$24</c:f>
              <c:strCache>
                <c:ptCount val="1"/>
                <c:pt idx="0">
                  <c:v>2014</c:v>
                </c:pt>
              </c:strCache>
            </c:strRef>
          </c:tx>
          <c:cat>
            <c:numRef>
              <c:f>Marble!$B$4:$W$4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Marble!$B$24:$W$24</c:f>
              <c:numCache>
                <c:formatCode>General</c:formatCode>
                <c:ptCount val="22"/>
                <c:pt idx="4" formatCode="#,##0">
                  <c:v>21</c:v>
                </c:pt>
                <c:pt idx="5" formatCode="#,##0">
                  <c:v>244</c:v>
                </c:pt>
                <c:pt idx="6">
                  <c:v>209</c:v>
                </c:pt>
                <c:pt idx="7">
                  <c:v>818</c:v>
                </c:pt>
                <c:pt idx="8">
                  <c:v>690</c:v>
                </c:pt>
                <c:pt idx="9" formatCode="#,##0">
                  <c:v>948</c:v>
                </c:pt>
                <c:pt idx="15" formatCode="#,##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CB-42FA-8429-929F92E1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9712"/>
        <c:axId val="53701248"/>
      </c:lineChart>
      <c:catAx>
        <c:axId val="536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701248"/>
        <c:crosses val="autoZero"/>
        <c:auto val="1"/>
        <c:lblAlgn val="ctr"/>
        <c:lblOffset val="100"/>
        <c:noMultiLvlLbl val="0"/>
      </c:catAx>
      <c:valAx>
        <c:axId val="537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69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728120191872569"/>
          <c:y val="5.6140936928338506E-2"/>
          <c:w val="9.2890608501523531E-2"/>
          <c:h val="0.82467615790450433"/>
        </c:manualLayout>
      </c:layout>
      <c:overlay val="0"/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Cayeghle!$AD$166</c:f>
              <c:strCache>
                <c:ptCount val="1"/>
                <c:pt idx="0">
                  <c:v>Colonial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Cayeghle!$AE$167:$AE$175</c:f>
              <c:numCache>
                <c:formatCode>dd\-mmm\-yy</c:formatCode>
                <c:ptCount val="9"/>
                <c:pt idx="0">
                  <c:v>44805</c:v>
                </c:pt>
                <c:pt idx="1">
                  <c:v>44813</c:v>
                </c:pt>
                <c:pt idx="2">
                  <c:v>44828</c:v>
                </c:pt>
                <c:pt idx="3">
                  <c:v>44840</c:v>
                </c:pt>
                <c:pt idx="4">
                  <c:v>44850</c:v>
                </c:pt>
                <c:pt idx="5">
                  <c:v>44868</c:v>
                </c:pt>
                <c:pt idx="6">
                  <c:v>44875</c:v>
                </c:pt>
                <c:pt idx="7">
                  <c:v>44882</c:v>
                </c:pt>
                <c:pt idx="8">
                  <c:v>44910</c:v>
                </c:pt>
              </c:numCache>
            </c:numRef>
          </c:xVal>
          <c:yVal>
            <c:numRef>
              <c:f>Cayeghle!$AF$167:$AF$175</c:f>
              <c:numCache>
                <c:formatCode>General</c:formatCode>
                <c:ptCount val="9"/>
                <c:pt idx="1">
                  <c:v>80</c:v>
                </c:pt>
                <c:pt idx="2">
                  <c:v>87</c:v>
                </c:pt>
                <c:pt idx="3">
                  <c:v>93</c:v>
                </c:pt>
                <c:pt idx="4">
                  <c:v>99</c:v>
                </c:pt>
                <c:pt idx="5">
                  <c:v>275</c:v>
                </c:pt>
                <c:pt idx="6">
                  <c:v>341</c:v>
                </c:pt>
                <c:pt idx="7">
                  <c:v>286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E-478C-8C52-DBFEAD9A9B07}"/>
            </c:ext>
          </c:extLst>
        </c:ser>
        <c:ser>
          <c:idx val="1"/>
          <c:order val="1"/>
          <c:tx>
            <c:strRef>
              <c:f>Cayeghle!$AD$186</c:f>
              <c:strCache>
                <c:ptCount val="1"/>
                <c:pt idx="0">
                  <c:v>Cayeghle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Cayeghle!$AE$187:$AE$195</c:f>
              <c:numCache>
                <c:formatCode>dd\-mmm\-yy</c:formatCode>
                <c:ptCount val="9"/>
                <c:pt idx="0">
                  <c:v>44805</c:v>
                </c:pt>
                <c:pt idx="1">
                  <c:v>44813</c:v>
                </c:pt>
                <c:pt idx="2">
                  <c:v>44828</c:v>
                </c:pt>
                <c:pt idx="3">
                  <c:v>44840</c:v>
                </c:pt>
                <c:pt idx="4">
                  <c:v>44850</c:v>
                </c:pt>
                <c:pt idx="5">
                  <c:v>44868</c:v>
                </c:pt>
                <c:pt idx="6">
                  <c:v>44875</c:v>
                </c:pt>
                <c:pt idx="7">
                  <c:v>44882</c:v>
                </c:pt>
                <c:pt idx="8">
                  <c:v>44910</c:v>
                </c:pt>
              </c:numCache>
            </c:numRef>
          </c:xVal>
          <c:yVal>
            <c:numRef>
              <c:f>Cayeghle!$AF$187:$AF$195</c:f>
              <c:numCache>
                <c:formatCode>General</c:formatCode>
                <c:ptCount val="9"/>
                <c:pt idx="1">
                  <c:v>64</c:v>
                </c:pt>
                <c:pt idx="2">
                  <c:v>182</c:v>
                </c:pt>
                <c:pt idx="3">
                  <c:v>231</c:v>
                </c:pt>
                <c:pt idx="4">
                  <c:v>238</c:v>
                </c:pt>
                <c:pt idx="5">
                  <c:v>438</c:v>
                </c:pt>
                <c:pt idx="6">
                  <c:v>329</c:v>
                </c:pt>
                <c:pt idx="7">
                  <c:v>237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E-478C-8C52-DBFEAD9A9B07}"/>
            </c:ext>
          </c:extLst>
        </c:ser>
        <c:ser>
          <c:idx val="2"/>
          <c:order val="2"/>
          <c:tx>
            <c:strRef>
              <c:f>Cayeghle!$AD$145</c:f>
              <c:strCache>
                <c:ptCount val="1"/>
                <c:pt idx="0">
                  <c:v>Col/Cay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Cayeghle!$AE$146:$AE$154</c:f>
              <c:numCache>
                <c:formatCode>dd\-mmm\-yy</c:formatCode>
                <c:ptCount val="9"/>
                <c:pt idx="0">
                  <c:v>44805</c:v>
                </c:pt>
                <c:pt idx="1">
                  <c:v>44813</c:v>
                </c:pt>
                <c:pt idx="2">
                  <c:v>44828</c:v>
                </c:pt>
                <c:pt idx="3">
                  <c:v>44840</c:v>
                </c:pt>
                <c:pt idx="4">
                  <c:v>44850</c:v>
                </c:pt>
                <c:pt idx="5">
                  <c:v>44868</c:v>
                </c:pt>
                <c:pt idx="6">
                  <c:v>44875</c:v>
                </c:pt>
                <c:pt idx="7">
                  <c:v>44882</c:v>
                </c:pt>
                <c:pt idx="8">
                  <c:v>44910</c:v>
                </c:pt>
              </c:numCache>
            </c:numRef>
          </c:xVal>
          <c:yVal>
            <c:numRef>
              <c:f>Cayeghle!$AF$146:$AF$154</c:f>
              <c:numCache>
                <c:formatCode>General</c:formatCode>
                <c:ptCount val="9"/>
                <c:pt idx="1">
                  <c:v>144</c:v>
                </c:pt>
                <c:pt idx="2">
                  <c:v>269</c:v>
                </c:pt>
                <c:pt idx="3">
                  <c:v>324</c:v>
                </c:pt>
                <c:pt idx="4">
                  <c:v>337</c:v>
                </c:pt>
                <c:pt idx="5">
                  <c:v>713</c:v>
                </c:pt>
                <c:pt idx="6">
                  <c:v>670</c:v>
                </c:pt>
                <c:pt idx="7">
                  <c:v>523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BE-478C-8C52-DBFEAD9A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1584"/>
        <c:axId val="52394496"/>
      </c:scatterChart>
      <c:valAx>
        <c:axId val="523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4496"/>
        <c:crosses val="autoZero"/>
        <c:crossBetween val="midCat"/>
      </c:valAx>
      <c:valAx>
        <c:axId val="52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 - std OE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Cayeghle!$AD$166</c:f>
              <c:strCache>
                <c:ptCount val="1"/>
                <c:pt idx="0">
                  <c:v>Colonial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Cayeghle!$AE$167:$AE$175</c:f>
              <c:numCache>
                <c:formatCode>dd\-mmm\-yy</c:formatCode>
                <c:ptCount val="9"/>
                <c:pt idx="0">
                  <c:v>44805</c:v>
                </c:pt>
                <c:pt idx="1">
                  <c:v>44813</c:v>
                </c:pt>
                <c:pt idx="2">
                  <c:v>44828</c:v>
                </c:pt>
                <c:pt idx="3">
                  <c:v>44840</c:v>
                </c:pt>
                <c:pt idx="4">
                  <c:v>44850</c:v>
                </c:pt>
                <c:pt idx="5">
                  <c:v>44868</c:v>
                </c:pt>
                <c:pt idx="6">
                  <c:v>44875</c:v>
                </c:pt>
                <c:pt idx="7">
                  <c:v>44882</c:v>
                </c:pt>
                <c:pt idx="8">
                  <c:v>44910</c:v>
                </c:pt>
              </c:numCache>
            </c:numRef>
          </c:xVal>
          <c:yVal>
            <c:numRef>
              <c:f>Cayeghle!$AI$167:$AI$175</c:f>
              <c:numCache>
                <c:formatCode>0</c:formatCode>
                <c:ptCount val="9"/>
                <c:pt idx="0" formatCode="General">
                  <c:v>0</c:v>
                </c:pt>
                <c:pt idx="1">
                  <c:v>88.888888888888886</c:v>
                </c:pt>
                <c:pt idx="2">
                  <c:v>96.666666666666657</c:v>
                </c:pt>
                <c:pt idx="3">
                  <c:v>103.33333333333333</c:v>
                </c:pt>
                <c:pt idx="4">
                  <c:v>110</c:v>
                </c:pt>
                <c:pt idx="5">
                  <c:v>343.75</c:v>
                </c:pt>
                <c:pt idx="6">
                  <c:v>378.88888888888886</c:v>
                </c:pt>
                <c:pt idx="7">
                  <c:v>317.77777777777777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0-44C4-B2E2-AF98D92A3FA5}"/>
            </c:ext>
          </c:extLst>
        </c:ser>
        <c:ser>
          <c:idx val="1"/>
          <c:order val="1"/>
          <c:tx>
            <c:strRef>
              <c:f>Cayeghle!$AD$186</c:f>
              <c:strCache>
                <c:ptCount val="1"/>
                <c:pt idx="0">
                  <c:v>Cayeghle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Cayeghle!$AE$187:$AE$195</c:f>
              <c:numCache>
                <c:formatCode>dd\-mmm\-yy</c:formatCode>
                <c:ptCount val="9"/>
                <c:pt idx="0">
                  <c:v>44805</c:v>
                </c:pt>
                <c:pt idx="1">
                  <c:v>44813</c:v>
                </c:pt>
                <c:pt idx="2">
                  <c:v>44828</c:v>
                </c:pt>
                <c:pt idx="3">
                  <c:v>44840</c:v>
                </c:pt>
                <c:pt idx="4">
                  <c:v>44850</c:v>
                </c:pt>
                <c:pt idx="5">
                  <c:v>44868</c:v>
                </c:pt>
                <c:pt idx="6">
                  <c:v>44875</c:v>
                </c:pt>
                <c:pt idx="7">
                  <c:v>44882</c:v>
                </c:pt>
                <c:pt idx="8">
                  <c:v>44910</c:v>
                </c:pt>
              </c:numCache>
            </c:numRef>
          </c:xVal>
          <c:yVal>
            <c:numRef>
              <c:f>Cayeghle!$AI$187:$AI$195</c:f>
              <c:numCache>
                <c:formatCode>0</c:formatCode>
                <c:ptCount val="9"/>
                <c:pt idx="0" formatCode="General">
                  <c:v>0</c:v>
                </c:pt>
                <c:pt idx="1">
                  <c:v>71.111111111111114</c:v>
                </c:pt>
                <c:pt idx="2">
                  <c:v>202.22222222222223</c:v>
                </c:pt>
                <c:pt idx="3">
                  <c:v>256.66666666666669</c:v>
                </c:pt>
                <c:pt idx="4">
                  <c:v>264.44444444444446</c:v>
                </c:pt>
                <c:pt idx="5">
                  <c:v>547.5</c:v>
                </c:pt>
                <c:pt idx="6">
                  <c:v>365.55555555555554</c:v>
                </c:pt>
                <c:pt idx="7">
                  <c:v>263.33333333333331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0-44C4-B2E2-AF98D92A3FA5}"/>
            </c:ext>
          </c:extLst>
        </c:ser>
        <c:ser>
          <c:idx val="2"/>
          <c:order val="2"/>
          <c:tx>
            <c:strRef>
              <c:f>Cayeghle!$AD$145</c:f>
              <c:strCache>
                <c:ptCount val="1"/>
                <c:pt idx="0">
                  <c:v>Col/Cay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Cayeghle!$AE$146:$AE$154</c:f>
              <c:numCache>
                <c:formatCode>dd\-mmm\-yy</c:formatCode>
                <c:ptCount val="9"/>
                <c:pt idx="0">
                  <c:v>44805</c:v>
                </c:pt>
                <c:pt idx="1">
                  <c:v>44813</c:v>
                </c:pt>
                <c:pt idx="2">
                  <c:v>44828</c:v>
                </c:pt>
                <c:pt idx="3">
                  <c:v>44840</c:v>
                </c:pt>
                <c:pt idx="4">
                  <c:v>44850</c:v>
                </c:pt>
                <c:pt idx="5">
                  <c:v>44868</c:v>
                </c:pt>
                <c:pt idx="6">
                  <c:v>44875</c:v>
                </c:pt>
                <c:pt idx="7">
                  <c:v>44882</c:v>
                </c:pt>
                <c:pt idx="8">
                  <c:v>44910</c:v>
                </c:pt>
              </c:numCache>
            </c:numRef>
          </c:xVal>
          <c:yVal>
            <c:numRef>
              <c:f>Cayeghle!$AI$146:$AI$154</c:f>
              <c:numCache>
                <c:formatCode>0</c:formatCode>
                <c:ptCount val="9"/>
                <c:pt idx="0" formatCode="General">
                  <c:v>0</c:v>
                </c:pt>
                <c:pt idx="1">
                  <c:v>160</c:v>
                </c:pt>
                <c:pt idx="2">
                  <c:v>298.88888888888886</c:v>
                </c:pt>
                <c:pt idx="3">
                  <c:v>360</c:v>
                </c:pt>
                <c:pt idx="4">
                  <c:v>374.44444444444446</c:v>
                </c:pt>
                <c:pt idx="5">
                  <c:v>891.25</c:v>
                </c:pt>
                <c:pt idx="6">
                  <c:v>744.44444444444446</c:v>
                </c:pt>
                <c:pt idx="7">
                  <c:v>581.11111111111109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30-44C4-B2E2-AF98D92A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1584"/>
        <c:axId val="52394496"/>
      </c:scatterChart>
      <c:valAx>
        <c:axId val="523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4496"/>
        <c:crosses val="autoZero"/>
        <c:crossBetween val="midCat"/>
      </c:valAx>
      <c:valAx>
        <c:axId val="52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 - rep OE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Cayeghle!$AD$166</c:f>
              <c:strCache>
                <c:ptCount val="1"/>
                <c:pt idx="0">
                  <c:v>Colonial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Cayeghle!$AE$167:$AE$175</c:f>
              <c:numCache>
                <c:formatCode>dd\-mmm\-yy</c:formatCode>
                <c:ptCount val="9"/>
                <c:pt idx="0">
                  <c:v>44805</c:v>
                </c:pt>
                <c:pt idx="1">
                  <c:v>44813</c:v>
                </c:pt>
                <c:pt idx="2">
                  <c:v>44828</c:v>
                </c:pt>
                <c:pt idx="3">
                  <c:v>44840</c:v>
                </c:pt>
                <c:pt idx="4">
                  <c:v>44850</c:v>
                </c:pt>
                <c:pt idx="5">
                  <c:v>44868</c:v>
                </c:pt>
                <c:pt idx="6">
                  <c:v>44875</c:v>
                </c:pt>
                <c:pt idx="7">
                  <c:v>44882</c:v>
                </c:pt>
                <c:pt idx="8">
                  <c:v>44910</c:v>
                </c:pt>
              </c:numCache>
            </c:numRef>
          </c:xVal>
          <c:yVal>
            <c:numRef>
              <c:f>Cayeghle!$AT$167:$AT$175</c:f>
              <c:numCache>
                <c:formatCode>0</c:formatCode>
                <c:ptCount val="9"/>
                <c:pt idx="0" formatCode="General">
                  <c:v>0</c:v>
                </c:pt>
                <c:pt idx="1">
                  <c:v>84.21052631578948</c:v>
                </c:pt>
                <c:pt idx="2">
                  <c:v>91.578947368421055</c:v>
                </c:pt>
                <c:pt idx="3">
                  <c:v>97.894736842105274</c:v>
                </c:pt>
                <c:pt idx="4">
                  <c:v>104.21052631578948</c:v>
                </c:pt>
                <c:pt idx="5">
                  <c:v>339.50617283950618</c:v>
                </c:pt>
                <c:pt idx="6">
                  <c:v>358.94736842105266</c:v>
                </c:pt>
                <c:pt idx="7">
                  <c:v>304.25531914893617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1-486A-A6CA-DD612219468A}"/>
            </c:ext>
          </c:extLst>
        </c:ser>
        <c:ser>
          <c:idx val="1"/>
          <c:order val="1"/>
          <c:tx>
            <c:strRef>
              <c:f>Cayeghle!$AD$186</c:f>
              <c:strCache>
                <c:ptCount val="1"/>
                <c:pt idx="0">
                  <c:v>Cayeghle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Cayeghle!$AE$187:$AE$195</c:f>
              <c:numCache>
                <c:formatCode>dd\-mmm\-yy</c:formatCode>
                <c:ptCount val="9"/>
                <c:pt idx="0">
                  <c:v>44805</c:v>
                </c:pt>
                <c:pt idx="1">
                  <c:v>44813</c:v>
                </c:pt>
                <c:pt idx="2">
                  <c:v>44828</c:v>
                </c:pt>
                <c:pt idx="3">
                  <c:v>44840</c:v>
                </c:pt>
                <c:pt idx="4">
                  <c:v>44850</c:v>
                </c:pt>
                <c:pt idx="5">
                  <c:v>44868</c:v>
                </c:pt>
                <c:pt idx="6">
                  <c:v>44875</c:v>
                </c:pt>
                <c:pt idx="7">
                  <c:v>44882</c:v>
                </c:pt>
                <c:pt idx="8">
                  <c:v>44910</c:v>
                </c:pt>
              </c:numCache>
            </c:numRef>
          </c:xVal>
          <c:yVal>
            <c:numRef>
              <c:f>Cayeghle!$AT$187:$AT$195</c:f>
              <c:numCache>
                <c:formatCode>0</c:formatCode>
                <c:ptCount val="9"/>
                <c:pt idx="0" formatCode="General">
                  <c:v>0</c:v>
                </c:pt>
                <c:pt idx="1">
                  <c:v>66.666666666666671</c:v>
                </c:pt>
                <c:pt idx="2">
                  <c:v>191.57894736842107</c:v>
                </c:pt>
                <c:pt idx="3">
                  <c:v>243.15789473684211</c:v>
                </c:pt>
                <c:pt idx="4">
                  <c:v>250.5263157894737</c:v>
                </c:pt>
                <c:pt idx="5">
                  <c:v>534.14634146341461</c:v>
                </c:pt>
                <c:pt idx="6">
                  <c:v>353.76344086021504</c:v>
                </c:pt>
                <c:pt idx="7">
                  <c:v>249.47368421052633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1-486A-A6CA-DD612219468A}"/>
            </c:ext>
          </c:extLst>
        </c:ser>
        <c:ser>
          <c:idx val="2"/>
          <c:order val="2"/>
          <c:tx>
            <c:strRef>
              <c:f>Cayeghle!$AD$145</c:f>
              <c:strCache>
                <c:ptCount val="1"/>
                <c:pt idx="0">
                  <c:v>Col/Cay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Cayeghle!$AE$146:$AE$154</c:f>
              <c:numCache>
                <c:formatCode>dd\-mmm\-yy</c:formatCode>
                <c:ptCount val="9"/>
                <c:pt idx="0">
                  <c:v>44805</c:v>
                </c:pt>
                <c:pt idx="1">
                  <c:v>44813</c:v>
                </c:pt>
                <c:pt idx="2">
                  <c:v>44828</c:v>
                </c:pt>
                <c:pt idx="3">
                  <c:v>44840</c:v>
                </c:pt>
                <c:pt idx="4">
                  <c:v>44850</c:v>
                </c:pt>
                <c:pt idx="5">
                  <c:v>44868</c:v>
                </c:pt>
                <c:pt idx="6">
                  <c:v>44875</c:v>
                </c:pt>
                <c:pt idx="7">
                  <c:v>44882</c:v>
                </c:pt>
                <c:pt idx="8">
                  <c:v>44910</c:v>
                </c:pt>
              </c:numCache>
            </c:numRef>
          </c:xVal>
          <c:yVal>
            <c:numRef>
              <c:f>Cayeghle!$AT$146:$AT$154</c:f>
              <c:numCache>
                <c:formatCode>0</c:formatCode>
                <c:ptCount val="9"/>
                <c:pt idx="0" formatCode="General">
                  <c:v>0</c:v>
                </c:pt>
                <c:pt idx="1">
                  <c:v>150.87719298245617</c:v>
                </c:pt>
                <c:pt idx="2">
                  <c:v>283.15789473684214</c:v>
                </c:pt>
                <c:pt idx="3">
                  <c:v>341.0526315789474</c:v>
                </c:pt>
                <c:pt idx="4">
                  <c:v>354.73684210526318</c:v>
                </c:pt>
                <c:pt idx="5">
                  <c:v>873.65251430292074</c:v>
                </c:pt>
                <c:pt idx="6">
                  <c:v>712.71080928126776</c:v>
                </c:pt>
                <c:pt idx="7">
                  <c:v>553.72900335946247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D1-486A-A6CA-DD612219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1584"/>
        <c:axId val="52394496"/>
      </c:scatterChart>
      <c:valAx>
        <c:axId val="523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4496"/>
        <c:crosses val="autoZero"/>
        <c:crossBetween val="midCat"/>
      </c:valAx>
      <c:valAx>
        <c:axId val="52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CA"/>
              <a:t>Nahmint chum counts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Nahmint!$A$76</c:f>
              <c:strCache>
                <c:ptCount val="1"/>
                <c:pt idx="0">
                  <c:v>1995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Nahmint!$B$76:$W$76</c:f>
              <c:numCache>
                <c:formatCode>General</c:formatCode>
                <c:ptCount val="22"/>
                <c:pt idx="5">
                  <c:v>5</c:v>
                </c:pt>
                <c:pt idx="6">
                  <c:v>1</c:v>
                </c:pt>
                <c:pt idx="7">
                  <c:v>90</c:v>
                </c:pt>
                <c:pt idx="8">
                  <c:v>80</c:v>
                </c:pt>
                <c:pt idx="10">
                  <c:v>1170</c:v>
                </c:pt>
                <c:pt idx="12">
                  <c:v>7600</c:v>
                </c:pt>
                <c:pt idx="13">
                  <c:v>8760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9-4C2D-8756-2842A6674E84}"/>
            </c:ext>
          </c:extLst>
        </c:ser>
        <c:ser>
          <c:idx val="1"/>
          <c:order val="1"/>
          <c:tx>
            <c:strRef>
              <c:f>Nahmint!$A$77</c:f>
              <c:strCache>
                <c:ptCount val="1"/>
                <c:pt idx="0">
                  <c:v>1996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Nahmint!$B$77:$W$77</c:f>
              <c:numCache>
                <c:formatCode>General</c:formatCode>
                <c:ptCount val="22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300</c:v>
                </c:pt>
                <c:pt idx="8">
                  <c:v>1200</c:v>
                </c:pt>
                <c:pt idx="9">
                  <c:v>2500</c:v>
                </c:pt>
                <c:pt idx="11">
                  <c:v>9320</c:v>
                </c:pt>
                <c:pt idx="12">
                  <c:v>12249</c:v>
                </c:pt>
                <c:pt idx="13">
                  <c:v>12172</c:v>
                </c:pt>
                <c:pt idx="14">
                  <c:v>2200</c:v>
                </c:pt>
                <c:pt idx="1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9-4C2D-8756-2842A6674E84}"/>
            </c:ext>
          </c:extLst>
        </c:ser>
        <c:ser>
          <c:idx val="2"/>
          <c:order val="2"/>
          <c:tx>
            <c:strRef>
              <c:f>Nahmint!$A$78</c:f>
              <c:strCache>
                <c:ptCount val="1"/>
                <c:pt idx="0">
                  <c:v>1997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Nahmint!$B$78:$W$78</c:f>
              <c:numCache>
                <c:formatCode>General</c:formatCode>
                <c:ptCount val="22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49</c:v>
                </c:pt>
                <c:pt idx="9">
                  <c:v>382</c:v>
                </c:pt>
                <c:pt idx="10">
                  <c:v>1500</c:v>
                </c:pt>
                <c:pt idx="11">
                  <c:v>10562</c:v>
                </c:pt>
                <c:pt idx="12">
                  <c:v>10000</c:v>
                </c:pt>
                <c:pt idx="13">
                  <c:v>15000</c:v>
                </c:pt>
                <c:pt idx="14">
                  <c:v>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9-4C2D-8756-2842A6674E84}"/>
            </c:ext>
          </c:extLst>
        </c:ser>
        <c:ser>
          <c:idx val="3"/>
          <c:order val="3"/>
          <c:tx>
            <c:strRef>
              <c:f>Nahmint!$A$79</c:f>
              <c:strCache>
                <c:ptCount val="1"/>
                <c:pt idx="0">
                  <c:v>1998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Nahmint!$B$79:$W$79</c:f>
              <c:numCache>
                <c:formatCode>General</c:formatCode>
                <c:ptCount val="2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50</c:v>
                </c:pt>
                <c:pt idx="9">
                  <c:v>5500</c:v>
                </c:pt>
                <c:pt idx="10">
                  <c:v>20000</c:v>
                </c:pt>
                <c:pt idx="11">
                  <c:v>60000</c:v>
                </c:pt>
                <c:pt idx="12">
                  <c:v>24300</c:v>
                </c:pt>
                <c:pt idx="13">
                  <c:v>30000</c:v>
                </c:pt>
                <c:pt idx="15">
                  <c:v>0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9-4C2D-8756-2842A6674E84}"/>
            </c:ext>
          </c:extLst>
        </c:ser>
        <c:ser>
          <c:idx val="4"/>
          <c:order val="4"/>
          <c:tx>
            <c:strRef>
              <c:f>Nahmint!$A$80</c:f>
              <c:strCache>
                <c:ptCount val="1"/>
                <c:pt idx="0">
                  <c:v>1999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Nahmint!$B$80:$W$80</c:f>
              <c:numCache>
                <c:formatCode>General</c:formatCode>
                <c:ptCount val="2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15000</c:v>
                </c:pt>
                <c:pt idx="11">
                  <c:v>30500</c:v>
                </c:pt>
                <c:pt idx="12">
                  <c:v>7500</c:v>
                </c:pt>
                <c:pt idx="13">
                  <c:v>4000</c:v>
                </c:pt>
                <c:pt idx="14">
                  <c:v>50</c:v>
                </c:pt>
                <c:pt idx="1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9-4C2D-8756-2842A6674E84}"/>
            </c:ext>
          </c:extLst>
        </c:ser>
        <c:ser>
          <c:idx val="5"/>
          <c:order val="5"/>
          <c:tx>
            <c:strRef>
              <c:f>Nahmint!$A$81</c:f>
              <c:strCache>
                <c:ptCount val="1"/>
                <c:pt idx="0">
                  <c:v>2000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Nahmint!$B$81:$W$81</c:f>
              <c:numCache>
                <c:formatCode>General</c:formatCode>
                <c:ptCount val="22"/>
                <c:pt idx="2">
                  <c:v>0</c:v>
                </c:pt>
                <c:pt idx="6">
                  <c:v>1</c:v>
                </c:pt>
                <c:pt idx="7">
                  <c:v>12</c:v>
                </c:pt>
                <c:pt idx="8">
                  <c:v>3</c:v>
                </c:pt>
                <c:pt idx="9">
                  <c:v>489</c:v>
                </c:pt>
                <c:pt idx="10">
                  <c:v>500</c:v>
                </c:pt>
                <c:pt idx="11">
                  <c:v>1050</c:v>
                </c:pt>
                <c:pt idx="12">
                  <c:v>1800</c:v>
                </c:pt>
                <c:pt idx="13">
                  <c:v>1500</c:v>
                </c:pt>
                <c:pt idx="14">
                  <c:v>1450</c:v>
                </c:pt>
                <c:pt idx="15">
                  <c:v>350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B9-4C2D-8756-2842A6674E84}"/>
            </c:ext>
          </c:extLst>
        </c:ser>
        <c:ser>
          <c:idx val="6"/>
          <c:order val="6"/>
          <c:tx>
            <c:strRef>
              <c:f>Nahmint!$A$82</c:f>
              <c:strCache>
                <c:ptCount val="1"/>
                <c:pt idx="0">
                  <c:v>2001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Nahmint!$B$82:$W$82</c:f>
              <c:numCache>
                <c:formatCode>General</c:formatCode>
                <c:ptCount val="22"/>
                <c:pt idx="6">
                  <c:v>0</c:v>
                </c:pt>
                <c:pt idx="8">
                  <c:v>100</c:v>
                </c:pt>
                <c:pt idx="9">
                  <c:v>566</c:v>
                </c:pt>
                <c:pt idx="10">
                  <c:v>4119</c:v>
                </c:pt>
                <c:pt idx="11">
                  <c:v>2960</c:v>
                </c:pt>
                <c:pt idx="12">
                  <c:v>10000</c:v>
                </c:pt>
                <c:pt idx="13">
                  <c:v>5000</c:v>
                </c:pt>
                <c:pt idx="15">
                  <c:v>30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9-4C2D-8756-2842A6674E84}"/>
            </c:ext>
          </c:extLst>
        </c:ser>
        <c:ser>
          <c:idx val="7"/>
          <c:order val="7"/>
          <c:tx>
            <c:strRef>
              <c:f>Nahmint!$A$83</c:f>
              <c:strCache>
                <c:ptCount val="1"/>
                <c:pt idx="0">
                  <c:v>2002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Nahmint!$B$83:$W$83</c:f>
              <c:numCache>
                <c:formatCode>General</c:formatCode>
                <c:ptCount val="22"/>
                <c:pt idx="5">
                  <c:v>1</c:v>
                </c:pt>
                <c:pt idx="6">
                  <c:v>17</c:v>
                </c:pt>
                <c:pt idx="7">
                  <c:v>51</c:v>
                </c:pt>
                <c:pt idx="8">
                  <c:v>100</c:v>
                </c:pt>
                <c:pt idx="9">
                  <c:v>2000</c:v>
                </c:pt>
                <c:pt idx="10">
                  <c:v>4500</c:v>
                </c:pt>
                <c:pt idx="11">
                  <c:v>13000</c:v>
                </c:pt>
                <c:pt idx="12">
                  <c:v>15000</c:v>
                </c:pt>
                <c:pt idx="13">
                  <c:v>40000</c:v>
                </c:pt>
                <c:pt idx="14">
                  <c:v>6000</c:v>
                </c:pt>
                <c:pt idx="1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B9-4C2D-8756-2842A6674E84}"/>
            </c:ext>
          </c:extLst>
        </c:ser>
        <c:ser>
          <c:idx val="8"/>
          <c:order val="8"/>
          <c:tx>
            <c:strRef>
              <c:f>Nahmint!$A$84</c:f>
              <c:strCache>
                <c:ptCount val="1"/>
                <c:pt idx="0">
                  <c:v>2003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Nahmint!$B$84:$W$84</c:f>
              <c:numCache>
                <c:formatCode>General</c:formatCode>
                <c:ptCount val="22"/>
                <c:pt idx="5">
                  <c:v>10</c:v>
                </c:pt>
                <c:pt idx="7">
                  <c:v>184</c:v>
                </c:pt>
                <c:pt idx="8">
                  <c:v>309</c:v>
                </c:pt>
                <c:pt idx="9">
                  <c:v>1500</c:v>
                </c:pt>
                <c:pt idx="11">
                  <c:v>15000</c:v>
                </c:pt>
                <c:pt idx="12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B9-4C2D-8756-2842A6674E84}"/>
            </c:ext>
          </c:extLst>
        </c:ser>
        <c:ser>
          <c:idx val="9"/>
          <c:order val="9"/>
          <c:tx>
            <c:strRef>
              <c:f>Nahmint!$A$85</c:f>
              <c:strCache>
                <c:ptCount val="1"/>
                <c:pt idx="0">
                  <c:v>2004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Nahmint!$B$85:$W$85</c:f>
              <c:numCache>
                <c:formatCode>General</c:formatCode>
                <c:ptCount val="22"/>
                <c:pt idx="6">
                  <c:v>0</c:v>
                </c:pt>
                <c:pt idx="7">
                  <c:v>395</c:v>
                </c:pt>
                <c:pt idx="8">
                  <c:v>1067</c:v>
                </c:pt>
                <c:pt idx="9">
                  <c:v>2142</c:v>
                </c:pt>
                <c:pt idx="10">
                  <c:v>20000</c:v>
                </c:pt>
                <c:pt idx="11">
                  <c:v>35000</c:v>
                </c:pt>
                <c:pt idx="12">
                  <c:v>8000</c:v>
                </c:pt>
                <c:pt idx="13">
                  <c:v>12205</c:v>
                </c:pt>
                <c:pt idx="14">
                  <c:v>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B9-4C2D-8756-2842A6674E84}"/>
            </c:ext>
          </c:extLst>
        </c:ser>
        <c:ser>
          <c:idx val="10"/>
          <c:order val="10"/>
          <c:tx>
            <c:strRef>
              <c:f>Nahmint!$A$86</c:f>
              <c:strCache>
                <c:ptCount val="1"/>
                <c:pt idx="0">
                  <c:v>2005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Nahmint!$B$86:$W$86</c:f>
              <c:numCache>
                <c:formatCode>General</c:formatCode>
                <c:ptCount val="22"/>
                <c:pt idx="7">
                  <c:v>46</c:v>
                </c:pt>
                <c:pt idx="8">
                  <c:v>37</c:v>
                </c:pt>
                <c:pt idx="9">
                  <c:v>3207</c:v>
                </c:pt>
                <c:pt idx="10">
                  <c:v>9237</c:v>
                </c:pt>
                <c:pt idx="11">
                  <c:v>15000</c:v>
                </c:pt>
                <c:pt idx="12">
                  <c:v>7746</c:v>
                </c:pt>
                <c:pt idx="14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B9-4C2D-8756-2842A6674E84}"/>
            </c:ext>
          </c:extLst>
        </c:ser>
        <c:ser>
          <c:idx val="11"/>
          <c:order val="11"/>
          <c:tx>
            <c:strRef>
              <c:f>Nahmint!$A$87</c:f>
              <c:strCache>
                <c:ptCount val="1"/>
                <c:pt idx="0">
                  <c:v>2006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Nahmint!$B$87:$W$87</c:f>
              <c:numCache>
                <c:formatCode>General</c:formatCode>
                <c:ptCount val="22"/>
                <c:pt idx="6">
                  <c:v>29</c:v>
                </c:pt>
                <c:pt idx="7">
                  <c:v>333</c:v>
                </c:pt>
                <c:pt idx="8">
                  <c:v>851</c:v>
                </c:pt>
                <c:pt idx="9">
                  <c:v>2410</c:v>
                </c:pt>
                <c:pt idx="10">
                  <c:v>4276</c:v>
                </c:pt>
                <c:pt idx="11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B9-4C2D-8756-2842A6674E84}"/>
            </c:ext>
          </c:extLst>
        </c:ser>
        <c:ser>
          <c:idx val="12"/>
          <c:order val="12"/>
          <c:tx>
            <c:strRef>
              <c:f>Nahmint!$A$88</c:f>
              <c:strCache>
                <c:ptCount val="1"/>
                <c:pt idx="0">
                  <c:v>2007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Nahmint!$B$88:$W$88</c:f>
              <c:numCache>
                <c:formatCode>General</c:formatCode>
                <c:ptCount val="22"/>
                <c:pt idx="4">
                  <c:v>0</c:v>
                </c:pt>
                <c:pt idx="7">
                  <c:v>237</c:v>
                </c:pt>
                <c:pt idx="9">
                  <c:v>7</c:v>
                </c:pt>
                <c:pt idx="10">
                  <c:v>5972</c:v>
                </c:pt>
                <c:pt idx="11">
                  <c:v>18956</c:v>
                </c:pt>
                <c:pt idx="13">
                  <c:v>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B9-4C2D-8756-2842A6674E84}"/>
            </c:ext>
          </c:extLst>
        </c:ser>
        <c:ser>
          <c:idx val="13"/>
          <c:order val="13"/>
          <c:tx>
            <c:strRef>
              <c:f>Nahmint!$A$89</c:f>
              <c:strCache>
                <c:ptCount val="1"/>
                <c:pt idx="0">
                  <c:v>2008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Nahmint!$B$89:$W$89</c:f>
              <c:numCache>
                <c:formatCode>General</c:formatCode>
                <c:ptCount val="22"/>
                <c:pt idx="2">
                  <c:v>0</c:v>
                </c:pt>
                <c:pt idx="4">
                  <c:v>0</c:v>
                </c:pt>
                <c:pt idx="6">
                  <c:v>5</c:v>
                </c:pt>
                <c:pt idx="8">
                  <c:v>75</c:v>
                </c:pt>
                <c:pt idx="9">
                  <c:v>2328</c:v>
                </c:pt>
                <c:pt idx="11">
                  <c:v>5475</c:v>
                </c:pt>
                <c:pt idx="1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8B9-4C2D-8756-2842A6674E84}"/>
            </c:ext>
          </c:extLst>
        </c:ser>
        <c:ser>
          <c:idx val="14"/>
          <c:order val="14"/>
          <c:tx>
            <c:strRef>
              <c:f>Nahmint!$A$90</c:f>
              <c:strCache>
                <c:ptCount val="1"/>
                <c:pt idx="0">
                  <c:v>2009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Nahmint!$B$90:$W$90</c:f>
              <c:numCache>
                <c:formatCode>General</c:formatCode>
                <c:ptCount val="22"/>
                <c:pt idx="5">
                  <c:v>0</c:v>
                </c:pt>
                <c:pt idx="7">
                  <c:v>69</c:v>
                </c:pt>
                <c:pt idx="8">
                  <c:v>706</c:v>
                </c:pt>
                <c:pt idx="9">
                  <c:v>1183</c:v>
                </c:pt>
                <c:pt idx="10">
                  <c:v>1770</c:v>
                </c:pt>
                <c:pt idx="11">
                  <c:v>2675</c:v>
                </c:pt>
                <c:pt idx="12">
                  <c:v>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8B9-4C2D-8756-2842A6674E84}"/>
            </c:ext>
          </c:extLst>
        </c:ser>
        <c:ser>
          <c:idx val="15"/>
          <c:order val="15"/>
          <c:tx>
            <c:strRef>
              <c:f>Nahmint!$A$91</c:f>
              <c:strCache>
                <c:ptCount val="1"/>
                <c:pt idx="0">
                  <c:v>2010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Nahmint!$B$91:$W$91</c:f>
              <c:numCache>
                <c:formatCode>General</c:formatCode>
                <c:ptCount val="22"/>
                <c:pt idx="3">
                  <c:v>0</c:v>
                </c:pt>
                <c:pt idx="6">
                  <c:v>7</c:v>
                </c:pt>
                <c:pt idx="7">
                  <c:v>47</c:v>
                </c:pt>
                <c:pt idx="8">
                  <c:v>1296</c:v>
                </c:pt>
                <c:pt idx="9">
                  <c:v>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8B9-4C2D-8756-2842A6674E84}"/>
            </c:ext>
          </c:extLst>
        </c:ser>
        <c:ser>
          <c:idx val="16"/>
          <c:order val="16"/>
          <c:tx>
            <c:strRef>
              <c:f>Nahmint!$A$92</c:f>
              <c:strCache>
                <c:ptCount val="1"/>
                <c:pt idx="0">
                  <c:v>2011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Nahmint!$B$92:$W$92</c:f>
              <c:numCache>
                <c:formatCode>General</c:formatCode>
                <c:ptCount val="22"/>
                <c:pt idx="7">
                  <c:v>3</c:v>
                </c:pt>
                <c:pt idx="8">
                  <c:v>35</c:v>
                </c:pt>
                <c:pt idx="11">
                  <c:v>12470</c:v>
                </c:pt>
                <c:pt idx="13">
                  <c:v>8910</c:v>
                </c:pt>
                <c:pt idx="1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8B9-4C2D-8756-2842A6674E84}"/>
            </c:ext>
          </c:extLst>
        </c:ser>
        <c:ser>
          <c:idx val="17"/>
          <c:order val="17"/>
          <c:tx>
            <c:strRef>
              <c:f>Nahmint!$A$93</c:f>
              <c:strCache>
                <c:ptCount val="1"/>
                <c:pt idx="0">
                  <c:v>2012</c:v>
                </c:pt>
              </c:strCache>
            </c:strRef>
          </c:tx>
          <c:cat>
            <c:numRef>
              <c:f>Nahmint!$B$75:$W$75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Nahmint!$B$93:$W$93</c:f>
              <c:numCache>
                <c:formatCode>General</c:formatCode>
                <c:ptCount val="22"/>
                <c:pt idx="5">
                  <c:v>2</c:v>
                </c:pt>
                <c:pt idx="6">
                  <c:v>206</c:v>
                </c:pt>
                <c:pt idx="7">
                  <c:v>703</c:v>
                </c:pt>
                <c:pt idx="8">
                  <c:v>1513</c:v>
                </c:pt>
                <c:pt idx="11">
                  <c:v>5666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8B9-4C2D-8756-2842A667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3280"/>
        <c:axId val="49255552"/>
      </c:lineChart>
      <c:catAx>
        <c:axId val="49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255552"/>
        <c:crosses val="autoZero"/>
        <c:auto val="1"/>
        <c:lblAlgn val="ctr"/>
        <c:lblOffset val="100"/>
        <c:noMultiLvlLbl val="0"/>
      </c:catAx>
      <c:valAx>
        <c:axId val="492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233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4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Sockeye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'Kennedy Upper'!$B$176:$Z$176</c:f>
              <c:strCache>
                <c:ptCount val="25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</c:strCache>
            </c:strRef>
          </c:cat>
          <c:val>
            <c:numRef>
              <c:f>'Kennedy Upper'!$B$177:$Z$177</c:f>
              <c:numCache>
                <c:formatCode>0%</c:formatCode>
                <c:ptCount val="25"/>
                <c:pt idx="0">
                  <c:v>0.65033814659111677</c:v>
                </c:pt>
                <c:pt idx="2">
                  <c:v>0.75565090857524009</c:v>
                </c:pt>
                <c:pt idx="3">
                  <c:v>0.78432960792013562</c:v>
                </c:pt>
                <c:pt idx="4">
                  <c:v>0.97802284988892407</c:v>
                </c:pt>
                <c:pt idx="5">
                  <c:v>0.801390417637877</c:v>
                </c:pt>
                <c:pt idx="6">
                  <c:v>0.90013140604467801</c:v>
                </c:pt>
                <c:pt idx="7">
                  <c:v>0.931769406830665</c:v>
                </c:pt>
                <c:pt idx="8">
                  <c:v>0.92780800292647625</c:v>
                </c:pt>
                <c:pt idx="9">
                  <c:v>0.8447239466753601</c:v>
                </c:pt>
                <c:pt idx="10">
                  <c:v>0.7928441774574273</c:v>
                </c:pt>
                <c:pt idx="11">
                  <c:v>0.36415927426115896</c:v>
                </c:pt>
                <c:pt idx="12">
                  <c:v>0.42549842602308502</c:v>
                </c:pt>
                <c:pt idx="13">
                  <c:v>8.9794161506931244E-2</c:v>
                </c:pt>
                <c:pt idx="14">
                  <c:v>0.28076741565005398</c:v>
                </c:pt>
                <c:pt idx="15">
                  <c:v>8.8549905561361483E-2</c:v>
                </c:pt>
                <c:pt idx="16">
                  <c:v>6.1808265012759531E-2</c:v>
                </c:pt>
                <c:pt idx="17">
                  <c:v>1.0901162790697675E-2</c:v>
                </c:pt>
                <c:pt idx="18">
                  <c:v>2.5420031652090189E-3</c:v>
                </c:pt>
                <c:pt idx="19">
                  <c:v>4.3068571864866784E-3</c:v>
                </c:pt>
                <c:pt idx="20">
                  <c:v>3.8580246913580245E-4</c:v>
                </c:pt>
                <c:pt idx="21">
                  <c:v>1.0761019283746557E-5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E-40F8-9619-C34947C8CCD7}"/>
            </c:ext>
          </c:extLst>
        </c:ser>
        <c:ser>
          <c:idx val="1"/>
          <c:order val="1"/>
          <c:tx>
            <c:v>Coho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'Kennedy Upper'!$B$209:$X$209</c:f>
              <c:numCache>
                <c:formatCode>0%</c:formatCode>
                <c:ptCount val="2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6.8807726589882113E-4</c:v>
                </c:pt>
                <c:pt idx="6">
                  <c:v>1.1448874851954205E-2</c:v>
                </c:pt>
                <c:pt idx="7">
                  <c:v>9.0103467202523851E-4</c:v>
                </c:pt>
                <c:pt idx="8">
                  <c:v>1.0114272230435855E-2</c:v>
                </c:pt>
                <c:pt idx="9">
                  <c:v>1.1331316635244872E-2</c:v>
                </c:pt>
                <c:pt idx="10">
                  <c:v>0.10788087016626531</c:v>
                </c:pt>
                <c:pt idx="11">
                  <c:v>5.2892326341597212E-2</c:v>
                </c:pt>
                <c:pt idx="12">
                  <c:v>0.23415304300041215</c:v>
                </c:pt>
                <c:pt idx="13">
                  <c:v>0.29849064254803459</c:v>
                </c:pt>
                <c:pt idx="14">
                  <c:v>0.43626875203188709</c:v>
                </c:pt>
                <c:pt idx="15">
                  <c:v>0.87126099330440054</c:v>
                </c:pt>
                <c:pt idx="16">
                  <c:v>0.91197681016309895</c:v>
                </c:pt>
                <c:pt idx="17">
                  <c:v>1</c:v>
                </c:pt>
                <c:pt idx="18">
                  <c:v>1</c:v>
                </c:pt>
                <c:pt idx="19">
                  <c:v>0.98067729083665345</c:v>
                </c:pt>
                <c:pt idx="20">
                  <c:v>0.9814692256783587</c:v>
                </c:pt>
                <c:pt idx="21">
                  <c:v>0.68390234547760131</c:v>
                </c:pt>
                <c:pt idx="22">
                  <c:v>0.4806155287212201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E-40F8-9619-C34947C8CCD7}"/>
            </c:ext>
          </c:extLst>
        </c:ser>
        <c:ser>
          <c:idx val="2"/>
          <c:order val="2"/>
          <c:tx>
            <c:v>Chinook</c:v>
          </c:tx>
          <c:marker>
            <c:symbol val="square"/>
            <c:size val="7"/>
          </c:marker>
          <c:val>
            <c:numRef>
              <c:f>'Kennedy Upper'!$B$245:$Y$245</c:f>
              <c:numCache>
                <c:formatCode>0%</c:formatCode>
                <c:ptCount val="24"/>
                <c:pt idx="0">
                  <c:v>0</c:v>
                </c:pt>
                <c:pt idx="2">
                  <c:v>1.0101010101010102E-2</c:v>
                </c:pt>
                <c:pt idx="3">
                  <c:v>0</c:v>
                </c:pt>
                <c:pt idx="4">
                  <c:v>0</c:v>
                </c:pt>
                <c:pt idx="5">
                  <c:v>3.125E-2</c:v>
                </c:pt>
                <c:pt idx="6">
                  <c:v>0.05</c:v>
                </c:pt>
                <c:pt idx="7">
                  <c:v>0.16147186147186149</c:v>
                </c:pt>
                <c:pt idx="8">
                  <c:v>0.3671401515151515</c:v>
                </c:pt>
                <c:pt idx="9">
                  <c:v>0.55000000000000004</c:v>
                </c:pt>
                <c:pt idx="10">
                  <c:v>0.26435185185185189</c:v>
                </c:pt>
                <c:pt idx="11">
                  <c:v>0.58595571095571097</c:v>
                </c:pt>
                <c:pt idx="12">
                  <c:v>0.29166666666666669</c:v>
                </c:pt>
                <c:pt idx="13">
                  <c:v>0.97979797979797978</c:v>
                </c:pt>
                <c:pt idx="14">
                  <c:v>0.93333333333333324</c:v>
                </c:pt>
                <c:pt idx="15">
                  <c:v>0.72666666666666668</c:v>
                </c:pt>
                <c:pt idx="16">
                  <c:v>0.57465277777777779</c:v>
                </c:pt>
                <c:pt idx="17">
                  <c:v>0.25</c:v>
                </c:pt>
                <c:pt idx="18">
                  <c:v>0</c:v>
                </c:pt>
                <c:pt idx="19">
                  <c:v>1.3888888888888888E-2</c:v>
                </c:pt>
                <c:pt idx="20">
                  <c:v>1.0101010101010102E-2</c:v>
                </c:pt>
                <c:pt idx="21">
                  <c:v>9.6153846153846159E-3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E-40F8-9619-C34947C8C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5232"/>
        <c:axId val="53725056"/>
      </c:lineChart>
      <c:catAx>
        <c:axId val="5361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5056"/>
        <c:crosses val="autoZero"/>
        <c:auto val="1"/>
        <c:lblAlgn val="ctr"/>
        <c:lblOffset val="100"/>
        <c:noMultiLvlLbl val="0"/>
      </c:catAx>
      <c:valAx>
        <c:axId val="53725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6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Chum</a:t>
            </a:r>
          </a:p>
        </c:rich>
      </c:tx>
      <c:layout>
        <c:manualLayout>
          <c:xMode val="edge"/>
          <c:yMode val="edge"/>
          <c:x val="0.46688787647363478"/>
          <c:y val="2.8933061688967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262776437008962E-2"/>
          <c:y val="0.15370718815974316"/>
          <c:w val="0.81236290653769416"/>
          <c:h val="0.75768602163449861"/>
        </c:manualLayout>
      </c:layout>
      <c:lineChart>
        <c:grouping val="standard"/>
        <c:varyColors val="0"/>
        <c:ser>
          <c:idx val="15"/>
          <c:order val="0"/>
          <c:tx>
            <c:strRef>
              <c:f>Tranquil!$X$88</c:f>
              <c:strCache>
                <c:ptCount val="1"/>
                <c:pt idx="0">
                  <c:v>2631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Tranquil!$B$88:$W$88</c:f>
              <c:numCache>
                <c:formatCode>General</c:formatCode>
                <c:ptCount val="22"/>
                <c:pt idx="7">
                  <c:v>210</c:v>
                </c:pt>
                <c:pt idx="10">
                  <c:v>1954</c:v>
                </c:pt>
                <c:pt idx="11">
                  <c:v>1487</c:v>
                </c:pt>
                <c:pt idx="1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3CC-B278-5AA5587E9114}"/>
            </c:ext>
          </c:extLst>
        </c:ser>
        <c:ser>
          <c:idx val="6"/>
          <c:order val="1"/>
          <c:tx>
            <c:strRef>
              <c:f>Tranquil!$X$79</c:f>
              <c:strCache>
                <c:ptCount val="1"/>
                <c:pt idx="0">
                  <c:v>3951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Tranquil!$B$79:$W$79</c:f>
              <c:numCache>
                <c:formatCode>General</c:formatCode>
                <c:ptCount val="22"/>
                <c:pt idx="8">
                  <c:v>2143</c:v>
                </c:pt>
                <c:pt idx="10">
                  <c:v>4238</c:v>
                </c:pt>
                <c:pt idx="12">
                  <c:v>2869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A-43CC-B278-5AA5587E9114}"/>
            </c:ext>
          </c:extLst>
        </c:ser>
        <c:ser>
          <c:idx val="4"/>
          <c:order val="2"/>
          <c:tx>
            <c:strRef>
              <c:f>Tranquil!$X$77</c:f>
              <c:strCache>
                <c:ptCount val="1"/>
                <c:pt idx="0">
                  <c:v>4500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993300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Tranquil!$B$77:$W$77</c:f>
              <c:numCache>
                <c:formatCode>General</c:formatCode>
                <c:ptCount val="22"/>
                <c:pt idx="11">
                  <c:v>3815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A-43CC-B278-5AA5587E9114}"/>
            </c:ext>
          </c:extLst>
        </c:ser>
        <c:ser>
          <c:idx val="7"/>
          <c:order val="3"/>
          <c:tx>
            <c:strRef>
              <c:f>Tranquil!$X$80</c:f>
              <c:strCache>
                <c:ptCount val="1"/>
                <c:pt idx="0">
                  <c:v>4643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Tranquil!$B$80:$W$80</c:f>
              <c:numCache>
                <c:formatCode>General</c:formatCode>
                <c:ptCount val="22"/>
                <c:pt idx="9">
                  <c:v>2235</c:v>
                </c:pt>
                <c:pt idx="10">
                  <c:v>2360</c:v>
                </c:pt>
                <c:pt idx="12">
                  <c:v>1476</c:v>
                </c:pt>
                <c:pt idx="13">
                  <c:v>981</c:v>
                </c:pt>
                <c:pt idx="14">
                  <c:v>291</c:v>
                </c:pt>
                <c:pt idx="15">
                  <c:v>15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A-43CC-B278-5AA5587E9114}"/>
            </c:ext>
          </c:extLst>
        </c:ser>
        <c:ser>
          <c:idx val="16"/>
          <c:order val="4"/>
          <c:tx>
            <c:strRef>
              <c:f>Tranquil!$X$89</c:f>
              <c:strCache>
                <c:ptCount val="1"/>
                <c:pt idx="0">
                  <c:v>5100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Tranquil!$B$89:$W$89</c:f>
              <c:numCache>
                <c:formatCode>General</c:formatCode>
                <c:ptCount val="22"/>
                <c:pt idx="8">
                  <c:v>579</c:v>
                </c:pt>
                <c:pt idx="11">
                  <c:v>3387</c:v>
                </c:pt>
                <c:pt idx="13">
                  <c:v>265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A-43CC-B278-5AA5587E9114}"/>
            </c:ext>
          </c:extLst>
        </c:ser>
        <c:ser>
          <c:idx val="8"/>
          <c:order val="5"/>
          <c:tx>
            <c:strRef>
              <c:f>Tranquil!$X$81</c:f>
              <c:strCache>
                <c:ptCount val="1"/>
                <c:pt idx="0">
                  <c:v>6141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99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Tranquil!$B$81:$W$81</c:f>
              <c:numCache>
                <c:formatCode>General</c:formatCode>
                <c:ptCount val="22"/>
                <c:pt idx="7">
                  <c:v>77</c:v>
                </c:pt>
                <c:pt idx="8">
                  <c:v>1621</c:v>
                </c:pt>
                <c:pt idx="10">
                  <c:v>2998</c:v>
                </c:pt>
                <c:pt idx="11">
                  <c:v>4355</c:v>
                </c:pt>
                <c:pt idx="12">
                  <c:v>3851</c:v>
                </c:pt>
                <c:pt idx="13">
                  <c:v>1937</c:v>
                </c:pt>
                <c:pt idx="15">
                  <c:v>25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7A-43CC-B278-5AA5587E9114}"/>
            </c:ext>
          </c:extLst>
        </c:ser>
        <c:ser>
          <c:idx val="5"/>
          <c:order val="6"/>
          <c:tx>
            <c:strRef>
              <c:f>Tranquil!$X$78</c:f>
              <c:strCache>
                <c:ptCount val="1"/>
                <c:pt idx="0">
                  <c:v>6500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Tranquil!$B$78:$W$78</c:f>
              <c:numCache>
                <c:formatCode>General</c:formatCode>
                <c:ptCount val="22"/>
                <c:pt idx="9">
                  <c:v>5825</c:v>
                </c:pt>
                <c:pt idx="11">
                  <c:v>5959</c:v>
                </c:pt>
                <c:pt idx="14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7A-43CC-B278-5AA5587E9114}"/>
            </c:ext>
          </c:extLst>
        </c:ser>
        <c:ser>
          <c:idx val="14"/>
          <c:order val="7"/>
          <c:tx>
            <c:strRef>
              <c:f>Tranquil!$X$87</c:f>
              <c:strCache>
                <c:ptCount val="1"/>
                <c:pt idx="0">
                  <c:v>6928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Tranquil!$B$87:$W$87</c:f>
              <c:numCache>
                <c:formatCode>General</c:formatCode>
                <c:ptCount val="22"/>
                <c:pt idx="6">
                  <c:v>211</c:v>
                </c:pt>
                <c:pt idx="7">
                  <c:v>1475</c:v>
                </c:pt>
                <c:pt idx="8">
                  <c:v>3250</c:v>
                </c:pt>
                <c:pt idx="9">
                  <c:v>3650</c:v>
                </c:pt>
                <c:pt idx="10">
                  <c:v>4676</c:v>
                </c:pt>
                <c:pt idx="11">
                  <c:v>2037</c:v>
                </c:pt>
                <c:pt idx="12">
                  <c:v>730</c:v>
                </c:pt>
                <c:pt idx="13">
                  <c:v>86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7A-43CC-B278-5AA5587E9114}"/>
            </c:ext>
          </c:extLst>
        </c:ser>
        <c:ser>
          <c:idx val="10"/>
          <c:order val="8"/>
          <c:tx>
            <c:strRef>
              <c:f>Tranquil!$X$83</c:f>
              <c:strCache>
                <c:ptCount val="1"/>
                <c:pt idx="0">
                  <c:v>8449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Tranquil!$B$83:$W$83</c:f>
              <c:numCache>
                <c:formatCode>General</c:formatCode>
                <c:ptCount val="22"/>
                <c:pt idx="7">
                  <c:v>3262</c:v>
                </c:pt>
                <c:pt idx="8">
                  <c:v>1117</c:v>
                </c:pt>
                <c:pt idx="10">
                  <c:v>6837</c:v>
                </c:pt>
                <c:pt idx="11">
                  <c:v>4761</c:v>
                </c:pt>
                <c:pt idx="12">
                  <c:v>4296</c:v>
                </c:pt>
                <c:pt idx="13">
                  <c:v>2694</c:v>
                </c:pt>
                <c:pt idx="14">
                  <c:v>881</c:v>
                </c:pt>
                <c:pt idx="15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7A-43CC-B278-5AA5587E9114}"/>
            </c:ext>
          </c:extLst>
        </c:ser>
        <c:ser>
          <c:idx val="17"/>
          <c:order val="9"/>
          <c:tx>
            <c:strRef>
              <c:f>Tranquil!$X$90</c:f>
              <c:strCache>
                <c:ptCount val="1"/>
                <c:pt idx="0">
                  <c:v>8675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Tranquil!$B$90:$W$90</c:f>
              <c:numCache>
                <c:formatCode>General</c:formatCode>
                <c:ptCount val="22"/>
                <c:pt idx="5">
                  <c:v>2</c:v>
                </c:pt>
                <c:pt idx="6">
                  <c:v>780</c:v>
                </c:pt>
                <c:pt idx="8">
                  <c:v>3544</c:v>
                </c:pt>
                <c:pt idx="9">
                  <c:v>3194</c:v>
                </c:pt>
                <c:pt idx="10">
                  <c:v>5936</c:v>
                </c:pt>
                <c:pt idx="11">
                  <c:v>4834</c:v>
                </c:pt>
                <c:pt idx="12">
                  <c:v>1445</c:v>
                </c:pt>
                <c:pt idx="13">
                  <c:v>114</c:v>
                </c:pt>
                <c:pt idx="14">
                  <c:v>20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7A-43CC-B278-5AA5587E9114}"/>
            </c:ext>
          </c:extLst>
        </c:ser>
        <c:ser>
          <c:idx val="13"/>
          <c:order val="10"/>
          <c:tx>
            <c:strRef>
              <c:f>Tranquil!$X$86</c:f>
              <c:strCache>
                <c:ptCount val="1"/>
                <c:pt idx="0">
                  <c:v>10695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Tranquil!$B$86:$W$86</c:f>
              <c:numCache>
                <c:formatCode>General</c:formatCode>
                <c:ptCount val="22"/>
                <c:pt idx="9">
                  <c:v>1112</c:v>
                </c:pt>
                <c:pt idx="10">
                  <c:v>9395</c:v>
                </c:pt>
                <c:pt idx="11">
                  <c:v>8030</c:v>
                </c:pt>
                <c:pt idx="12">
                  <c:v>225</c:v>
                </c:pt>
                <c:pt idx="13">
                  <c:v>14</c:v>
                </c:pt>
                <c:pt idx="14">
                  <c:v>8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7A-43CC-B278-5AA5587E9114}"/>
            </c:ext>
          </c:extLst>
        </c:ser>
        <c:ser>
          <c:idx val="12"/>
          <c:order val="11"/>
          <c:tx>
            <c:strRef>
              <c:f>Tranquil!$X$85</c:f>
              <c:strCache>
                <c:ptCount val="1"/>
                <c:pt idx="0">
                  <c:v>11197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Tranquil!$B$85:$W$85</c:f>
              <c:numCache>
                <c:formatCode>General</c:formatCode>
                <c:ptCount val="22"/>
                <c:pt idx="8">
                  <c:v>796</c:v>
                </c:pt>
                <c:pt idx="9">
                  <c:v>2746</c:v>
                </c:pt>
                <c:pt idx="10">
                  <c:v>3761</c:v>
                </c:pt>
                <c:pt idx="11">
                  <c:v>6441</c:v>
                </c:pt>
                <c:pt idx="12">
                  <c:v>5799</c:v>
                </c:pt>
                <c:pt idx="13">
                  <c:v>80</c:v>
                </c:pt>
                <c:pt idx="14">
                  <c:v>10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7A-43CC-B278-5AA5587E9114}"/>
            </c:ext>
          </c:extLst>
        </c:ser>
        <c:ser>
          <c:idx val="9"/>
          <c:order val="12"/>
          <c:tx>
            <c:strRef>
              <c:f>Tranquil!$X$82</c:f>
              <c:strCache>
                <c:ptCount val="1"/>
                <c:pt idx="0">
                  <c:v>13856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Tranquil!$B$82:$W$82</c:f>
              <c:numCache>
                <c:formatCode>General</c:formatCode>
                <c:ptCount val="22"/>
                <c:pt idx="7">
                  <c:v>1251</c:v>
                </c:pt>
                <c:pt idx="8">
                  <c:v>2689</c:v>
                </c:pt>
                <c:pt idx="9">
                  <c:v>4916</c:v>
                </c:pt>
                <c:pt idx="11">
                  <c:v>5425</c:v>
                </c:pt>
                <c:pt idx="13">
                  <c:v>2154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7A-43CC-B278-5AA5587E9114}"/>
            </c:ext>
          </c:extLst>
        </c:ser>
        <c:ser>
          <c:idx val="18"/>
          <c:order val="13"/>
          <c:tx>
            <c:strRef>
              <c:f>Tranquil!$X$91</c:f>
              <c:strCache>
                <c:ptCount val="1"/>
                <c:pt idx="0">
                  <c:v>15500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Tranquil!$B$91:$W$91</c:f>
              <c:numCache>
                <c:formatCode>General</c:formatCode>
                <c:ptCount val="22"/>
                <c:pt idx="6">
                  <c:v>322</c:v>
                </c:pt>
                <c:pt idx="9">
                  <c:v>13194</c:v>
                </c:pt>
                <c:pt idx="10">
                  <c:v>11904</c:v>
                </c:pt>
                <c:pt idx="12">
                  <c:v>6647</c:v>
                </c:pt>
                <c:pt idx="13">
                  <c:v>1915</c:v>
                </c:pt>
                <c:pt idx="14">
                  <c:v>464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17A-43CC-B278-5AA5587E9114}"/>
            </c:ext>
          </c:extLst>
        </c:ser>
        <c:ser>
          <c:idx val="11"/>
          <c:order val="14"/>
          <c:tx>
            <c:strRef>
              <c:f>Tranquil!$X$84</c:f>
              <c:strCache>
                <c:ptCount val="1"/>
                <c:pt idx="0">
                  <c:v>22368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Tranquil!$B$74:$W$74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Tranquil!$B$84:$W$84</c:f>
              <c:numCache>
                <c:formatCode>General</c:formatCode>
                <c:ptCount val="22"/>
                <c:pt idx="7">
                  <c:v>2865</c:v>
                </c:pt>
                <c:pt idx="9">
                  <c:v>4415</c:v>
                </c:pt>
                <c:pt idx="10">
                  <c:v>10939</c:v>
                </c:pt>
                <c:pt idx="11">
                  <c:v>3964</c:v>
                </c:pt>
                <c:pt idx="12">
                  <c:v>5550</c:v>
                </c:pt>
                <c:pt idx="13">
                  <c:v>2667</c:v>
                </c:pt>
                <c:pt idx="14">
                  <c:v>90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17A-43CC-B278-5AA5587E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93856"/>
        <c:axId val="50395776"/>
      </c:lineChart>
      <c:catAx>
        <c:axId val="503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9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95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93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97434434408075"/>
          <c:y val="9.0415358919295925E-3"/>
          <c:w val="8.8300283534792245E-2"/>
          <c:h val="0.911393095093882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759603126212518E-2"/>
          <c:y val="5.3061277364952732E-2"/>
          <c:w val="0.84004212626794528"/>
          <c:h val="0.85510289291981512"/>
        </c:manualLayout>
      </c:layout>
      <c:lineChart>
        <c:grouping val="standard"/>
        <c:varyColors val="0"/>
        <c:ser>
          <c:idx val="0"/>
          <c:order val="0"/>
          <c:tx>
            <c:strRef>
              <c:f>Tranquil!$AG$5</c:f>
              <c:strCache>
                <c:ptCount val="1"/>
                <c:pt idx="0">
                  <c:v>147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Tranquil!$AH$5:$BC$5</c:f>
              <c:numCache>
                <c:formatCode>General</c:formatCode>
                <c:ptCount val="22"/>
                <c:pt idx="7">
                  <c:v>26</c:v>
                </c:pt>
                <c:pt idx="8">
                  <c:v>38</c:v>
                </c:pt>
                <c:pt idx="9">
                  <c:v>36</c:v>
                </c:pt>
                <c:pt idx="11">
                  <c:v>43</c:v>
                </c:pt>
                <c:pt idx="13">
                  <c:v>105</c:v>
                </c:pt>
                <c:pt idx="15">
                  <c:v>28</c:v>
                </c:pt>
                <c:pt idx="16">
                  <c:v>5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B-4A97-B1C4-9EC106AB8642}"/>
            </c:ext>
          </c:extLst>
        </c:ser>
        <c:ser>
          <c:idx val="1"/>
          <c:order val="1"/>
          <c:tx>
            <c:strRef>
              <c:f>Tranquil!$AG$6</c:f>
              <c:strCache>
                <c:ptCount val="1"/>
                <c:pt idx="0">
                  <c:v>206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Tranquil!$AH$6:$BC$6</c:f>
              <c:numCache>
                <c:formatCode>General</c:formatCode>
                <c:ptCount val="22"/>
                <c:pt idx="8">
                  <c:v>95</c:v>
                </c:pt>
                <c:pt idx="11">
                  <c:v>118</c:v>
                </c:pt>
                <c:pt idx="13">
                  <c:v>34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B-4A97-B1C4-9EC106AB8642}"/>
            </c:ext>
          </c:extLst>
        </c:ser>
        <c:ser>
          <c:idx val="3"/>
          <c:order val="2"/>
          <c:tx>
            <c:strRef>
              <c:f>Tranquil!$AG$8</c:f>
              <c:strCache>
                <c:ptCount val="1"/>
                <c:pt idx="0">
                  <c:v>215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C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Tranquil!$AH$8:$BC$8</c:f>
              <c:numCache>
                <c:formatCode>General</c:formatCode>
                <c:ptCount val="22"/>
                <c:pt idx="7">
                  <c:v>36</c:v>
                </c:pt>
                <c:pt idx="10">
                  <c:v>178</c:v>
                </c:pt>
                <c:pt idx="11">
                  <c:v>161</c:v>
                </c:pt>
                <c:pt idx="1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B-4A97-B1C4-9EC106AB8642}"/>
            </c:ext>
          </c:extLst>
        </c:ser>
        <c:ser>
          <c:idx val="4"/>
          <c:order val="3"/>
          <c:tx>
            <c:strRef>
              <c:f>Tranquil!$AG$9</c:f>
              <c:strCache>
                <c:ptCount val="1"/>
                <c:pt idx="0">
                  <c:v>225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Tranquil!$AH$9:$BC$9</c:f>
              <c:numCache>
                <c:formatCode>General</c:formatCode>
                <c:ptCount val="22"/>
                <c:pt idx="5">
                  <c:v>0</c:v>
                </c:pt>
                <c:pt idx="6">
                  <c:v>11</c:v>
                </c:pt>
                <c:pt idx="8">
                  <c:v>113</c:v>
                </c:pt>
                <c:pt idx="9">
                  <c:v>118</c:v>
                </c:pt>
                <c:pt idx="10">
                  <c:v>127</c:v>
                </c:pt>
                <c:pt idx="11">
                  <c:v>119</c:v>
                </c:pt>
                <c:pt idx="12">
                  <c:v>42</c:v>
                </c:pt>
                <c:pt idx="13">
                  <c:v>31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B-4A97-B1C4-9EC106AB8642}"/>
            </c:ext>
          </c:extLst>
        </c:ser>
        <c:ser>
          <c:idx val="5"/>
          <c:order val="4"/>
          <c:tx>
            <c:strRef>
              <c:f>Tranquil!$AG$10</c:f>
              <c:strCache>
                <c:ptCount val="1"/>
                <c:pt idx="0">
                  <c:v>226</c:v>
                </c:pt>
              </c:strCache>
            </c:strRef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Tranquil!$AH$10:$BC$10</c:f>
              <c:numCache>
                <c:formatCode>General</c:formatCode>
                <c:ptCount val="22"/>
                <c:pt idx="6">
                  <c:v>5</c:v>
                </c:pt>
                <c:pt idx="7">
                  <c:v>41</c:v>
                </c:pt>
                <c:pt idx="8">
                  <c:v>206</c:v>
                </c:pt>
                <c:pt idx="9">
                  <c:v>166</c:v>
                </c:pt>
                <c:pt idx="10">
                  <c:v>225</c:v>
                </c:pt>
                <c:pt idx="11">
                  <c:v>179</c:v>
                </c:pt>
                <c:pt idx="12">
                  <c:v>113</c:v>
                </c:pt>
                <c:pt idx="13">
                  <c:v>33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3B-4A97-B1C4-9EC106AB8642}"/>
            </c:ext>
          </c:extLst>
        </c:ser>
        <c:ser>
          <c:idx val="6"/>
          <c:order val="5"/>
          <c:tx>
            <c:strRef>
              <c:f>Tranquil!$AG$11</c:f>
              <c:strCache>
                <c:ptCount val="1"/>
                <c:pt idx="0">
                  <c:v>414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CC0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Tranquil!$AH$11:$BC$11</c:f>
              <c:numCache>
                <c:formatCode>General</c:formatCode>
                <c:ptCount val="22"/>
                <c:pt idx="9">
                  <c:v>154</c:v>
                </c:pt>
                <c:pt idx="10">
                  <c:v>146</c:v>
                </c:pt>
                <c:pt idx="11">
                  <c:v>131</c:v>
                </c:pt>
                <c:pt idx="12">
                  <c:v>327</c:v>
                </c:pt>
                <c:pt idx="13">
                  <c:v>30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3B-4A97-B1C4-9EC106AB8642}"/>
            </c:ext>
          </c:extLst>
        </c:ser>
        <c:ser>
          <c:idx val="8"/>
          <c:order val="6"/>
          <c:tx>
            <c:strRef>
              <c:f>Tranquil!$AG$13</c:f>
              <c:strCache>
                <c:ptCount val="1"/>
                <c:pt idx="0">
                  <c:v>632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Tranquil!$AH$13:$BC$13</c:f>
              <c:numCache>
                <c:formatCode>General</c:formatCode>
                <c:ptCount val="22"/>
                <c:pt idx="8">
                  <c:v>2</c:v>
                </c:pt>
                <c:pt idx="9">
                  <c:v>154</c:v>
                </c:pt>
                <c:pt idx="10">
                  <c:v>534</c:v>
                </c:pt>
                <c:pt idx="11">
                  <c:v>509</c:v>
                </c:pt>
                <c:pt idx="12">
                  <c:v>381</c:v>
                </c:pt>
                <c:pt idx="13">
                  <c:v>10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3B-4A97-B1C4-9EC106AB8642}"/>
            </c:ext>
          </c:extLst>
        </c:ser>
        <c:ser>
          <c:idx val="10"/>
          <c:order val="7"/>
          <c:tx>
            <c:strRef>
              <c:f>Tranquil!$AG$15</c:f>
              <c:strCache>
                <c:ptCount val="1"/>
                <c:pt idx="0">
                  <c:v>725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Tranquil!$AH$15:$BC$15</c:f>
              <c:numCache>
                <c:formatCode>General</c:formatCode>
                <c:ptCount val="22"/>
                <c:pt idx="8">
                  <c:v>60</c:v>
                </c:pt>
                <c:pt idx="10">
                  <c:v>191</c:v>
                </c:pt>
                <c:pt idx="12">
                  <c:v>638</c:v>
                </c:pt>
                <c:pt idx="1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3B-4A97-B1C4-9EC106AB8642}"/>
            </c:ext>
          </c:extLst>
        </c:ser>
        <c:ser>
          <c:idx val="11"/>
          <c:order val="8"/>
          <c:tx>
            <c:strRef>
              <c:f>Tranquil!$AG$16</c:f>
              <c:strCache>
                <c:ptCount val="1"/>
                <c:pt idx="0">
                  <c:v>800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Tranquil!$AH$16:$BC$16</c:f>
              <c:numCache>
                <c:formatCode>General</c:formatCode>
                <c:ptCount val="22"/>
                <c:pt idx="9">
                  <c:v>383</c:v>
                </c:pt>
                <c:pt idx="11">
                  <c:v>756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3B-4A97-B1C4-9EC106AB8642}"/>
            </c:ext>
          </c:extLst>
        </c:ser>
        <c:ser>
          <c:idx val="12"/>
          <c:order val="9"/>
          <c:tx>
            <c:strRef>
              <c:f>Tranquil!$AG$17</c:f>
              <c:strCache>
                <c:ptCount val="1"/>
                <c:pt idx="0">
                  <c:v>825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Tranquil!$AH$17:$BC$17</c:f>
              <c:numCache>
                <c:formatCode>General</c:formatCode>
                <c:ptCount val="22"/>
                <c:pt idx="11">
                  <c:v>691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3B-4A97-B1C4-9EC106AB8642}"/>
            </c:ext>
          </c:extLst>
        </c:ser>
        <c:ser>
          <c:idx val="13"/>
          <c:order val="10"/>
          <c:tx>
            <c:strRef>
              <c:f>Tranquil!$AG$18</c:f>
              <c:strCache>
                <c:ptCount val="1"/>
                <c:pt idx="0">
                  <c:v>1127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Tranquil!$AH$18:$BC$18</c:f>
              <c:numCache>
                <c:formatCode>General</c:formatCode>
                <c:ptCount val="22"/>
                <c:pt idx="7">
                  <c:v>59</c:v>
                </c:pt>
                <c:pt idx="9">
                  <c:v>61</c:v>
                </c:pt>
                <c:pt idx="10">
                  <c:v>785</c:v>
                </c:pt>
                <c:pt idx="11">
                  <c:v>630</c:v>
                </c:pt>
                <c:pt idx="12">
                  <c:v>791</c:v>
                </c:pt>
                <c:pt idx="13">
                  <c:v>237</c:v>
                </c:pt>
                <c:pt idx="14">
                  <c:v>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3B-4A97-B1C4-9EC106AB8642}"/>
            </c:ext>
          </c:extLst>
        </c:ser>
        <c:ser>
          <c:idx val="14"/>
          <c:order val="11"/>
          <c:tx>
            <c:strRef>
              <c:f>Tranquil!$AG$19</c:f>
              <c:strCache>
                <c:ptCount val="1"/>
                <c:pt idx="0">
                  <c:v>1781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Tranquil!$AH$19:$BC$19</c:f>
              <c:numCache>
                <c:formatCode>General</c:formatCode>
                <c:ptCount val="22"/>
                <c:pt idx="9">
                  <c:v>86</c:v>
                </c:pt>
                <c:pt idx="10">
                  <c:v>130</c:v>
                </c:pt>
                <c:pt idx="12">
                  <c:v>1306</c:v>
                </c:pt>
                <c:pt idx="13">
                  <c:v>796</c:v>
                </c:pt>
                <c:pt idx="14">
                  <c:v>252</c:v>
                </c:pt>
                <c:pt idx="15">
                  <c:v>62</c:v>
                </c:pt>
                <c:pt idx="16">
                  <c:v>34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3B-4A97-B1C4-9EC106AB8642}"/>
            </c:ext>
          </c:extLst>
        </c:ser>
        <c:ser>
          <c:idx val="15"/>
          <c:order val="12"/>
          <c:tx>
            <c:strRef>
              <c:f>Tranquil!$AG$20</c:f>
              <c:strCache>
                <c:ptCount val="1"/>
                <c:pt idx="0">
                  <c:v>1846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Tranquil!$AH$20:$BC$20</c:f>
              <c:numCache>
                <c:formatCode>General</c:formatCode>
                <c:ptCount val="22"/>
                <c:pt idx="7">
                  <c:v>35</c:v>
                </c:pt>
                <c:pt idx="8">
                  <c:v>45</c:v>
                </c:pt>
                <c:pt idx="10">
                  <c:v>1846</c:v>
                </c:pt>
                <c:pt idx="11">
                  <c:v>1482</c:v>
                </c:pt>
                <c:pt idx="12">
                  <c:v>857</c:v>
                </c:pt>
                <c:pt idx="13">
                  <c:v>486</c:v>
                </c:pt>
                <c:pt idx="14">
                  <c:v>95</c:v>
                </c:pt>
                <c:pt idx="15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3B-4A97-B1C4-9EC106AB8642}"/>
            </c:ext>
          </c:extLst>
        </c:ser>
        <c:ser>
          <c:idx val="16"/>
          <c:order val="13"/>
          <c:tx>
            <c:strRef>
              <c:f>Tranquil!$AG$21</c:f>
              <c:strCache>
                <c:ptCount val="1"/>
                <c:pt idx="0">
                  <c:v>2082</c:v>
                </c:pt>
              </c:strCache>
            </c:strRef>
          </c:tx>
          <c:spPr>
            <a:ln w="12700">
              <a:solidFill>
                <a:srgbClr val="008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Tranquil!$AH$21:$BC$21</c:f>
              <c:numCache>
                <c:formatCode>General</c:formatCode>
                <c:ptCount val="22"/>
                <c:pt idx="7">
                  <c:v>0</c:v>
                </c:pt>
                <c:pt idx="8">
                  <c:v>579</c:v>
                </c:pt>
                <c:pt idx="10">
                  <c:v>666</c:v>
                </c:pt>
                <c:pt idx="11">
                  <c:v>1723</c:v>
                </c:pt>
                <c:pt idx="12">
                  <c:v>1810</c:v>
                </c:pt>
                <c:pt idx="13">
                  <c:v>641</c:v>
                </c:pt>
                <c:pt idx="15">
                  <c:v>39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3B-4A97-B1C4-9EC106AB8642}"/>
            </c:ext>
          </c:extLst>
        </c:ser>
        <c:ser>
          <c:idx val="2"/>
          <c:order val="14"/>
          <c:tx>
            <c:v>2011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triangle"/>
            <c:size val="7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Tranquil!$AH$4:$BC$4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Tranquil!$AH$7:$BC$7</c:f>
              <c:numCache>
                <c:formatCode>General</c:formatCode>
                <c:ptCount val="22"/>
                <c:pt idx="6">
                  <c:v>0</c:v>
                </c:pt>
                <c:pt idx="9">
                  <c:v>121</c:v>
                </c:pt>
                <c:pt idx="10">
                  <c:v>108</c:v>
                </c:pt>
                <c:pt idx="12">
                  <c:v>114</c:v>
                </c:pt>
                <c:pt idx="13">
                  <c:v>50</c:v>
                </c:pt>
                <c:pt idx="14">
                  <c:v>22</c:v>
                </c:pt>
                <c:pt idx="15">
                  <c:v>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3B-4A97-B1C4-9EC106AB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8880"/>
        <c:axId val="51820800"/>
      </c:lineChart>
      <c:catAx>
        <c:axId val="518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2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82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18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815360154284119"/>
          <c:y val="0.15918388772831968"/>
          <c:w val="8.3591439614939755E-2"/>
          <c:h val="0.644898601960469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7745514790617E-2"/>
          <c:y val="5.7208237986270026E-2"/>
          <c:w val="0.82819013248912166"/>
          <c:h val="0.7986270022883295"/>
        </c:manualLayout>
      </c:layout>
      <c:lineChart>
        <c:grouping val="standard"/>
        <c:varyColors val="0"/>
        <c:ser>
          <c:idx val="0"/>
          <c:order val="0"/>
          <c:tx>
            <c:strRef>
              <c:f>Leiner!$F$142</c:f>
              <c:strCache>
                <c:ptCount val="1"/>
                <c:pt idx="0">
                  <c:v>1995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Leiner!$F$144:$F$164</c:f>
              <c:numCache>
                <c:formatCode>General</c:formatCode>
                <c:ptCount val="21"/>
                <c:pt idx="5">
                  <c:v>40</c:v>
                </c:pt>
                <c:pt idx="7">
                  <c:v>222</c:v>
                </c:pt>
                <c:pt idx="9">
                  <c:v>25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5-4528-A95C-E25E5D505D78}"/>
            </c:ext>
          </c:extLst>
        </c:ser>
        <c:ser>
          <c:idx val="1"/>
          <c:order val="1"/>
          <c:tx>
            <c:strRef>
              <c:f>Leiner!$G$142</c:f>
              <c:strCache>
                <c:ptCount val="1"/>
                <c:pt idx="0">
                  <c:v>1996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Leiner!$G$144:$G$164</c:f>
              <c:numCache>
                <c:formatCode>General</c:formatCode>
                <c:ptCount val="21"/>
                <c:pt idx="3">
                  <c:v>18</c:v>
                </c:pt>
                <c:pt idx="5">
                  <c:v>418</c:v>
                </c:pt>
                <c:pt idx="6">
                  <c:v>318</c:v>
                </c:pt>
                <c:pt idx="7">
                  <c:v>300</c:v>
                </c:pt>
                <c:pt idx="8">
                  <c:v>204</c:v>
                </c:pt>
                <c:pt idx="10">
                  <c:v>50</c:v>
                </c:pt>
                <c:pt idx="11">
                  <c:v>40</c:v>
                </c:pt>
                <c:pt idx="12">
                  <c:v>27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5-4528-A95C-E25E5D505D78}"/>
            </c:ext>
          </c:extLst>
        </c:ser>
        <c:ser>
          <c:idx val="2"/>
          <c:order val="2"/>
          <c:tx>
            <c:strRef>
              <c:f>Leiner!$H$142</c:f>
              <c:strCache>
                <c:ptCount val="1"/>
                <c:pt idx="0">
                  <c:v>1997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Leiner!$H$144:$H$164</c:f>
              <c:numCache>
                <c:formatCode>General</c:formatCode>
                <c:ptCount val="21"/>
                <c:pt idx="3">
                  <c:v>71</c:v>
                </c:pt>
                <c:pt idx="5">
                  <c:v>397</c:v>
                </c:pt>
                <c:pt idx="9">
                  <c:v>3</c:v>
                </c:pt>
                <c:pt idx="10">
                  <c:v>5</c:v>
                </c:pt>
                <c:pt idx="12">
                  <c:v>2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5-4528-A95C-E25E5D505D78}"/>
            </c:ext>
          </c:extLst>
        </c:ser>
        <c:ser>
          <c:idx val="3"/>
          <c:order val="3"/>
          <c:tx>
            <c:strRef>
              <c:f>Leiner!$I$142</c:f>
              <c:strCache>
                <c:ptCount val="1"/>
                <c:pt idx="0">
                  <c:v>1998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Leiner!$I$144:$I$164</c:f>
              <c:numCache>
                <c:formatCode>General</c:formatCode>
                <c:ptCount val="21"/>
                <c:pt idx="7">
                  <c:v>21</c:v>
                </c:pt>
                <c:pt idx="8">
                  <c:v>234</c:v>
                </c:pt>
                <c:pt idx="10">
                  <c:v>17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5-4528-A95C-E25E5D505D78}"/>
            </c:ext>
          </c:extLst>
        </c:ser>
        <c:ser>
          <c:idx val="5"/>
          <c:order val="4"/>
          <c:tx>
            <c:strRef>
              <c:f>Leiner!$J$142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Leiner!$J$144:$J$164</c:f>
              <c:numCache>
                <c:formatCode>General</c:formatCode>
                <c:ptCount val="21"/>
                <c:pt idx="4">
                  <c:v>102</c:v>
                </c:pt>
                <c:pt idx="7">
                  <c:v>472</c:v>
                </c:pt>
                <c:pt idx="8">
                  <c:v>170</c:v>
                </c:pt>
                <c:pt idx="9">
                  <c:v>229</c:v>
                </c:pt>
                <c:pt idx="10">
                  <c:v>50</c:v>
                </c:pt>
                <c:pt idx="12">
                  <c:v>22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F5-4528-A95C-E25E5D505D78}"/>
            </c:ext>
          </c:extLst>
        </c:ser>
        <c:ser>
          <c:idx val="6"/>
          <c:order val="5"/>
          <c:tx>
            <c:strRef>
              <c:f>Leiner!$L$142</c:f>
              <c:strCache>
                <c:ptCount val="1"/>
                <c:pt idx="0">
                  <c:v>2001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Leiner!$L$144:$L$164</c:f>
              <c:numCache>
                <c:formatCode>General</c:formatCode>
                <c:ptCount val="21"/>
                <c:pt idx="4">
                  <c:v>49</c:v>
                </c:pt>
                <c:pt idx="7">
                  <c:v>351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5-4528-A95C-E25E5D505D78}"/>
            </c:ext>
          </c:extLst>
        </c:ser>
        <c:ser>
          <c:idx val="7"/>
          <c:order val="6"/>
          <c:tx>
            <c:strRef>
              <c:f>Leiner!$M$142</c:f>
              <c:strCache>
                <c:ptCount val="1"/>
                <c:pt idx="0">
                  <c:v>2002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Leiner!$M$144:$M$164</c:f>
              <c:numCache>
                <c:formatCode>General</c:formatCode>
                <c:ptCount val="21"/>
                <c:pt idx="4">
                  <c:v>601</c:v>
                </c:pt>
                <c:pt idx="5">
                  <c:v>864</c:v>
                </c:pt>
                <c:pt idx="8">
                  <c:v>44</c:v>
                </c:pt>
                <c:pt idx="11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F5-4528-A95C-E25E5D505D78}"/>
            </c:ext>
          </c:extLst>
        </c:ser>
        <c:ser>
          <c:idx val="8"/>
          <c:order val="7"/>
          <c:tx>
            <c:strRef>
              <c:f>Leiner!$N$142</c:f>
              <c:strCache>
                <c:ptCount val="1"/>
                <c:pt idx="0">
                  <c:v>2003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Leiner!$N$144:$N$164</c:f>
              <c:numCache>
                <c:formatCode>General</c:formatCode>
                <c:ptCount val="21"/>
                <c:pt idx="2">
                  <c:v>162</c:v>
                </c:pt>
                <c:pt idx="4">
                  <c:v>242</c:v>
                </c:pt>
                <c:pt idx="7">
                  <c:v>350</c:v>
                </c:pt>
                <c:pt idx="11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F5-4528-A95C-E25E5D505D78}"/>
            </c:ext>
          </c:extLst>
        </c:ser>
        <c:ser>
          <c:idx val="9"/>
          <c:order val="8"/>
          <c:tx>
            <c:strRef>
              <c:f>Leiner!$O$142</c:f>
              <c:strCache>
                <c:ptCount val="1"/>
                <c:pt idx="0">
                  <c:v>2004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Leiner!$O$144:$O$164</c:f>
              <c:numCache>
                <c:formatCode>General</c:formatCode>
                <c:ptCount val="21"/>
                <c:pt idx="5">
                  <c:v>531</c:v>
                </c:pt>
                <c:pt idx="7">
                  <c:v>478</c:v>
                </c:pt>
                <c:pt idx="9">
                  <c:v>124</c:v>
                </c:pt>
                <c:pt idx="11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F5-4528-A95C-E25E5D505D78}"/>
            </c:ext>
          </c:extLst>
        </c:ser>
        <c:ser>
          <c:idx val="10"/>
          <c:order val="9"/>
          <c:tx>
            <c:strRef>
              <c:f>Leiner!$P$142</c:f>
              <c:strCache>
                <c:ptCount val="1"/>
                <c:pt idx="0">
                  <c:v>2005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Leiner!$P$144:$P$164</c:f>
              <c:numCache>
                <c:formatCode>General</c:formatCode>
                <c:ptCount val="21"/>
                <c:pt idx="5">
                  <c:v>3</c:v>
                </c:pt>
                <c:pt idx="8">
                  <c:v>292</c:v>
                </c:pt>
                <c:pt idx="10">
                  <c:v>4</c:v>
                </c:pt>
                <c:pt idx="14">
                  <c:v>0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F5-4528-A95C-E25E5D505D78}"/>
            </c:ext>
          </c:extLst>
        </c:ser>
        <c:ser>
          <c:idx val="11"/>
          <c:order val="10"/>
          <c:tx>
            <c:strRef>
              <c:f>Leiner!$Q$142</c:f>
              <c:strCache>
                <c:ptCount val="1"/>
                <c:pt idx="0">
                  <c:v>2006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Leiner!$Q$144:$Q$164</c:f>
              <c:numCache>
                <c:formatCode>General</c:formatCode>
                <c:ptCount val="21"/>
                <c:pt idx="5">
                  <c:v>82</c:v>
                </c:pt>
                <c:pt idx="6">
                  <c:v>116</c:v>
                </c:pt>
                <c:pt idx="7">
                  <c:v>77</c:v>
                </c:pt>
                <c:pt idx="8">
                  <c:v>25</c:v>
                </c:pt>
                <c:pt idx="9">
                  <c:v>35</c:v>
                </c:pt>
                <c:pt idx="10">
                  <c:v>20</c:v>
                </c:pt>
                <c:pt idx="11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F5-4528-A95C-E25E5D505D78}"/>
            </c:ext>
          </c:extLst>
        </c:ser>
        <c:ser>
          <c:idx val="12"/>
          <c:order val="11"/>
          <c:tx>
            <c:strRef>
              <c:f>Leiner!$R$142</c:f>
              <c:strCache>
                <c:ptCount val="1"/>
                <c:pt idx="0">
                  <c:v>2007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Leiner!$R$144:$R$164</c:f>
              <c:numCache>
                <c:formatCode>General</c:formatCode>
                <c:ptCount val="21"/>
                <c:pt idx="2">
                  <c:v>36</c:v>
                </c:pt>
                <c:pt idx="6">
                  <c:v>149</c:v>
                </c:pt>
                <c:pt idx="8">
                  <c:v>13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F5-4528-A95C-E25E5D505D78}"/>
            </c:ext>
          </c:extLst>
        </c:ser>
        <c:ser>
          <c:idx val="13"/>
          <c:order val="12"/>
          <c:tx>
            <c:strRef>
              <c:f>Leiner!$S$142</c:f>
              <c:strCache>
                <c:ptCount val="1"/>
                <c:pt idx="0">
                  <c:v>2008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Leiner!$S$144:$S$165</c:f>
              <c:numCache>
                <c:formatCode>General</c:formatCode>
                <c:ptCount val="22"/>
                <c:pt idx="3">
                  <c:v>61</c:v>
                </c:pt>
                <c:pt idx="6">
                  <c:v>123</c:v>
                </c:pt>
                <c:pt idx="7">
                  <c:v>199</c:v>
                </c:pt>
                <c:pt idx="9">
                  <c:v>29</c:v>
                </c:pt>
                <c:pt idx="10">
                  <c:v>12</c:v>
                </c:pt>
                <c:pt idx="14">
                  <c:v>0</c:v>
                </c:pt>
                <c:pt idx="21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F5-4528-A95C-E25E5D505D78}"/>
            </c:ext>
          </c:extLst>
        </c:ser>
        <c:ser>
          <c:idx val="14"/>
          <c:order val="13"/>
          <c:tx>
            <c:strRef>
              <c:f>Leiner!$T$142</c:f>
              <c:strCache>
                <c:ptCount val="1"/>
                <c:pt idx="0">
                  <c:v>2009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Leiner!$T$144:$T$164</c:f>
              <c:numCache>
                <c:formatCode>General</c:formatCode>
                <c:ptCount val="21"/>
                <c:pt idx="4">
                  <c:v>324</c:v>
                </c:pt>
                <c:pt idx="6">
                  <c:v>457</c:v>
                </c:pt>
                <c:pt idx="7">
                  <c:v>330</c:v>
                </c:pt>
                <c:pt idx="10">
                  <c:v>43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F5-4528-A95C-E25E5D505D78}"/>
            </c:ext>
          </c:extLst>
        </c:ser>
        <c:ser>
          <c:idx val="15"/>
          <c:order val="14"/>
          <c:tx>
            <c:strRef>
              <c:f>Leiner!$U$142</c:f>
              <c:strCache>
                <c:ptCount val="1"/>
                <c:pt idx="0">
                  <c:v>2010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Leiner!$U$144:$U$164</c:f>
              <c:numCache>
                <c:formatCode>General</c:formatCode>
                <c:ptCount val="21"/>
                <c:pt idx="4">
                  <c:v>10</c:v>
                </c:pt>
                <c:pt idx="6">
                  <c:v>264</c:v>
                </c:pt>
                <c:pt idx="7">
                  <c:v>197</c:v>
                </c:pt>
                <c:pt idx="8">
                  <c:v>170</c:v>
                </c:pt>
                <c:pt idx="9">
                  <c:v>17</c:v>
                </c:pt>
                <c:pt idx="11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F5-4528-A95C-E25E5D505D78}"/>
            </c:ext>
          </c:extLst>
        </c:ser>
        <c:ser>
          <c:idx val="16"/>
          <c:order val="15"/>
          <c:tx>
            <c:strRef>
              <c:f>Leiner!$V$142</c:f>
              <c:strCache>
                <c:ptCount val="1"/>
                <c:pt idx="0">
                  <c:v>2011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cat>
            <c:numRef>
              <c:f>Leiner!$E$144:$E$164</c:f>
              <c:numCache>
                <c:formatCode>General</c:formatCode>
                <c:ptCount val="21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</c:numCache>
            </c:numRef>
          </c:cat>
          <c:val>
            <c:numRef>
              <c:f>Leiner!$V$144:$V$164</c:f>
              <c:numCache>
                <c:formatCode>General</c:formatCode>
                <c:ptCount val="21"/>
                <c:pt idx="4">
                  <c:v>51</c:v>
                </c:pt>
                <c:pt idx="5">
                  <c:v>276</c:v>
                </c:pt>
                <c:pt idx="6">
                  <c:v>258</c:v>
                </c:pt>
                <c:pt idx="7">
                  <c:v>200</c:v>
                </c:pt>
                <c:pt idx="8">
                  <c:v>126</c:v>
                </c:pt>
                <c:pt idx="9">
                  <c:v>14</c:v>
                </c:pt>
                <c:pt idx="11">
                  <c:v>1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F5-4528-A95C-E25E5D505D78}"/>
            </c:ext>
          </c:extLst>
        </c:ser>
        <c:ser>
          <c:idx val="4"/>
          <c:order val="16"/>
          <c:tx>
            <c:strRef>
              <c:f>Leiner!$K$142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val>
            <c:numRef>
              <c:f>Leiner!$K$144:$K$164</c:f>
              <c:numCache>
                <c:formatCode>General</c:formatCode>
                <c:ptCount val="21"/>
                <c:pt idx="5">
                  <c:v>61</c:v>
                </c:pt>
                <c:pt idx="8">
                  <c:v>73</c:v>
                </c:pt>
                <c:pt idx="11">
                  <c:v>7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F5-4528-A95C-E25E5D50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9040"/>
        <c:axId val="52232960"/>
      </c:lineChart>
      <c:catAx>
        <c:axId val="515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Survey date</a:t>
                </a:r>
              </a:p>
            </c:rich>
          </c:tx>
          <c:layout>
            <c:manualLayout>
              <c:xMode val="edge"/>
              <c:yMode val="edge"/>
              <c:x val="0.46707862604131006"/>
              <c:y val="0.917620137299771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232960"/>
        <c:crosses val="autoZero"/>
        <c:auto val="1"/>
        <c:lblAlgn val="ctr"/>
        <c:lblOffset val="100"/>
        <c:noMultiLvlLbl val="0"/>
      </c:catAx>
      <c:valAx>
        <c:axId val="5223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Count of CN</a:t>
                </a:r>
              </a:p>
            </c:rich>
          </c:tx>
          <c:layout>
            <c:manualLayout>
              <c:xMode val="edge"/>
              <c:yMode val="edge"/>
              <c:x val="1.6460946334277384E-2"/>
              <c:y val="0.356979405034324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59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798450094923901"/>
          <c:y val="8.6956521739130432E-2"/>
          <c:w val="6.2757357899432487E-2"/>
          <c:h val="0.718535469107551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Leiner!$F$168</c:f>
              <c:strCache>
                <c:ptCount val="1"/>
                <c:pt idx="0">
                  <c:v>1995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Leiner!$F$169:$F$190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0.1388888888888889</c:v>
                </c:pt>
                <c:pt idx="7">
                  <c:v>0</c:v>
                </c:pt>
                <c:pt idx="8">
                  <c:v>0.77083333333333337</c:v>
                </c:pt>
                <c:pt idx="9">
                  <c:v>0</c:v>
                </c:pt>
                <c:pt idx="10">
                  <c:v>8.6805555555555552E-2</c:v>
                </c:pt>
                <c:pt idx="11">
                  <c:v>0</c:v>
                </c:pt>
                <c:pt idx="12">
                  <c:v>3.472222222222222E-3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D-490F-9ABE-7542C8532B50}"/>
            </c:ext>
          </c:extLst>
        </c:ser>
        <c:ser>
          <c:idx val="1"/>
          <c:order val="1"/>
          <c:tx>
            <c:strRef>
              <c:f>Leiner!$G$168</c:f>
              <c:strCache>
                <c:ptCount val="1"/>
                <c:pt idx="0">
                  <c:v>1996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Leiner!$G$169:$G$190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1.2949640287769784E-2</c:v>
                </c:pt>
                <c:pt idx="5">
                  <c:v>0</c:v>
                </c:pt>
                <c:pt idx="6">
                  <c:v>0.30071942446043165</c:v>
                </c:pt>
                <c:pt idx="7">
                  <c:v>0.22877697841726619</c:v>
                </c:pt>
                <c:pt idx="8">
                  <c:v>0.21582733812949639</c:v>
                </c:pt>
                <c:pt idx="9">
                  <c:v>0.14676258992805755</c:v>
                </c:pt>
                <c:pt idx="10">
                  <c:v>0</c:v>
                </c:pt>
                <c:pt idx="11">
                  <c:v>3.5971223021582732E-2</c:v>
                </c:pt>
                <c:pt idx="12">
                  <c:v>2.8776978417266189E-2</c:v>
                </c:pt>
                <c:pt idx="13">
                  <c:v>1.9424460431654675E-2</c:v>
                </c:pt>
                <c:pt idx="14">
                  <c:v>0</c:v>
                </c:pt>
                <c:pt idx="15">
                  <c:v>1.0791366906474821E-2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D-490F-9ABE-7542C8532B50}"/>
            </c:ext>
          </c:extLst>
        </c:ser>
        <c:ser>
          <c:idx val="2"/>
          <c:order val="2"/>
          <c:tx>
            <c:strRef>
              <c:f>Leiner!$H$168</c:f>
              <c:strCache>
                <c:ptCount val="1"/>
                <c:pt idx="0">
                  <c:v>1997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Leiner!$H$169:$H$190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0.14853556485355648</c:v>
                </c:pt>
                <c:pt idx="5">
                  <c:v>0</c:v>
                </c:pt>
                <c:pt idx="6">
                  <c:v>0.83054393305439334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6.2761506276150627E-3</c:v>
                </c:pt>
                <c:pt idx="11">
                  <c:v>1.0460251046025104E-2</c:v>
                </c:pt>
                <c:pt idx="12">
                  <c:v>0</c:v>
                </c:pt>
                <c:pt idx="13">
                  <c:v>4.1841004184100415E-3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D-490F-9ABE-7542C8532B50}"/>
            </c:ext>
          </c:extLst>
        </c:ser>
        <c:ser>
          <c:idx val="3"/>
          <c:order val="3"/>
          <c:tx>
            <c:strRef>
              <c:f>Leiner!$I$168</c:f>
              <c:strCache>
                <c:ptCount val="1"/>
                <c:pt idx="0">
                  <c:v>1998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Leiner!$I$169:$I$190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7.636363636363637E-2</c:v>
                </c:pt>
                <c:pt idx="9">
                  <c:v>0.85090909090909095</c:v>
                </c:pt>
                <c:pt idx="10">
                  <c:v>0</c:v>
                </c:pt>
                <c:pt idx="11">
                  <c:v>6.1818181818181821E-2</c:v>
                </c:pt>
                <c:pt idx="12">
                  <c:v>0</c:v>
                </c:pt>
                <c:pt idx="13">
                  <c:v>0</c:v>
                </c:pt>
                <c:pt idx="14">
                  <c:v>1.090909090909091E-2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D-490F-9ABE-7542C8532B50}"/>
            </c:ext>
          </c:extLst>
        </c:ser>
        <c:ser>
          <c:idx val="4"/>
          <c:order val="4"/>
          <c:tx>
            <c:strRef>
              <c:f>Leiner!$J$168</c:f>
              <c:strCache>
                <c:ptCount val="1"/>
                <c:pt idx="0">
                  <c:v>1999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Leiner!$J$169:$J$190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9.7421203438395415E-2</c:v>
                </c:pt>
                <c:pt idx="6">
                  <c:v>0</c:v>
                </c:pt>
                <c:pt idx="7">
                  <c:v>0</c:v>
                </c:pt>
                <c:pt idx="8">
                  <c:v>0.45081184336198665</c:v>
                </c:pt>
                <c:pt idx="9">
                  <c:v>0.16236867239732569</c:v>
                </c:pt>
                <c:pt idx="10">
                  <c:v>0.21872015281757401</c:v>
                </c:pt>
                <c:pt idx="11">
                  <c:v>4.775549188156638E-2</c:v>
                </c:pt>
                <c:pt idx="12">
                  <c:v>0</c:v>
                </c:pt>
                <c:pt idx="13">
                  <c:v>2.1012416427889206E-2</c:v>
                </c:pt>
                <c:pt idx="14">
                  <c:v>0</c:v>
                </c:pt>
                <c:pt idx="15">
                  <c:v>0</c:v>
                </c:pt>
                <c:pt idx="16">
                  <c:v>1.9102196752626551E-3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D-490F-9ABE-7542C8532B50}"/>
            </c:ext>
          </c:extLst>
        </c:ser>
        <c:ser>
          <c:idx val="5"/>
          <c:order val="5"/>
          <c:tx>
            <c:strRef>
              <c:f>Leiner!$K$168</c:f>
              <c:strCache>
                <c:ptCount val="1"/>
                <c:pt idx="0">
                  <c:v>2000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Leiner!$K$169:$K$190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0.42957746478873238</c:v>
                </c:pt>
                <c:pt idx="7">
                  <c:v>0</c:v>
                </c:pt>
                <c:pt idx="8">
                  <c:v>0</c:v>
                </c:pt>
                <c:pt idx="9">
                  <c:v>0.5140845070422535</c:v>
                </c:pt>
                <c:pt idx="10">
                  <c:v>0</c:v>
                </c:pt>
                <c:pt idx="11">
                  <c:v>0</c:v>
                </c:pt>
                <c:pt idx="12">
                  <c:v>4.9295774647887321E-2</c:v>
                </c:pt>
                <c:pt idx="13">
                  <c:v>0</c:v>
                </c:pt>
                <c:pt idx="14">
                  <c:v>7.0422535211267607E-3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D-490F-9ABE-7542C8532B50}"/>
            </c:ext>
          </c:extLst>
        </c:ser>
        <c:ser>
          <c:idx val="6"/>
          <c:order val="6"/>
          <c:tx>
            <c:strRef>
              <c:f>Leiner!$L$168</c:f>
              <c:strCache>
                <c:ptCount val="1"/>
                <c:pt idx="0">
                  <c:v>2001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Leiner!$L$169:$L$190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0.12189054726368159</c:v>
                </c:pt>
                <c:pt idx="6">
                  <c:v>0</c:v>
                </c:pt>
                <c:pt idx="7">
                  <c:v>0</c:v>
                </c:pt>
                <c:pt idx="8">
                  <c:v>0.87313432835820892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4.9751243781094526E-3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D-490F-9ABE-7542C8532B50}"/>
            </c:ext>
          </c:extLst>
        </c:ser>
        <c:ser>
          <c:idx val="7"/>
          <c:order val="7"/>
          <c:tx>
            <c:strRef>
              <c:f>Leiner!$M$168</c:f>
              <c:strCache>
                <c:ptCount val="1"/>
                <c:pt idx="0">
                  <c:v>2002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Leiner!$M$169:$M$190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0.39774983454665785</c:v>
                </c:pt>
                <c:pt idx="6">
                  <c:v>0.57180675049635998</c:v>
                </c:pt>
                <c:pt idx="7">
                  <c:v>0</c:v>
                </c:pt>
                <c:pt idx="8">
                  <c:v>0</c:v>
                </c:pt>
                <c:pt idx="9">
                  <c:v>2.911978821972204E-2</c:v>
                </c:pt>
                <c:pt idx="10">
                  <c:v>0</c:v>
                </c:pt>
                <c:pt idx="11">
                  <c:v>0</c:v>
                </c:pt>
                <c:pt idx="12">
                  <c:v>1.3236267372600927E-3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D-490F-9ABE-7542C8532B50}"/>
            </c:ext>
          </c:extLst>
        </c:ser>
        <c:ser>
          <c:idx val="8"/>
          <c:order val="8"/>
          <c:tx>
            <c:strRef>
              <c:f>Leiner!$N$168</c:f>
              <c:strCache>
                <c:ptCount val="1"/>
                <c:pt idx="0">
                  <c:v>2003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Leiner!$N$169:$N$190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0.21372031662269128</c:v>
                </c:pt>
                <c:pt idx="4">
                  <c:v>0</c:v>
                </c:pt>
                <c:pt idx="5">
                  <c:v>0.31926121372031663</c:v>
                </c:pt>
                <c:pt idx="6">
                  <c:v>0</c:v>
                </c:pt>
                <c:pt idx="7">
                  <c:v>0</c:v>
                </c:pt>
                <c:pt idx="8">
                  <c:v>0.46174142480211083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5.2770448548812663E-3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8D-490F-9ABE-7542C8532B50}"/>
            </c:ext>
          </c:extLst>
        </c:ser>
        <c:ser>
          <c:idx val="9"/>
          <c:order val="9"/>
          <c:tx>
            <c:strRef>
              <c:f>Leiner!$O$168</c:f>
              <c:strCache>
                <c:ptCount val="1"/>
                <c:pt idx="0">
                  <c:v>2004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Leiner!$O$169:$O$190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0.46701846965699206</c:v>
                </c:pt>
                <c:pt idx="7">
                  <c:v>0</c:v>
                </c:pt>
                <c:pt idx="8">
                  <c:v>0.42040457343887422</c:v>
                </c:pt>
                <c:pt idx="9">
                  <c:v>0</c:v>
                </c:pt>
                <c:pt idx="10">
                  <c:v>0.1090589270008795</c:v>
                </c:pt>
                <c:pt idx="11">
                  <c:v>0</c:v>
                </c:pt>
                <c:pt idx="12">
                  <c:v>3.5180299032541778E-3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8D-490F-9ABE-7542C8532B50}"/>
            </c:ext>
          </c:extLst>
        </c:ser>
        <c:ser>
          <c:idx val="10"/>
          <c:order val="10"/>
          <c:tx>
            <c:strRef>
              <c:f>Leiner!$P$168</c:f>
              <c:strCache>
                <c:ptCount val="1"/>
                <c:pt idx="0">
                  <c:v>2005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Leiner!$P$169:$P$190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9.9667774086378731E-3</c:v>
                </c:pt>
                <c:pt idx="7">
                  <c:v>0</c:v>
                </c:pt>
                <c:pt idx="8">
                  <c:v>0</c:v>
                </c:pt>
                <c:pt idx="9">
                  <c:v>0.9700996677740864</c:v>
                </c:pt>
                <c:pt idx="10">
                  <c:v>0</c:v>
                </c:pt>
                <c:pt idx="11">
                  <c:v>1.3289036544850499E-2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6.6445182724252493E-3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8D-490F-9ABE-7542C8532B50}"/>
            </c:ext>
          </c:extLst>
        </c:ser>
        <c:ser>
          <c:idx val="11"/>
          <c:order val="11"/>
          <c:tx>
            <c:strRef>
              <c:f>Leiner!$Q$168</c:f>
              <c:strCache>
                <c:ptCount val="1"/>
                <c:pt idx="0">
                  <c:v>2006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Leiner!$Q$169:$Q$190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0.22714681440443213</c:v>
                </c:pt>
                <c:pt idx="7">
                  <c:v>0.32132963988919666</c:v>
                </c:pt>
                <c:pt idx="8">
                  <c:v>0.21329639889196675</c:v>
                </c:pt>
                <c:pt idx="9">
                  <c:v>6.9252077562326875E-2</c:v>
                </c:pt>
                <c:pt idx="10">
                  <c:v>9.6952908587257622E-2</c:v>
                </c:pt>
                <c:pt idx="11">
                  <c:v>5.5401662049861494E-2</c:v>
                </c:pt>
                <c:pt idx="12">
                  <c:v>1.3850415512465374E-2</c:v>
                </c:pt>
                <c:pt idx="13">
                  <c:v>0</c:v>
                </c:pt>
                <c:pt idx="14">
                  <c:v>2.7700831024930748E-3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8D-490F-9ABE-7542C8532B50}"/>
            </c:ext>
          </c:extLst>
        </c:ser>
        <c:ser>
          <c:idx val="12"/>
          <c:order val="12"/>
          <c:tx>
            <c:strRef>
              <c:f>Leiner!$R$168</c:f>
              <c:strCache>
                <c:ptCount val="1"/>
                <c:pt idx="0">
                  <c:v>2007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Leiner!$R$169:$R$190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0.16901408450704225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0.69953051643192488</c:v>
                </c:pt>
                <c:pt idx="8">
                  <c:v>0</c:v>
                </c:pt>
                <c:pt idx="9">
                  <c:v>6.1032863849765258E-2</c:v>
                </c:pt>
                <c:pt idx="10">
                  <c:v>4.6948356807511735E-2</c:v>
                </c:pt>
                <c:pt idx="11">
                  <c:v>2.3474178403755867E-2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8D-490F-9ABE-7542C8532B50}"/>
            </c:ext>
          </c:extLst>
        </c:ser>
        <c:ser>
          <c:idx val="13"/>
          <c:order val="13"/>
          <c:tx>
            <c:strRef>
              <c:f>Leiner!$S$168</c:f>
              <c:strCache>
                <c:ptCount val="1"/>
                <c:pt idx="0">
                  <c:v>2008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Leiner!$S$169:$S$190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0.14386792452830188</c:v>
                </c:pt>
                <c:pt idx="5">
                  <c:v>0</c:v>
                </c:pt>
                <c:pt idx="6">
                  <c:v>0</c:v>
                </c:pt>
                <c:pt idx="7">
                  <c:v>0.29009433962264153</c:v>
                </c:pt>
                <c:pt idx="8">
                  <c:v>0.46933962264150941</c:v>
                </c:pt>
                <c:pt idx="9">
                  <c:v>0</c:v>
                </c:pt>
                <c:pt idx="10">
                  <c:v>6.8396226415094338E-2</c:v>
                </c:pt>
                <c:pt idx="11">
                  <c:v>2.8301886792452831E-2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8D-490F-9ABE-7542C8532B50}"/>
            </c:ext>
          </c:extLst>
        </c:ser>
        <c:ser>
          <c:idx val="14"/>
          <c:order val="14"/>
          <c:tx>
            <c:strRef>
              <c:f>Leiner!$T$168</c:f>
              <c:strCache>
                <c:ptCount val="1"/>
                <c:pt idx="0">
                  <c:v>2009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Leiner!$T$169:$T$190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0.28027681660899656</c:v>
                </c:pt>
                <c:pt idx="6">
                  <c:v>0</c:v>
                </c:pt>
                <c:pt idx="7">
                  <c:v>0.3953287197231834</c:v>
                </c:pt>
                <c:pt idx="8">
                  <c:v>0.28546712802768165</c:v>
                </c:pt>
                <c:pt idx="9">
                  <c:v>0</c:v>
                </c:pt>
                <c:pt idx="10">
                  <c:v>0</c:v>
                </c:pt>
                <c:pt idx="11">
                  <c:v>3.7197231833910036E-2</c:v>
                </c:pt>
                <c:pt idx="12">
                  <c:v>1.7301038062283738E-3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8D-490F-9ABE-7542C8532B50}"/>
            </c:ext>
          </c:extLst>
        </c:ser>
        <c:ser>
          <c:idx val="15"/>
          <c:order val="15"/>
          <c:tx>
            <c:strRef>
              <c:f>Leiner!$U$168</c:f>
              <c:strCache>
                <c:ptCount val="1"/>
                <c:pt idx="0">
                  <c:v>2010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Leiner!$U$169:$U$190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1.5151515151515152E-2</c:v>
                </c:pt>
                <c:pt idx="6">
                  <c:v>0</c:v>
                </c:pt>
                <c:pt idx="7">
                  <c:v>0.4</c:v>
                </c:pt>
                <c:pt idx="8">
                  <c:v>0.29848484848484846</c:v>
                </c:pt>
                <c:pt idx="9">
                  <c:v>0.25757575757575757</c:v>
                </c:pt>
                <c:pt idx="10">
                  <c:v>2.5757575757575757E-2</c:v>
                </c:pt>
                <c:pt idx="11">
                  <c:v>0</c:v>
                </c:pt>
                <c:pt idx="12">
                  <c:v>3.0303030303030303E-3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8D-490F-9ABE-7542C8532B50}"/>
            </c:ext>
          </c:extLst>
        </c:ser>
        <c:ser>
          <c:idx val="16"/>
          <c:order val="16"/>
          <c:tx>
            <c:strRef>
              <c:f>Leiner!$V$168</c:f>
              <c:strCache>
                <c:ptCount val="1"/>
                <c:pt idx="0">
                  <c:v>2011</c:v>
                </c:pt>
              </c:strCache>
            </c:strRef>
          </c:tx>
          <c:cat>
            <c:numRef>
              <c:f>Leiner!$E$169:$E$190</c:f>
              <c:numCache>
                <c:formatCode>General</c:formatCod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numCache>
            </c:numRef>
          </c:cat>
          <c:val>
            <c:numRef>
              <c:f>Leiner!$V$169:$V$190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5.4897739504843918E-2</c:v>
                </c:pt>
                <c:pt idx="6">
                  <c:v>0.29709364908503766</c:v>
                </c:pt>
                <c:pt idx="7">
                  <c:v>0.27771797631862216</c:v>
                </c:pt>
                <c:pt idx="8">
                  <c:v>0.21528525296017223</c:v>
                </c:pt>
                <c:pt idx="9">
                  <c:v>0.13562970936490851</c:v>
                </c:pt>
                <c:pt idx="10">
                  <c:v>1.5069967707212056E-2</c:v>
                </c:pt>
                <c:pt idx="11">
                  <c:v>0</c:v>
                </c:pt>
                <c:pt idx="12">
                  <c:v>1.076426264800861E-3</c:v>
                </c:pt>
                <c:pt idx="13">
                  <c:v>0</c:v>
                </c:pt>
                <c:pt idx="14">
                  <c:v>0</c:v>
                </c:pt>
                <c:pt idx="15">
                  <c:v>3.2292787944025836E-3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8D-490F-9ABE-7542C853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2688"/>
        <c:axId val="52732672"/>
      </c:lineChart>
      <c:catAx>
        <c:axId val="527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732672"/>
        <c:crosses val="autoZero"/>
        <c:auto val="1"/>
        <c:lblAlgn val="ctr"/>
        <c:lblOffset val="100"/>
        <c:noMultiLvlLbl val="0"/>
      </c:catAx>
      <c:valAx>
        <c:axId val="527326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722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458682248052337"/>
          <c:y val="0.14180498155962548"/>
          <c:w val="6.6115693871599435E-2"/>
          <c:h val="0.71455015636857544"/>
        </c:manualLayout>
      </c:layout>
      <c:overlay val="0"/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Leiner!$F$194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Leiner!$F$195:$F$216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0.1388888888888889</c:v>
                </c:pt>
                <c:pt idx="7">
                  <c:v>0.1388888888888889</c:v>
                </c:pt>
                <c:pt idx="8">
                  <c:v>0.90972222222222232</c:v>
                </c:pt>
                <c:pt idx="9">
                  <c:v>0.90972222222222232</c:v>
                </c:pt>
                <c:pt idx="10">
                  <c:v>0.9965277777777779</c:v>
                </c:pt>
                <c:pt idx="11">
                  <c:v>0.9965277777777779</c:v>
                </c:pt>
                <c:pt idx="12">
                  <c:v>1.0000000000000002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1.0000000000000002</c:v>
                </c:pt>
                <c:pt idx="18">
                  <c:v>1.0000000000000002</c:v>
                </c:pt>
                <c:pt idx="19">
                  <c:v>1.0000000000000002</c:v>
                </c:pt>
                <c:pt idx="20">
                  <c:v>1.0000000000000002</c:v>
                </c:pt>
                <c:pt idx="21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6-4635-AED1-8B784EBCDF8F}"/>
            </c:ext>
          </c:extLst>
        </c:ser>
        <c:ser>
          <c:idx val="1"/>
          <c:order val="1"/>
          <c:tx>
            <c:strRef>
              <c:f>Leiner!$G$194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Leiner!$G$195:$G$216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1.2949640287769784E-2</c:v>
                </c:pt>
                <c:pt idx="5">
                  <c:v>1.2949640287769784E-2</c:v>
                </c:pt>
                <c:pt idx="6">
                  <c:v>0.31366906474820144</c:v>
                </c:pt>
                <c:pt idx="7">
                  <c:v>0.54244604316546763</c:v>
                </c:pt>
                <c:pt idx="8">
                  <c:v>0.75827338129496402</c:v>
                </c:pt>
                <c:pt idx="9">
                  <c:v>0.9050359712230216</c:v>
                </c:pt>
                <c:pt idx="10">
                  <c:v>0.9050359712230216</c:v>
                </c:pt>
                <c:pt idx="11">
                  <c:v>0.94100719424460433</c:v>
                </c:pt>
                <c:pt idx="12">
                  <c:v>0.96978417266187056</c:v>
                </c:pt>
                <c:pt idx="13">
                  <c:v>0.98920863309352525</c:v>
                </c:pt>
                <c:pt idx="14">
                  <c:v>0.98920863309352525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6-4635-AED1-8B784EBCDF8F}"/>
            </c:ext>
          </c:extLst>
        </c:ser>
        <c:ser>
          <c:idx val="2"/>
          <c:order val="2"/>
          <c:tx>
            <c:strRef>
              <c:f>Leiner!$H$194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Leiner!$H$195:$H$216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0.14853556485355648</c:v>
                </c:pt>
                <c:pt idx="5">
                  <c:v>0.14853556485355648</c:v>
                </c:pt>
                <c:pt idx="6">
                  <c:v>0.97907949790794979</c:v>
                </c:pt>
                <c:pt idx="7">
                  <c:v>0.97907949790794979</c:v>
                </c:pt>
                <c:pt idx="8">
                  <c:v>0.97907949790794979</c:v>
                </c:pt>
                <c:pt idx="9">
                  <c:v>0.97907949790794979</c:v>
                </c:pt>
                <c:pt idx="10">
                  <c:v>0.9853556485355649</c:v>
                </c:pt>
                <c:pt idx="11">
                  <c:v>0.99581589958159</c:v>
                </c:pt>
                <c:pt idx="12">
                  <c:v>0.99581589958159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6-4635-AED1-8B784EBCDF8F}"/>
            </c:ext>
          </c:extLst>
        </c:ser>
        <c:ser>
          <c:idx val="3"/>
          <c:order val="3"/>
          <c:tx>
            <c:strRef>
              <c:f>Leiner!$I$194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Leiner!$I$195:$I$216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7.636363636363637E-2</c:v>
                </c:pt>
                <c:pt idx="9">
                  <c:v>0.92727272727272736</c:v>
                </c:pt>
                <c:pt idx="10">
                  <c:v>0.92727272727272736</c:v>
                </c:pt>
                <c:pt idx="11">
                  <c:v>0.98909090909090913</c:v>
                </c:pt>
                <c:pt idx="12">
                  <c:v>0.98909090909090913</c:v>
                </c:pt>
                <c:pt idx="13">
                  <c:v>0.98909090909090913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6-4635-AED1-8B784EBCDF8F}"/>
            </c:ext>
          </c:extLst>
        </c:ser>
        <c:ser>
          <c:idx val="4"/>
          <c:order val="4"/>
          <c:tx>
            <c:strRef>
              <c:f>Leiner!$J$194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Leiner!$J$195:$J$216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9.7421203438395415E-2</c:v>
                </c:pt>
                <c:pt idx="6">
                  <c:v>9.7421203438395415E-2</c:v>
                </c:pt>
                <c:pt idx="7">
                  <c:v>9.7421203438395415E-2</c:v>
                </c:pt>
                <c:pt idx="8">
                  <c:v>0.5482330468003821</c:v>
                </c:pt>
                <c:pt idx="9">
                  <c:v>0.71060171919770776</c:v>
                </c:pt>
                <c:pt idx="10">
                  <c:v>0.92932187201528182</c:v>
                </c:pt>
                <c:pt idx="11">
                  <c:v>0.97707736389684818</c:v>
                </c:pt>
                <c:pt idx="12">
                  <c:v>0.97707736389684818</c:v>
                </c:pt>
                <c:pt idx="13">
                  <c:v>0.99808978032473739</c:v>
                </c:pt>
                <c:pt idx="14">
                  <c:v>0.99808978032473739</c:v>
                </c:pt>
                <c:pt idx="15">
                  <c:v>0.99808978032473739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6-4635-AED1-8B784EBCDF8F}"/>
            </c:ext>
          </c:extLst>
        </c:ser>
        <c:ser>
          <c:idx val="5"/>
          <c:order val="5"/>
          <c:tx>
            <c:strRef>
              <c:f>Leiner!$K$194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Leiner!$K$195:$K$216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0.42957746478873238</c:v>
                </c:pt>
                <c:pt idx="7">
                  <c:v>0.42957746478873238</c:v>
                </c:pt>
                <c:pt idx="8">
                  <c:v>0.42957746478873238</c:v>
                </c:pt>
                <c:pt idx="9">
                  <c:v>0.94366197183098588</c:v>
                </c:pt>
                <c:pt idx="10">
                  <c:v>0.94366197183098588</c:v>
                </c:pt>
                <c:pt idx="11">
                  <c:v>0.94366197183098588</c:v>
                </c:pt>
                <c:pt idx="12">
                  <c:v>0.99295774647887325</c:v>
                </c:pt>
                <c:pt idx="13">
                  <c:v>0.99295774647887325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E6-4635-AED1-8B784EBCDF8F}"/>
            </c:ext>
          </c:extLst>
        </c:ser>
        <c:ser>
          <c:idx val="6"/>
          <c:order val="6"/>
          <c:tx>
            <c:strRef>
              <c:f>Leiner!$L$194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Leiner!$L$195:$L$216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0.12189054726368159</c:v>
                </c:pt>
                <c:pt idx="6">
                  <c:v>0.12189054726368159</c:v>
                </c:pt>
                <c:pt idx="7">
                  <c:v>0.12189054726368159</c:v>
                </c:pt>
                <c:pt idx="8">
                  <c:v>0.99502487562189046</c:v>
                </c:pt>
                <c:pt idx="9">
                  <c:v>0.99502487562189046</c:v>
                </c:pt>
                <c:pt idx="10">
                  <c:v>0.99502487562189046</c:v>
                </c:pt>
                <c:pt idx="11">
                  <c:v>0.99502487562189046</c:v>
                </c:pt>
                <c:pt idx="12">
                  <c:v>0.99502487562189046</c:v>
                </c:pt>
                <c:pt idx="13">
                  <c:v>0.99502487562189046</c:v>
                </c:pt>
                <c:pt idx="14">
                  <c:v>0.99502487562189046</c:v>
                </c:pt>
                <c:pt idx="15">
                  <c:v>0.99502487562189046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  <c:pt idx="20">
                  <c:v>0.99999999999999989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6-4635-AED1-8B784EBCDF8F}"/>
            </c:ext>
          </c:extLst>
        </c:ser>
        <c:ser>
          <c:idx val="7"/>
          <c:order val="7"/>
          <c:tx>
            <c:strRef>
              <c:f>Leiner!$M$194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Leiner!$M$195:$M$216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0.39774983454665785</c:v>
                </c:pt>
                <c:pt idx="6">
                  <c:v>0.96955658504301789</c:v>
                </c:pt>
                <c:pt idx="7">
                  <c:v>0.96955658504301789</c:v>
                </c:pt>
                <c:pt idx="8">
                  <c:v>0.96955658504301789</c:v>
                </c:pt>
                <c:pt idx="9">
                  <c:v>0.99867637326273995</c:v>
                </c:pt>
                <c:pt idx="10">
                  <c:v>0.99867637326273995</c:v>
                </c:pt>
                <c:pt idx="11">
                  <c:v>0.99867637326273995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E6-4635-AED1-8B784EBCDF8F}"/>
            </c:ext>
          </c:extLst>
        </c:ser>
        <c:ser>
          <c:idx val="8"/>
          <c:order val="8"/>
          <c:tx>
            <c:strRef>
              <c:f>Leiner!$N$194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Leiner!$N$195:$N$216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0.21372031662269128</c:v>
                </c:pt>
                <c:pt idx="4">
                  <c:v>0.21372031662269128</c:v>
                </c:pt>
                <c:pt idx="5">
                  <c:v>0.53298153034300788</c:v>
                </c:pt>
                <c:pt idx="6">
                  <c:v>0.53298153034300788</c:v>
                </c:pt>
                <c:pt idx="7">
                  <c:v>0.53298153034300788</c:v>
                </c:pt>
                <c:pt idx="8">
                  <c:v>0.99472295514511866</c:v>
                </c:pt>
                <c:pt idx="9">
                  <c:v>0.99472295514511866</c:v>
                </c:pt>
                <c:pt idx="10">
                  <c:v>0.99472295514511866</c:v>
                </c:pt>
                <c:pt idx="11">
                  <c:v>0.99472295514511866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  <c:pt idx="20">
                  <c:v>0.99999999999999989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E6-4635-AED1-8B784EBCDF8F}"/>
            </c:ext>
          </c:extLst>
        </c:ser>
        <c:ser>
          <c:idx val="9"/>
          <c:order val="9"/>
          <c:tx>
            <c:strRef>
              <c:f>Leiner!$O$194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Leiner!$O$195:$O$216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0.46701846965699206</c:v>
                </c:pt>
                <c:pt idx="7">
                  <c:v>0.46701846965699206</c:v>
                </c:pt>
                <c:pt idx="8">
                  <c:v>0.88742304309586628</c:v>
                </c:pt>
                <c:pt idx="9">
                  <c:v>0.88742304309586628</c:v>
                </c:pt>
                <c:pt idx="10">
                  <c:v>0.99648197009674577</c:v>
                </c:pt>
                <c:pt idx="11">
                  <c:v>0.99648197009674577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E6-4635-AED1-8B784EBCDF8F}"/>
            </c:ext>
          </c:extLst>
        </c:ser>
        <c:ser>
          <c:idx val="10"/>
          <c:order val="10"/>
          <c:tx>
            <c:strRef>
              <c:f>Leiner!$P$194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Leiner!$P$195:$P$216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9.9667774086378731E-3</c:v>
                </c:pt>
                <c:pt idx="7">
                  <c:v>9.9667774086378731E-3</c:v>
                </c:pt>
                <c:pt idx="8">
                  <c:v>9.9667774086378731E-3</c:v>
                </c:pt>
                <c:pt idx="9">
                  <c:v>0.98006644518272423</c:v>
                </c:pt>
                <c:pt idx="10">
                  <c:v>0.98006644518272423</c:v>
                </c:pt>
                <c:pt idx="11">
                  <c:v>0.99335548172757471</c:v>
                </c:pt>
                <c:pt idx="12">
                  <c:v>0.99335548172757471</c:v>
                </c:pt>
                <c:pt idx="13">
                  <c:v>0.99335548172757471</c:v>
                </c:pt>
                <c:pt idx="14">
                  <c:v>0.99335548172757471</c:v>
                </c:pt>
                <c:pt idx="15">
                  <c:v>0.99335548172757471</c:v>
                </c:pt>
                <c:pt idx="16">
                  <c:v>0.99335548172757471</c:v>
                </c:pt>
                <c:pt idx="17">
                  <c:v>0.99335548172757471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E6-4635-AED1-8B784EBCDF8F}"/>
            </c:ext>
          </c:extLst>
        </c:ser>
        <c:ser>
          <c:idx val="11"/>
          <c:order val="11"/>
          <c:tx>
            <c:strRef>
              <c:f>Leiner!$Q$194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Leiner!$Q$195:$Q$216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0.22714681440443213</c:v>
                </c:pt>
                <c:pt idx="7">
                  <c:v>0.54847645429362879</c:v>
                </c:pt>
                <c:pt idx="8">
                  <c:v>0.76177285318559551</c:v>
                </c:pt>
                <c:pt idx="9">
                  <c:v>0.83102493074792239</c:v>
                </c:pt>
                <c:pt idx="10">
                  <c:v>0.92797783933517997</c:v>
                </c:pt>
                <c:pt idx="11">
                  <c:v>0.98337950138504149</c:v>
                </c:pt>
                <c:pt idx="12">
                  <c:v>0.99722991689750684</c:v>
                </c:pt>
                <c:pt idx="13">
                  <c:v>0.99722991689750684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  <c:pt idx="20">
                  <c:v>0.99999999999999989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E6-4635-AED1-8B784EBCDF8F}"/>
            </c:ext>
          </c:extLst>
        </c:ser>
        <c:ser>
          <c:idx val="12"/>
          <c:order val="12"/>
          <c:tx>
            <c:strRef>
              <c:f>Leiner!$R$194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Leiner!$R$195:$R$216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0.16901408450704225</c:v>
                </c:pt>
                <c:pt idx="4">
                  <c:v>0.16901408450704225</c:v>
                </c:pt>
                <c:pt idx="5">
                  <c:v>0.16901408450704225</c:v>
                </c:pt>
                <c:pt idx="6">
                  <c:v>0.16901408450704225</c:v>
                </c:pt>
                <c:pt idx="7">
                  <c:v>0.86854460093896713</c:v>
                </c:pt>
                <c:pt idx="8">
                  <c:v>0.86854460093896713</c:v>
                </c:pt>
                <c:pt idx="9">
                  <c:v>0.92957746478873238</c:v>
                </c:pt>
                <c:pt idx="10">
                  <c:v>0.97652582159624413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E6-4635-AED1-8B784EBCDF8F}"/>
            </c:ext>
          </c:extLst>
        </c:ser>
        <c:ser>
          <c:idx val="13"/>
          <c:order val="13"/>
          <c:tx>
            <c:strRef>
              <c:f>Leiner!$S$194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Leiner!$S$195:$S$216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0.14386792452830188</c:v>
                </c:pt>
                <c:pt idx="5">
                  <c:v>0.14386792452830188</c:v>
                </c:pt>
                <c:pt idx="6">
                  <c:v>0.14386792452830188</c:v>
                </c:pt>
                <c:pt idx="7">
                  <c:v>0.43396226415094341</c:v>
                </c:pt>
                <c:pt idx="8">
                  <c:v>0.90330188679245282</c:v>
                </c:pt>
                <c:pt idx="9">
                  <c:v>0.90330188679245282</c:v>
                </c:pt>
                <c:pt idx="10">
                  <c:v>0.97169811320754718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E6-4635-AED1-8B784EBCDF8F}"/>
            </c:ext>
          </c:extLst>
        </c:ser>
        <c:ser>
          <c:idx val="14"/>
          <c:order val="14"/>
          <c:tx>
            <c:strRef>
              <c:f>Leiner!$T$194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Leiner!$T$195:$T$216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0.28027681660899656</c:v>
                </c:pt>
                <c:pt idx="6">
                  <c:v>0.28027681660899656</c:v>
                </c:pt>
                <c:pt idx="7">
                  <c:v>0.67560553633218001</c:v>
                </c:pt>
                <c:pt idx="8">
                  <c:v>0.96107266435986172</c:v>
                </c:pt>
                <c:pt idx="9">
                  <c:v>0.96107266435986172</c:v>
                </c:pt>
                <c:pt idx="10">
                  <c:v>0.96107266435986172</c:v>
                </c:pt>
                <c:pt idx="11">
                  <c:v>0.99826989619377171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E6-4635-AED1-8B784EBCDF8F}"/>
            </c:ext>
          </c:extLst>
        </c:ser>
        <c:ser>
          <c:idx val="15"/>
          <c:order val="15"/>
          <c:tx>
            <c:strRef>
              <c:f>Leiner!$U$194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Leiner!$U$195:$U$216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1.5151515151515152E-2</c:v>
                </c:pt>
                <c:pt idx="6">
                  <c:v>1.5151515151515152E-2</c:v>
                </c:pt>
                <c:pt idx="7">
                  <c:v>0.41515151515151516</c:v>
                </c:pt>
                <c:pt idx="8">
                  <c:v>0.71363636363636362</c:v>
                </c:pt>
                <c:pt idx="9">
                  <c:v>0.97121212121212119</c:v>
                </c:pt>
                <c:pt idx="10">
                  <c:v>0.99696969696969695</c:v>
                </c:pt>
                <c:pt idx="11">
                  <c:v>0.99696969696969695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E6-4635-AED1-8B784EBCDF8F}"/>
            </c:ext>
          </c:extLst>
        </c:ser>
        <c:ser>
          <c:idx val="16"/>
          <c:order val="16"/>
          <c:tx>
            <c:strRef>
              <c:f>Leiner!$V$194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Leiner!$V$195:$V$216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5.4897739504843918E-2</c:v>
                </c:pt>
                <c:pt idx="6">
                  <c:v>0.35199138858988155</c:v>
                </c:pt>
                <c:pt idx="7">
                  <c:v>0.62970936490850371</c:v>
                </c:pt>
                <c:pt idx="8">
                  <c:v>0.84499461786867591</c:v>
                </c:pt>
                <c:pt idx="9">
                  <c:v>0.98062432723358439</c:v>
                </c:pt>
                <c:pt idx="10">
                  <c:v>0.99569429494079642</c:v>
                </c:pt>
                <c:pt idx="11">
                  <c:v>0.99569429494079642</c:v>
                </c:pt>
                <c:pt idx="12">
                  <c:v>0.99677072120559729</c:v>
                </c:pt>
                <c:pt idx="13">
                  <c:v>0.99677072120559729</c:v>
                </c:pt>
                <c:pt idx="14">
                  <c:v>0.99677072120559729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  <c:pt idx="20">
                  <c:v>0.99999999999999989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E6-4635-AED1-8B784EBC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4176"/>
        <c:axId val="53080064"/>
      </c:lineChart>
      <c:catAx>
        <c:axId val="530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080064"/>
        <c:crosses val="autoZero"/>
        <c:auto val="1"/>
        <c:lblAlgn val="ctr"/>
        <c:lblOffset val="100"/>
        <c:noMultiLvlLbl val="0"/>
      </c:catAx>
      <c:valAx>
        <c:axId val="530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074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759924047570212"/>
          <c:y val="5.3003533568904596E-2"/>
          <c:w val="0.13361168531288303"/>
          <c:h val="0.89046084787104784"/>
        </c:manualLayout>
      </c:layout>
      <c:overlay val="0"/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Leiner!$W$194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strRef>
              <c:f>Leiner!$E$195:$E$216</c:f>
              <c:strCache>
                <c:ptCount val="22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</c:strCache>
            </c:strRef>
          </c:cat>
          <c:val>
            <c:numRef>
              <c:f>Leiner!$W$195:$W$216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2.2513788301749032E-2</c:v>
                </c:pt>
                <c:pt idx="4">
                  <c:v>4.0475737105844803E-2</c:v>
                </c:pt>
                <c:pt idx="5">
                  <c:v>0.11616096476669228</c:v>
                </c:pt>
                <c:pt idx="6">
                  <c:v>0.30867638666339259</c:v>
                </c:pt>
                <c:pt idx="7">
                  <c:v>0.46236922021650051</c:v>
                </c:pt>
                <c:pt idx="8">
                  <c:v>0.74183920426319616</c:v>
                </c:pt>
                <c:pt idx="9">
                  <c:v>0.92988830571162517</c:v>
                </c:pt>
                <c:pt idx="10">
                  <c:v>0.96953453049258231</c:v>
                </c:pt>
                <c:pt idx="11">
                  <c:v>0.98798565657447579</c:v>
                </c:pt>
                <c:pt idx="12">
                  <c:v>0.99453571100956806</c:v>
                </c:pt>
                <c:pt idx="13">
                  <c:v>0.99716047437885957</c:v>
                </c:pt>
                <c:pt idx="14">
                  <c:v>0.99837938188078379</c:v>
                </c:pt>
                <c:pt idx="15">
                  <c:v>0.99920412574554118</c:v>
                </c:pt>
                <c:pt idx="16">
                  <c:v>0.99960914598397488</c:v>
                </c:pt>
                <c:pt idx="17">
                  <c:v>0.99960914598397488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3-427E-9ABE-E1559CA1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7952"/>
        <c:axId val="53083520"/>
      </c:lineChart>
      <c:catAx>
        <c:axId val="518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083520"/>
        <c:crosses val="autoZero"/>
        <c:auto val="1"/>
        <c:lblAlgn val="ctr"/>
        <c:lblOffset val="100"/>
        <c:noMultiLvlLbl val="0"/>
      </c:catAx>
      <c:valAx>
        <c:axId val="530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837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707178269383006"/>
          <c:y val="0.51468139021482417"/>
          <c:w val="6.2983460400783287E-2"/>
          <c:h val="3.7996545768566481E-2"/>
        </c:manualLayout>
      </c:layout>
      <c:overlay val="0"/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CA"/>
              <a:t>Average In-River Proportional Abundance (based on 95-2011 surveys)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Leiner</c:v>
          </c:tx>
          <c:marker>
            <c:symbol val="none"/>
          </c:marker>
          <c:cat>
            <c:numRef>
              <c:f>Leiner!$E$171:$E$187</c:f>
              <c:numCache>
                <c:formatCode>General</c:formatCode>
                <c:ptCount val="17"/>
                <c:pt idx="0">
                  <c:v>83</c:v>
                </c:pt>
                <c:pt idx="1">
                  <c:v>84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121</c:v>
                </c:pt>
              </c:numCache>
            </c:numRef>
          </c:cat>
          <c:val>
            <c:numRef>
              <c:f>Leiner!$X$171:$X$187</c:f>
              <c:numCache>
                <c:formatCode>0.00%</c:formatCode>
                <c:ptCount val="17"/>
                <c:pt idx="0">
                  <c:v>0</c:v>
                </c:pt>
                <c:pt idx="1">
                  <c:v>2.1263022284985198E-2</c:v>
                </c:pt>
                <c:pt idx="2">
                  <c:v>1.8941355781492926E-2</c:v>
                </c:pt>
                <c:pt idx="3">
                  <c:v>7.9517232170823363E-2</c:v>
                </c:pt>
                <c:pt idx="4">
                  <c:v>0.19094118204008431</c:v>
                </c:pt>
                <c:pt idx="5">
                  <c:v>0.15784728832892389</c:v>
                </c:pt>
                <c:pt idx="6">
                  <c:v>0.28607679893987892</c:v>
                </c:pt>
                <c:pt idx="7">
                  <c:v>0.17760192914573858</c:v>
                </c:pt>
                <c:pt idx="8">
                  <c:v>3.7443656737570864E-2</c:v>
                </c:pt>
                <c:pt idx="9">
                  <c:v>1.902065466861811E-2</c:v>
                </c:pt>
                <c:pt idx="10">
                  <c:v>6.1861625220316066E-3</c:v>
                </c:pt>
                <c:pt idx="11">
                  <c:v>2.4789431821085513E-3</c:v>
                </c:pt>
                <c:pt idx="12">
                  <c:v>1.1511904184839305E-3</c:v>
                </c:pt>
                <c:pt idx="13">
                  <c:v>7.7892476115985581E-4</c:v>
                </c:pt>
                <c:pt idx="14">
                  <c:v>3.8251911407622823E-4</c:v>
                </c:pt>
                <c:pt idx="15">
                  <c:v>0</c:v>
                </c:pt>
                <c:pt idx="16">
                  <c:v>3.6913990402362494E-4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D-408E-A12D-7911D3A63000}"/>
            </c:ext>
          </c:extLst>
        </c:ser>
        <c:ser>
          <c:idx val="1"/>
          <c:order val="1"/>
          <c:tx>
            <c:v>Tahsis</c:v>
          </c:tx>
          <c:marker>
            <c:symbol val="none"/>
          </c:marker>
          <c:val>
            <c:numRef>
              <c:f>Tahsis!$D$157:$R$157</c:f>
              <c:numCache>
                <c:formatCode>0%</c:formatCode>
                <c:ptCount val="15"/>
                <c:pt idx="0">
                  <c:v>0</c:v>
                </c:pt>
                <c:pt idx="1">
                  <c:v>0.13395528437311166</c:v>
                </c:pt>
                <c:pt idx="2">
                  <c:v>0.10126476302807755</c:v>
                </c:pt>
                <c:pt idx="3">
                  <c:v>0.31542750842590755</c:v>
                </c:pt>
                <c:pt idx="4">
                  <c:v>0.53685672633279735</c:v>
                </c:pt>
                <c:pt idx="5">
                  <c:v>0.70189782848870985</c:v>
                </c:pt>
                <c:pt idx="6">
                  <c:v>0.75099000013614148</c:v>
                </c:pt>
                <c:pt idx="7">
                  <c:v>0.57237547485888418</c:v>
                </c:pt>
                <c:pt idx="8">
                  <c:v>0.19676744524720399</c:v>
                </c:pt>
                <c:pt idx="9">
                  <c:v>0.10655557614559952</c:v>
                </c:pt>
                <c:pt idx="10">
                  <c:v>1.9779705280787211E-2</c:v>
                </c:pt>
                <c:pt idx="11">
                  <c:v>3.1670918414300597E-3</c:v>
                </c:pt>
                <c:pt idx="12">
                  <c:v>1.6448439841052701E-3</c:v>
                </c:pt>
                <c:pt idx="13">
                  <c:v>2.355950822098152E-3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D-408E-A12D-7911D3A6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67072"/>
        <c:axId val="52868608"/>
      </c:lineChart>
      <c:catAx>
        <c:axId val="528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868608"/>
        <c:crosses val="autoZero"/>
        <c:auto val="1"/>
        <c:lblAlgn val="ctr"/>
        <c:lblOffset val="100"/>
        <c:noMultiLvlLbl val="0"/>
      </c:catAx>
      <c:valAx>
        <c:axId val="528686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86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75779623291772"/>
          <c:y val="0.48319327731092437"/>
          <c:w val="0.10806707672179272"/>
          <c:h val="9.4537815126050473E-2"/>
        </c:manualLayout>
      </c:layout>
      <c:overlay val="0"/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image" Target="../media/image8.emf"/><Relationship Id="rId18" Type="http://schemas.openxmlformats.org/officeDocument/2006/relationships/image" Target="../media/image13.emf"/><Relationship Id="rId26" Type="http://schemas.openxmlformats.org/officeDocument/2006/relationships/image" Target="../media/image21.emf"/><Relationship Id="rId3" Type="http://schemas.openxmlformats.org/officeDocument/2006/relationships/chart" Target="../charts/chart7.xml"/><Relationship Id="rId21" Type="http://schemas.openxmlformats.org/officeDocument/2006/relationships/image" Target="../media/image16.emf"/><Relationship Id="rId7" Type="http://schemas.openxmlformats.org/officeDocument/2006/relationships/image" Target="../media/image2.emf"/><Relationship Id="rId12" Type="http://schemas.openxmlformats.org/officeDocument/2006/relationships/image" Target="../media/image7.emf"/><Relationship Id="rId17" Type="http://schemas.openxmlformats.org/officeDocument/2006/relationships/image" Target="../media/image12.emf"/><Relationship Id="rId25" Type="http://schemas.openxmlformats.org/officeDocument/2006/relationships/image" Target="../media/image20.emf"/><Relationship Id="rId2" Type="http://schemas.openxmlformats.org/officeDocument/2006/relationships/chart" Target="../charts/chart6.xml"/><Relationship Id="rId16" Type="http://schemas.openxmlformats.org/officeDocument/2006/relationships/image" Target="../media/image11.emf"/><Relationship Id="rId20" Type="http://schemas.openxmlformats.org/officeDocument/2006/relationships/image" Target="../media/image15.emf"/><Relationship Id="rId29" Type="http://schemas.openxmlformats.org/officeDocument/2006/relationships/image" Target="../media/image24.emf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image" Target="../media/image6.emf"/><Relationship Id="rId24" Type="http://schemas.openxmlformats.org/officeDocument/2006/relationships/image" Target="../media/image19.emf"/><Relationship Id="rId5" Type="http://schemas.openxmlformats.org/officeDocument/2006/relationships/chart" Target="../charts/chart9.xml"/><Relationship Id="rId15" Type="http://schemas.openxmlformats.org/officeDocument/2006/relationships/image" Target="../media/image10.emf"/><Relationship Id="rId23" Type="http://schemas.openxmlformats.org/officeDocument/2006/relationships/image" Target="../media/image18.emf"/><Relationship Id="rId28" Type="http://schemas.openxmlformats.org/officeDocument/2006/relationships/image" Target="../media/image23.emf"/><Relationship Id="rId10" Type="http://schemas.openxmlformats.org/officeDocument/2006/relationships/image" Target="../media/image5.emf"/><Relationship Id="rId19" Type="http://schemas.openxmlformats.org/officeDocument/2006/relationships/image" Target="../media/image14.emf"/><Relationship Id="rId4" Type="http://schemas.openxmlformats.org/officeDocument/2006/relationships/chart" Target="../charts/chart8.xml"/><Relationship Id="rId9" Type="http://schemas.openxmlformats.org/officeDocument/2006/relationships/image" Target="../media/image4.emf"/><Relationship Id="rId14" Type="http://schemas.openxmlformats.org/officeDocument/2006/relationships/image" Target="../media/image9.emf"/><Relationship Id="rId22" Type="http://schemas.openxmlformats.org/officeDocument/2006/relationships/image" Target="../media/image17.emf"/><Relationship Id="rId27" Type="http://schemas.openxmlformats.org/officeDocument/2006/relationships/image" Target="../media/image22.emf"/><Relationship Id="rId30" Type="http://schemas.openxmlformats.org/officeDocument/2006/relationships/image" Target="../media/image25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emf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104</xdr:row>
      <xdr:rowOff>57150</xdr:rowOff>
    </xdr:from>
    <xdr:to>
      <xdr:col>14</xdr:col>
      <xdr:colOff>219075</xdr:colOff>
      <xdr:row>127</xdr:row>
      <xdr:rowOff>104775</xdr:rowOff>
    </xdr:to>
    <xdr:graphicFrame macro="">
      <xdr:nvGraphicFramePr>
        <xdr:cNvPr id="209360" name="Chart 1">
          <a:extLst>
            <a:ext uri="{FF2B5EF4-FFF2-40B4-BE49-F238E27FC236}">
              <a16:creationId xmlns:a16="http://schemas.microsoft.com/office/drawing/2014/main" id="{00000000-0008-0000-0200-0000D031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236764</xdr:colOff>
      <xdr:row>154</xdr:row>
      <xdr:rowOff>99329</xdr:rowOff>
    </xdr:from>
    <xdr:to>
      <xdr:col>24</xdr:col>
      <xdr:colOff>142875</xdr:colOff>
      <xdr:row>178</xdr:row>
      <xdr:rowOff>89807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B4E85-9026-659B-F81D-43E150979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178</xdr:row>
      <xdr:rowOff>133350</xdr:rowOff>
    </xdr:from>
    <xdr:to>
      <xdr:col>15</xdr:col>
      <xdr:colOff>46265</xdr:colOff>
      <xdr:row>202</xdr:row>
      <xdr:rowOff>125188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4F3C8-0398-4B8E-A99E-18A207BCE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95250</xdr:colOff>
      <xdr:row>178</xdr:row>
      <xdr:rowOff>152400</xdr:rowOff>
    </xdr:from>
    <xdr:to>
      <xdr:col>28</xdr:col>
      <xdr:colOff>493940</xdr:colOff>
      <xdr:row>202</xdr:row>
      <xdr:rowOff>144238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A43ED-3E1D-4F59-ACB4-151551B57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245</xdr:row>
      <xdr:rowOff>66675</xdr:rowOff>
    </xdr:from>
    <xdr:to>
      <xdr:col>16</xdr:col>
      <xdr:colOff>171450</xdr:colOff>
      <xdr:row>262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132</xdr:row>
      <xdr:rowOff>76200</xdr:rowOff>
    </xdr:from>
    <xdr:to>
      <xdr:col>16</xdr:col>
      <xdr:colOff>47625</xdr:colOff>
      <xdr:row>161</xdr:row>
      <xdr:rowOff>152400</xdr:rowOff>
    </xdr:to>
    <xdr:graphicFrame macro="">
      <xdr:nvGraphicFramePr>
        <xdr:cNvPr id="4796" name="Chart 1">
          <a:extLst>
            <a:ext uri="{FF2B5EF4-FFF2-40B4-BE49-F238E27FC236}">
              <a16:creationId xmlns:a16="http://schemas.microsoft.com/office/drawing/2014/main" id="{00000000-0008-0000-0300-0000BC12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281668</xdr:colOff>
      <xdr:row>128</xdr:row>
      <xdr:rowOff>40822</xdr:rowOff>
    </xdr:from>
    <xdr:to>
      <xdr:col>21</xdr:col>
      <xdr:colOff>87086</xdr:colOff>
      <xdr:row>156</xdr:row>
      <xdr:rowOff>35379</xdr:rowOff>
    </xdr:to>
    <xdr:graphicFrame macro="">
      <xdr:nvGraphicFramePr>
        <xdr:cNvPr id="7620694" name="Chart 3">
          <a:extLst>
            <a:ext uri="{FF2B5EF4-FFF2-40B4-BE49-F238E27FC236}">
              <a16:creationId xmlns:a16="http://schemas.microsoft.com/office/drawing/2014/main" id="{00000000-0008-0000-0700-00005648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34</xdr:row>
      <xdr:rowOff>0</xdr:rowOff>
    </xdr:from>
    <xdr:to>
      <xdr:col>51</xdr:col>
      <xdr:colOff>85725</xdr:colOff>
      <xdr:row>54</xdr:row>
      <xdr:rowOff>95250</xdr:rowOff>
    </xdr:to>
    <xdr:graphicFrame macro="">
      <xdr:nvGraphicFramePr>
        <xdr:cNvPr id="7620695" name="Chart 8">
          <a:extLst>
            <a:ext uri="{FF2B5EF4-FFF2-40B4-BE49-F238E27FC236}">
              <a16:creationId xmlns:a16="http://schemas.microsoft.com/office/drawing/2014/main" id="{00000000-0008-0000-0700-00005748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0</xdr:colOff>
      <xdr:row>4</xdr:row>
      <xdr:rowOff>0</xdr:rowOff>
    </xdr:from>
    <xdr:to>
      <xdr:col>39</xdr:col>
      <xdr:colOff>471368</xdr:colOff>
      <xdr:row>27</xdr:row>
      <xdr:rowOff>194582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357" y="925286"/>
          <a:ext cx="6105525" cy="55149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609600</xdr:colOff>
      <xdr:row>185</xdr:row>
      <xdr:rowOff>88900</xdr:rowOff>
    </xdr:from>
    <xdr:to>
      <xdr:col>33</xdr:col>
      <xdr:colOff>50800</xdr:colOff>
      <xdr:row>198</xdr:row>
      <xdr:rowOff>127000</xdr:rowOff>
    </xdr:to>
    <xdr:graphicFrame macro="">
      <xdr:nvGraphicFramePr>
        <xdr:cNvPr id="7623920" name="Chart 1">
          <a:extLst>
            <a:ext uri="{FF2B5EF4-FFF2-40B4-BE49-F238E27FC236}">
              <a16:creationId xmlns:a16="http://schemas.microsoft.com/office/drawing/2014/main" id="{00000000-0008-0000-0C00-0000F054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485775</xdr:colOff>
      <xdr:row>199</xdr:row>
      <xdr:rowOff>88900</xdr:rowOff>
    </xdr:from>
    <xdr:to>
      <xdr:col>33</xdr:col>
      <xdr:colOff>215900</xdr:colOff>
      <xdr:row>218</xdr:row>
      <xdr:rowOff>0</xdr:rowOff>
    </xdr:to>
    <xdr:graphicFrame macro="">
      <xdr:nvGraphicFramePr>
        <xdr:cNvPr id="7623921" name="Chart 1">
          <a:extLst>
            <a:ext uri="{FF2B5EF4-FFF2-40B4-BE49-F238E27FC236}">
              <a16:creationId xmlns:a16="http://schemas.microsoft.com/office/drawing/2014/main" id="{00000000-0008-0000-0C00-0000F154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600075</xdr:colOff>
      <xdr:row>220</xdr:row>
      <xdr:rowOff>66675</xdr:rowOff>
    </xdr:from>
    <xdr:to>
      <xdr:col>32</xdr:col>
      <xdr:colOff>533400</xdr:colOff>
      <xdr:row>237</xdr:row>
      <xdr:rowOff>9525</xdr:rowOff>
    </xdr:to>
    <xdr:graphicFrame macro="">
      <xdr:nvGraphicFramePr>
        <xdr:cNvPr id="7623922" name="Chart 2">
          <a:extLst>
            <a:ext uri="{FF2B5EF4-FFF2-40B4-BE49-F238E27FC236}">
              <a16:creationId xmlns:a16="http://schemas.microsoft.com/office/drawing/2014/main" id="{00000000-0008-0000-0C00-0000F254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358775</xdr:colOff>
      <xdr:row>239</xdr:row>
      <xdr:rowOff>25400</xdr:rowOff>
    </xdr:from>
    <xdr:to>
      <xdr:col>28</xdr:col>
      <xdr:colOff>527050</xdr:colOff>
      <xdr:row>273</xdr:row>
      <xdr:rowOff>34925</xdr:rowOff>
    </xdr:to>
    <xdr:graphicFrame macro="">
      <xdr:nvGraphicFramePr>
        <xdr:cNvPr id="7623923" name="Chart 6">
          <a:extLst>
            <a:ext uri="{FF2B5EF4-FFF2-40B4-BE49-F238E27FC236}">
              <a16:creationId xmlns:a16="http://schemas.microsoft.com/office/drawing/2014/main" id="{00000000-0008-0000-0C00-0000F354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285750</xdr:colOff>
      <xdr:row>191</xdr:row>
      <xdr:rowOff>28575</xdr:rowOff>
    </xdr:from>
    <xdr:to>
      <xdr:col>17</xdr:col>
      <xdr:colOff>419100</xdr:colOff>
      <xdr:row>219</xdr:row>
      <xdr:rowOff>28575</xdr:rowOff>
    </xdr:to>
    <xdr:graphicFrame macro="">
      <xdr:nvGraphicFramePr>
        <xdr:cNvPr id="7623924" name="Chart 8">
          <a:extLst>
            <a:ext uri="{FF2B5EF4-FFF2-40B4-BE49-F238E27FC236}">
              <a16:creationId xmlns:a16="http://schemas.microsoft.com/office/drawing/2014/main" id="{00000000-0008-0000-0C00-0000F454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</xdr:colOff>
      <xdr:row>220</xdr:row>
      <xdr:rowOff>117475</xdr:rowOff>
    </xdr:from>
    <xdr:to>
      <xdr:col>24</xdr:col>
      <xdr:colOff>101600</xdr:colOff>
      <xdr:row>237</xdr:row>
      <xdr:rowOff>57150</xdr:rowOff>
    </xdr:to>
    <xdr:graphicFrame macro="">
      <xdr:nvGraphicFramePr>
        <xdr:cNvPr id="7623925" name="Chart 10">
          <a:extLst>
            <a:ext uri="{FF2B5EF4-FFF2-40B4-BE49-F238E27FC236}">
              <a16:creationId xmlns:a16="http://schemas.microsoft.com/office/drawing/2014/main" id="{00000000-0008-0000-0C00-0000F554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30</xdr:col>
      <xdr:colOff>203200</xdr:colOff>
      <xdr:row>0</xdr:row>
      <xdr:rowOff>63500</xdr:rowOff>
    </xdr:from>
    <xdr:to>
      <xdr:col>46</xdr:col>
      <xdr:colOff>136525</xdr:colOff>
      <xdr:row>6</xdr:row>
      <xdr:rowOff>139700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5200" y="63500"/>
          <a:ext cx="9686925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203200</xdr:colOff>
      <xdr:row>6</xdr:row>
      <xdr:rowOff>165100</xdr:rowOff>
    </xdr:from>
    <xdr:to>
      <xdr:col>43</xdr:col>
      <xdr:colOff>107950</xdr:colOff>
      <xdr:row>12</xdr:row>
      <xdr:rowOff>155575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5200" y="1536700"/>
          <a:ext cx="78295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12</xdr:row>
      <xdr:rowOff>139700</xdr:rowOff>
    </xdr:from>
    <xdr:to>
      <xdr:col>43</xdr:col>
      <xdr:colOff>552450</xdr:colOff>
      <xdr:row>18</xdr:row>
      <xdr:rowOff>130175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0" y="28829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165100</xdr:colOff>
      <xdr:row>18</xdr:row>
      <xdr:rowOff>114300</xdr:rowOff>
    </xdr:from>
    <xdr:to>
      <xdr:col>43</xdr:col>
      <xdr:colOff>527050</xdr:colOff>
      <xdr:row>24</xdr:row>
      <xdr:rowOff>104775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67100" y="42291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177800</xdr:colOff>
      <xdr:row>24</xdr:row>
      <xdr:rowOff>88900</xdr:rowOff>
    </xdr:from>
    <xdr:to>
      <xdr:col>43</xdr:col>
      <xdr:colOff>539750</xdr:colOff>
      <xdr:row>30</xdr:row>
      <xdr:rowOff>79375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79800" y="55753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38100</xdr:colOff>
      <xdr:row>34</xdr:row>
      <xdr:rowOff>76200</xdr:rowOff>
    </xdr:from>
    <xdr:to>
      <xdr:col>43</xdr:col>
      <xdr:colOff>400050</xdr:colOff>
      <xdr:row>40</xdr:row>
      <xdr:rowOff>66675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0100" y="69342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63500</xdr:colOff>
      <xdr:row>40</xdr:row>
      <xdr:rowOff>25400</xdr:rowOff>
    </xdr:from>
    <xdr:to>
      <xdr:col>43</xdr:col>
      <xdr:colOff>425450</xdr:colOff>
      <xdr:row>46</xdr:row>
      <xdr:rowOff>15874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5500" y="82550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584200</xdr:colOff>
      <xdr:row>46</xdr:row>
      <xdr:rowOff>12700</xdr:rowOff>
    </xdr:from>
    <xdr:to>
      <xdr:col>43</xdr:col>
      <xdr:colOff>336550</xdr:colOff>
      <xdr:row>52</xdr:row>
      <xdr:rowOff>3175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6600" y="96139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508000</xdr:colOff>
      <xdr:row>52</xdr:row>
      <xdr:rowOff>0</xdr:rowOff>
    </xdr:from>
    <xdr:to>
      <xdr:col>43</xdr:col>
      <xdr:colOff>260350</xdr:colOff>
      <xdr:row>57</xdr:row>
      <xdr:rowOff>219076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0400" y="109728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584200</xdr:colOff>
      <xdr:row>58</xdr:row>
      <xdr:rowOff>0</xdr:rowOff>
    </xdr:from>
    <xdr:to>
      <xdr:col>43</xdr:col>
      <xdr:colOff>336550</xdr:colOff>
      <xdr:row>63</xdr:row>
      <xdr:rowOff>219075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6600" y="123444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68</xdr:row>
      <xdr:rowOff>0</xdr:rowOff>
    </xdr:from>
    <xdr:to>
      <xdr:col>43</xdr:col>
      <xdr:colOff>361950</xdr:colOff>
      <xdr:row>73</xdr:row>
      <xdr:rowOff>219076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137160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74</xdr:row>
      <xdr:rowOff>0</xdr:rowOff>
    </xdr:from>
    <xdr:to>
      <xdr:col>43</xdr:col>
      <xdr:colOff>361950</xdr:colOff>
      <xdr:row>79</xdr:row>
      <xdr:rowOff>219076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150876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80</xdr:row>
      <xdr:rowOff>0</xdr:rowOff>
    </xdr:from>
    <xdr:to>
      <xdr:col>43</xdr:col>
      <xdr:colOff>361950</xdr:colOff>
      <xdr:row>85</xdr:row>
      <xdr:rowOff>219075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164592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86</xdr:row>
      <xdr:rowOff>0</xdr:rowOff>
    </xdr:from>
    <xdr:to>
      <xdr:col>43</xdr:col>
      <xdr:colOff>361950</xdr:colOff>
      <xdr:row>91</xdr:row>
      <xdr:rowOff>219075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178308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92</xdr:row>
      <xdr:rowOff>0</xdr:rowOff>
    </xdr:from>
    <xdr:to>
      <xdr:col>43</xdr:col>
      <xdr:colOff>361950</xdr:colOff>
      <xdr:row>97</xdr:row>
      <xdr:rowOff>219075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192024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98</xdr:row>
      <xdr:rowOff>0</xdr:rowOff>
    </xdr:from>
    <xdr:to>
      <xdr:col>43</xdr:col>
      <xdr:colOff>361950</xdr:colOff>
      <xdr:row>104</xdr:row>
      <xdr:rowOff>2054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205740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110</xdr:row>
      <xdr:rowOff>0</xdr:rowOff>
    </xdr:from>
    <xdr:to>
      <xdr:col>43</xdr:col>
      <xdr:colOff>361950</xdr:colOff>
      <xdr:row>118</xdr:row>
      <xdr:rowOff>66675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220218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119</xdr:row>
      <xdr:rowOff>0</xdr:rowOff>
    </xdr:from>
    <xdr:to>
      <xdr:col>43</xdr:col>
      <xdr:colOff>361950</xdr:colOff>
      <xdr:row>127</xdr:row>
      <xdr:rowOff>66675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23479125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128</xdr:row>
      <xdr:rowOff>0</xdr:rowOff>
    </xdr:from>
    <xdr:to>
      <xdr:col>43</xdr:col>
      <xdr:colOff>361950</xdr:colOff>
      <xdr:row>136</xdr:row>
      <xdr:rowOff>66675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2493645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141</xdr:row>
      <xdr:rowOff>0</xdr:rowOff>
    </xdr:from>
    <xdr:to>
      <xdr:col>43</xdr:col>
      <xdr:colOff>361950</xdr:colOff>
      <xdr:row>149</xdr:row>
      <xdr:rowOff>66674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26393775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150</xdr:row>
      <xdr:rowOff>0</xdr:rowOff>
    </xdr:from>
    <xdr:to>
      <xdr:col>43</xdr:col>
      <xdr:colOff>361950</xdr:colOff>
      <xdr:row>158</xdr:row>
      <xdr:rowOff>66675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27851100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355600</xdr:colOff>
      <xdr:row>157</xdr:row>
      <xdr:rowOff>139700</xdr:rowOff>
    </xdr:from>
    <xdr:to>
      <xdr:col>44</xdr:col>
      <xdr:colOff>139700</xdr:colOff>
      <xdr:row>166</xdr:row>
      <xdr:rowOff>41275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0" y="29286200"/>
          <a:ext cx="8928100" cy="138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203200</xdr:colOff>
      <xdr:row>166</xdr:row>
      <xdr:rowOff>38100</xdr:rowOff>
    </xdr:from>
    <xdr:to>
      <xdr:col>42</xdr:col>
      <xdr:colOff>565150</xdr:colOff>
      <xdr:row>174</xdr:row>
      <xdr:rowOff>104775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5600" y="30670500"/>
          <a:ext cx="8286750" cy="138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175</xdr:row>
      <xdr:rowOff>0</xdr:rowOff>
    </xdr:from>
    <xdr:to>
      <xdr:col>43</xdr:col>
      <xdr:colOff>361950</xdr:colOff>
      <xdr:row>183</xdr:row>
      <xdr:rowOff>66674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31899225"/>
          <a:ext cx="82867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1</xdr:row>
      <xdr:rowOff>85725</xdr:rowOff>
    </xdr:from>
    <xdr:to>
      <xdr:col>43</xdr:col>
      <xdr:colOff>219075</xdr:colOff>
      <xdr:row>19</xdr:row>
      <xdr:rowOff>200025</xdr:rowOff>
    </xdr:to>
    <xdr:graphicFrame macro="">
      <xdr:nvGraphicFramePr>
        <xdr:cNvPr id="2599" name="Chart 1">
          <a:extLst>
            <a:ext uri="{FF2B5EF4-FFF2-40B4-BE49-F238E27FC236}">
              <a16:creationId xmlns:a16="http://schemas.microsoft.com/office/drawing/2014/main" id="{00000000-0008-0000-0D00-0000270A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131</xdr:row>
      <xdr:rowOff>133349</xdr:rowOff>
    </xdr:from>
    <xdr:to>
      <xdr:col>24</xdr:col>
      <xdr:colOff>381000</xdr:colOff>
      <xdr:row>146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106</xdr:row>
      <xdr:rowOff>85725</xdr:rowOff>
    </xdr:from>
    <xdr:to>
      <xdr:col>21</xdr:col>
      <xdr:colOff>228600</xdr:colOff>
      <xdr:row>144</xdr:row>
      <xdr:rowOff>47625</xdr:rowOff>
    </xdr:to>
    <xdr:graphicFrame macro="">
      <xdr:nvGraphicFramePr>
        <xdr:cNvPr id="622029" name="Chart 2">
          <a:extLst>
            <a:ext uri="{FF2B5EF4-FFF2-40B4-BE49-F238E27FC236}">
              <a16:creationId xmlns:a16="http://schemas.microsoft.com/office/drawing/2014/main" id="{00000000-0008-0000-0E00-0000CD7D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419100</xdr:colOff>
      <xdr:row>105</xdr:row>
      <xdr:rowOff>139700</xdr:rowOff>
    </xdr:from>
    <xdr:to>
      <xdr:col>32</xdr:col>
      <xdr:colOff>956945</xdr:colOff>
      <xdr:row>141</xdr:row>
      <xdr:rowOff>34925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22707600"/>
          <a:ext cx="6772275" cy="581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105</xdr:row>
      <xdr:rowOff>9525</xdr:rowOff>
    </xdr:from>
    <xdr:to>
      <xdr:col>11</xdr:col>
      <xdr:colOff>333375</xdr:colOff>
      <xdr:row>120</xdr:row>
      <xdr:rowOff>161925</xdr:rowOff>
    </xdr:to>
    <xdr:graphicFrame macro="">
      <xdr:nvGraphicFramePr>
        <xdr:cNvPr id="392653" name="Chart 1">
          <a:extLst>
            <a:ext uri="{FF2B5EF4-FFF2-40B4-BE49-F238E27FC236}">
              <a16:creationId xmlns:a16="http://schemas.microsoft.com/office/drawing/2014/main" id="{00000000-0008-0000-0F00-0000CDFD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107</xdr:row>
      <xdr:rowOff>123825</xdr:rowOff>
    </xdr:from>
    <xdr:to>
      <xdr:col>11</xdr:col>
      <xdr:colOff>190500</xdr:colOff>
      <xdr:row>123</xdr:row>
      <xdr:rowOff>95250</xdr:rowOff>
    </xdr:to>
    <xdr:graphicFrame macro="">
      <xdr:nvGraphicFramePr>
        <xdr:cNvPr id="404944" name="Chart 2">
          <a:extLst>
            <a:ext uri="{FF2B5EF4-FFF2-40B4-BE49-F238E27FC236}">
              <a16:creationId xmlns:a16="http://schemas.microsoft.com/office/drawing/2014/main" id="{00000000-0008-0000-1000-0000D02D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</xdr:colOff>
      <xdr:row>34</xdr:row>
      <xdr:rowOff>66675</xdr:rowOff>
    </xdr:from>
    <xdr:to>
      <xdr:col>38</xdr:col>
      <xdr:colOff>571500</xdr:colOff>
      <xdr:row>42</xdr:row>
      <xdr:rowOff>123825</xdr:rowOff>
    </xdr:to>
    <xdr:graphicFrame macro="">
      <xdr:nvGraphicFramePr>
        <xdr:cNvPr id="60970" name="Chart 2">
          <a:extLst>
            <a:ext uri="{FF2B5EF4-FFF2-40B4-BE49-F238E27FC236}">
              <a16:creationId xmlns:a16="http://schemas.microsoft.com/office/drawing/2014/main" id="{00000000-0008-0000-1200-00002AE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0</xdr:colOff>
      <xdr:row>44</xdr:row>
      <xdr:rowOff>0</xdr:rowOff>
    </xdr:from>
    <xdr:to>
      <xdr:col>43</xdr:col>
      <xdr:colOff>293940</xdr:colOff>
      <xdr:row>74</xdr:row>
      <xdr:rowOff>149678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8558893"/>
          <a:ext cx="8858820" cy="7089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CVI/ESCAPEMENT/Reports/INSEASON%20Reports/2013%20WCVI%20Esc%20Bulletins/2013%20Weekly%20Inseason%20Escapement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etin Table REVISED"/>
      <sheetName val="Post-Season Bulletin Table"/>
      <sheetName val="Average Escapement revised"/>
      <sheetName val="River Matrix"/>
      <sheetName val="Stamp&amp;Sproat"/>
      <sheetName val="Data Entry Status"/>
      <sheetName val="StatWk"/>
      <sheetName val="27 Summary"/>
      <sheetName val="26 Summary"/>
      <sheetName val="25 Summary"/>
      <sheetName val="22,23 Summary"/>
      <sheetName val="Area 20 Summary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Species</v>
          </cell>
          <cell r="AB8" t="str">
            <v>Number Surveys</v>
          </cell>
          <cell r="AC8" t="str">
            <v>Max Count</v>
          </cell>
          <cell r="AH8" t="str">
            <v>Species</v>
          </cell>
          <cell r="AI8" t="str">
            <v>Estimate Type</v>
          </cell>
          <cell r="AJ8" t="str">
            <v>Estimate</v>
          </cell>
        </row>
        <row r="9">
          <cell r="AA9" t="str">
            <v>ASH RIVERSockeye</v>
          </cell>
          <cell r="AB9">
            <v>0</v>
          </cell>
          <cell r="AC9">
            <v>0</v>
          </cell>
          <cell r="AH9" t="str">
            <v>ASH RIVERSockeye</v>
          </cell>
          <cell r="AI9">
            <v>0</v>
          </cell>
          <cell r="AJ9">
            <v>0</v>
          </cell>
        </row>
        <row r="10">
          <cell r="AA10" t="str">
            <v>ASH RIVERCoho</v>
          </cell>
          <cell r="AB10">
            <v>0</v>
          </cell>
          <cell r="AC10">
            <v>0</v>
          </cell>
          <cell r="AH10" t="str">
            <v>ASH RIVERCoho</v>
          </cell>
          <cell r="AI10">
            <v>0</v>
          </cell>
          <cell r="AJ10">
            <v>0</v>
          </cell>
        </row>
        <row r="11">
          <cell r="AA11" t="str">
            <v>ASH RIVERPink</v>
          </cell>
          <cell r="AB11">
            <v>0</v>
          </cell>
          <cell r="AC11">
            <v>0</v>
          </cell>
          <cell r="AH11" t="str">
            <v>ASH RIVERPink</v>
          </cell>
          <cell r="AI11">
            <v>0</v>
          </cell>
          <cell r="AJ11">
            <v>0</v>
          </cell>
        </row>
        <row r="12">
          <cell r="AA12" t="str">
            <v>ASH RIVERChum</v>
          </cell>
          <cell r="AB12">
            <v>0</v>
          </cell>
          <cell r="AC12">
            <v>0</v>
          </cell>
          <cell r="AH12" t="str">
            <v>ASH RIVERChum</v>
          </cell>
          <cell r="AI12">
            <v>0</v>
          </cell>
          <cell r="AJ12">
            <v>0</v>
          </cell>
        </row>
        <row r="13">
          <cell r="AA13" t="str">
            <v>ASH RIVERChinook</v>
          </cell>
          <cell r="AB13">
            <v>0</v>
          </cell>
          <cell r="AC13">
            <v>0</v>
          </cell>
          <cell r="AH13" t="str">
            <v>ASH RIVERChinook</v>
          </cell>
          <cell r="AI13">
            <v>0</v>
          </cell>
          <cell r="AJ13">
            <v>0</v>
          </cell>
        </row>
        <row r="14">
          <cell r="AA14" t="str">
            <v>ASH RIVERSteelhead</v>
          </cell>
          <cell r="AB14">
            <v>0</v>
          </cell>
          <cell r="AC14">
            <v>0</v>
          </cell>
          <cell r="AH14" t="str">
            <v>ASH RIVERSteelhead</v>
          </cell>
          <cell r="AI14">
            <v>0</v>
          </cell>
          <cell r="AJ14">
            <v>0</v>
          </cell>
        </row>
        <row r="15">
          <cell r="AA15" t="str">
            <v>BEAVER CREEKSockeye</v>
          </cell>
          <cell r="AB15">
            <v>0</v>
          </cell>
          <cell r="AC15">
            <v>0</v>
          </cell>
          <cell r="AH15" t="str">
            <v>BEAVER CREEKSockeye</v>
          </cell>
          <cell r="AI15">
            <v>0</v>
          </cell>
          <cell r="AJ15">
            <v>0</v>
          </cell>
        </row>
        <row r="16">
          <cell r="AA16" t="str">
            <v>BEAVER CREEKCoho</v>
          </cell>
          <cell r="AB16">
            <v>0</v>
          </cell>
          <cell r="AC16">
            <v>0</v>
          </cell>
          <cell r="AH16" t="str">
            <v>BEAVER CREEKCoho</v>
          </cell>
          <cell r="AI16">
            <v>0</v>
          </cell>
          <cell r="AJ16">
            <v>0</v>
          </cell>
        </row>
        <row r="17">
          <cell r="AA17" t="str">
            <v>BEAVER CREEKPink</v>
          </cell>
          <cell r="AB17">
            <v>0</v>
          </cell>
          <cell r="AC17">
            <v>0</v>
          </cell>
          <cell r="AH17" t="str">
            <v>BEAVER CREEKPink</v>
          </cell>
          <cell r="AI17">
            <v>0</v>
          </cell>
          <cell r="AJ17">
            <v>0</v>
          </cell>
        </row>
        <row r="18">
          <cell r="AA18" t="str">
            <v>BEAVER CREEKChum</v>
          </cell>
          <cell r="AB18">
            <v>0</v>
          </cell>
          <cell r="AC18">
            <v>0</v>
          </cell>
          <cell r="AH18" t="str">
            <v>BEAVER CREEKChum</v>
          </cell>
          <cell r="AI18">
            <v>0</v>
          </cell>
          <cell r="AJ18">
            <v>0</v>
          </cell>
        </row>
        <row r="19">
          <cell r="AA19" t="str">
            <v>BEAVER CREEKChinook</v>
          </cell>
          <cell r="AB19">
            <v>0</v>
          </cell>
          <cell r="AC19">
            <v>0</v>
          </cell>
          <cell r="AH19" t="str">
            <v>BEAVER CREEKChinook</v>
          </cell>
          <cell r="AI19">
            <v>0</v>
          </cell>
          <cell r="AJ19">
            <v>0</v>
          </cell>
        </row>
        <row r="20">
          <cell r="AA20" t="str">
            <v>BEAVER CREEKSteelhead</v>
          </cell>
          <cell r="AB20">
            <v>0</v>
          </cell>
          <cell r="AC20">
            <v>0</v>
          </cell>
          <cell r="AH20" t="str">
            <v>BEAVER CREEKSteelhead</v>
          </cell>
          <cell r="AI20">
            <v>0</v>
          </cell>
          <cell r="AJ20">
            <v>0</v>
          </cell>
        </row>
        <row r="21">
          <cell r="AA21" t="str">
            <v>CAMPSITE CREEKSockeye</v>
          </cell>
          <cell r="AB21">
            <v>1</v>
          </cell>
          <cell r="AC21">
            <v>0</v>
          </cell>
          <cell r="AH21" t="str">
            <v>CAMPSITE CREEKSockeye</v>
          </cell>
          <cell r="AI21">
            <v>0</v>
          </cell>
          <cell r="AJ21">
            <v>0</v>
          </cell>
        </row>
        <row r="22">
          <cell r="AA22" t="str">
            <v>CAMPSITE CREEKCoho</v>
          </cell>
          <cell r="AB22">
            <v>1</v>
          </cell>
          <cell r="AC22">
            <v>5</v>
          </cell>
          <cell r="AH22" t="str">
            <v>CAMPSITE CREEKCoho</v>
          </cell>
          <cell r="AI22">
            <v>0</v>
          </cell>
          <cell r="AJ22" t="str">
            <v>AP</v>
          </cell>
        </row>
        <row r="23">
          <cell r="AA23" t="str">
            <v>CAMPSITE CREEKPink</v>
          </cell>
          <cell r="AB23">
            <v>1</v>
          </cell>
          <cell r="AC23">
            <v>0</v>
          </cell>
          <cell r="AH23" t="str">
            <v>CAMPSITE CREEKPink</v>
          </cell>
          <cell r="AI23">
            <v>0</v>
          </cell>
          <cell r="AJ23">
            <v>0</v>
          </cell>
        </row>
        <row r="24">
          <cell r="AA24" t="str">
            <v>CAMPSITE CREEKChum</v>
          </cell>
          <cell r="AB24">
            <v>1</v>
          </cell>
          <cell r="AC24">
            <v>8</v>
          </cell>
          <cell r="AH24" t="str">
            <v>CAMPSITE CREEKChum</v>
          </cell>
          <cell r="AI24">
            <v>0</v>
          </cell>
          <cell r="AJ24" t="str">
            <v>AP</v>
          </cell>
        </row>
        <row r="25">
          <cell r="AA25" t="str">
            <v>CAMPSITE CREEKChinook</v>
          </cell>
          <cell r="AB25">
            <v>1</v>
          </cell>
          <cell r="AC25">
            <v>0</v>
          </cell>
          <cell r="AH25" t="str">
            <v>CAMPSITE CREEKChinook</v>
          </cell>
          <cell r="AI25">
            <v>0</v>
          </cell>
          <cell r="AJ25">
            <v>0</v>
          </cell>
        </row>
        <row r="26">
          <cell r="AA26" t="str">
            <v>CAMPSITE CREEKSteelhead</v>
          </cell>
          <cell r="AB26">
            <v>1</v>
          </cell>
          <cell r="AC26">
            <v>0</v>
          </cell>
          <cell r="AH26" t="str">
            <v>CAMPSITE CREEKSteelhead</v>
          </cell>
          <cell r="AI26">
            <v>0</v>
          </cell>
          <cell r="AJ26">
            <v>0</v>
          </cell>
        </row>
        <row r="27">
          <cell r="AA27" t="str">
            <v>CANOE PASS CREEKSockeye</v>
          </cell>
          <cell r="AB27">
            <v>0</v>
          </cell>
          <cell r="AC27">
            <v>0</v>
          </cell>
          <cell r="AH27" t="str">
            <v>CANOE PASS CREEKSockeye</v>
          </cell>
          <cell r="AI27">
            <v>0</v>
          </cell>
          <cell r="AJ27">
            <v>0</v>
          </cell>
        </row>
        <row r="28">
          <cell r="AA28" t="str">
            <v>CANOE PASS CREEKCoho</v>
          </cell>
          <cell r="AB28">
            <v>0</v>
          </cell>
          <cell r="AC28">
            <v>0</v>
          </cell>
          <cell r="AH28" t="str">
            <v>CANOE PASS CREEKCoho</v>
          </cell>
          <cell r="AI28">
            <v>0</v>
          </cell>
          <cell r="AJ28">
            <v>0</v>
          </cell>
        </row>
        <row r="29">
          <cell r="AA29" t="str">
            <v>CANOE PASS CREEKPink</v>
          </cell>
          <cell r="AB29">
            <v>0</v>
          </cell>
          <cell r="AC29">
            <v>0</v>
          </cell>
          <cell r="AH29" t="str">
            <v>CANOE PASS CREEKPink</v>
          </cell>
          <cell r="AI29">
            <v>0</v>
          </cell>
          <cell r="AJ29">
            <v>0</v>
          </cell>
        </row>
        <row r="30">
          <cell r="AA30" t="str">
            <v>CANOE PASS CREEKChum</v>
          </cell>
          <cell r="AB30">
            <v>0</v>
          </cell>
          <cell r="AC30">
            <v>0</v>
          </cell>
          <cell r="AH30" t="str">
            <v>CANOE PASS CREEKChum</v>
          </cell>
          <cell r="AI30">
            <v>0</v>
          </cell>
          <cell r="AJ30">
            <v>0</v>
          </cell>
        </row>
        <row r="31">
          <cell r="AA31" t="str">
            <v>CANOE PASS CREEKChinook</v>
          </cell>
          <cell r="AB31">
            <v>0</v>
          </cell>
          <cell r="AC31">
            <v>0</v>
          </cell>
          <cell r="AH31" t="str">
            <v>CANOE PASS CREEKChinook</v>
          </cell>
          <cell r="AI31">
            <v>0</v>
          </cell>
          <cell r="AJ31">
            <v>0</v>
          </cell>
        </row>
        <row r="32">
          <cell r="AA32" t="str">
            <v>CANOE PASS CREEKSteelhead</v>
          </cell>
          <cell r="AB32">
            <v>0</v>
          </cell>
          <cell r="AC32">
            <v>0</v>
          </cell>
          <cell r="AH32" t="str">
            <v>CANOE PASS CREEKSteelhead</v>
          </cell>
          <cell r="AI32">
            <v>0</v>
          </cell>
          <cell r="AJ32">
            <v>0</v>
          </cell>
        </row>
        <row r="33">
          <cell r="AA33" t="str">
            <v/>
          </cell>
          <cell r="AH33" t="str">
            <v/>
          </cell>
          <cell r="AI33">
            <v>0</v>
          </cell>
          <cell r="AJ33">
            <v>0</v>
          </cell>
        </row>
        <row r="34">
          <cell r="AA34" t="str">
            <v>Level 2 Streams</v>
          </cell>
          <cell r="AH34" t="str">
            <v/>
          </cell>
          <cell r="AI34">
            <v>0</v>
          </cell>
          <cell r="AJ34">
            <v>0</v>
          </cell>
        </row>
        <row r="35">
          <cell r="AA35" t="str">
            <v>SystemSpecies</v>
          </cell>
          <cell r="AH35" t="str">
            <v>SystemSpecies</v>
          </cell>
          <cell r="AI35">
            <v>0</v>
          </cell>
          <cell r="AJ35">
            <v>0</v>
          </cell>
        </row>
        <row r="36">
          <cell r="AA36" t="str">
            <v>ANGORA CREEKSockeye</v>
          </cell>
          <cell r="AB36">
            <v>1</v>
          </cell>
          <cell r="AC36">
            <v>0</v>
          </cell>
          <cell r="AH36" t="str">
            <v>ANGORA CREEKSockeye</v>
          </cell>
          <cell r="AI36">
            <v>0</v>
          </cell>
          <cell r="AJ36">
            <v>0</v>
          </cell>
        </row>
        <row r="37">
          <cell r="AA37" t="str">
            <v>ANGORA CREEKCoho</v>
          </cell>
          <cell r="AB37">
            <v>1</v>
          </cell>
          <cell r="AC37">
            <v>308</v>
          </cell>
          <cell r="AH37" t="str">
            <v>ANGORA CREEKCoho</v>
          </cell>
          <cell r="AI37" t="str">
            <v>PL+D</v>
          </cell>
          <cell r="AJ37">
            <v>341</v>
          </cell>
        </row>
        <row r="38">
          <cell r="AA38" t="str">
            <v>ANGORA CREEKPink</v>
          </cell>
          <cell r="AB38">
            <v>1</v>
          </cell>
          <cell r="AC38">
            <v>0</v>
          </cell>
          <cell r="AH38" t="str">
            <v>ANGORA CREEKPink</v>
          </cell>
          <cell r="AI38">
            <v>0</v>
          </cell>
          <cell r="AJ38">
            <v>0</v>
          </cell>
        </row>
        <row r="39">
          <cell r="AA39" t="str">
            <v>ANGORA CREEKChum</v>
          </cell>
          <cell r="AB39">
            <v>1</v>
          </cell>
          <cell r="AC39">
            <v>0</v>
          </cell>
          <cell r="AH39" t="str">
            <v>ANGORA CREEKChum</v>
          </cell>
          <cell r="AI39">
            <v>0</v>
          </cell>
          <cell r="AJ39" t="str">
            <v>NO</v>
          </cell>
        </row>
        <row r="40">
          <cell r="AA40" t="str">
            <v>ANGORA CREEKChinook</v>
          </cell>
          <cell r="AB40">
            <v>1</v>
          </cell>
          <cell r="AC40">
            <v>0</v>
          </cell>
          <cell r="AH40" t="str">
            <v>ANGORA CREEKChinook</v>
          </cell>
          <cell r="AI40">
            <v>0</v>
          </cell>
          <cell r="AJ40">
            <v>0</v>
          </cell>
        </row>
        <row r="41">
          <cell r="AA41" t="str">
            <v>ANGORA CREEKSteelhead</v>
          </cell>
          <cell r="AB41">
            <v>1</v>
          </cell>
          <cell r="AC41">
            <v>0</v>
          </cell>
          <cell r="AH41" t="str">
            <v>ANGORA CREEKSteelhead</v>
          </cell>
          <cell r="AI41">
            <v>0</v>
          </cell>
          <cell r="AJ41">
            <v>0</v>
          </cell>
        </row>
        <row r="42">
          <cell r="AA42" t="str">
            <v>ATLEO RIVERSockeye</v>
          </cell>
          <cell r="AB42">
            <v>2</v>
          </cell>
          <cell r="AC42">
            <v>4</v>
          </cell>
          <cell r="AH42" t="str">
            <v>ATLEO RIVERSockeye</v>
          </cell>
          <cell r="AI42">
            <v>0</v>
          </cell>
          <cell r="AJ42" t="str">
            <v>AP</v>
          </cell>
        </row>
        <row r="43">
          <cell r="AA43" t="str">
            <v>ATLEO RIVERCoho</v>
          </cell>
          <cell r="AB43">
            <v>2</v>
          </cell>
          <cell r="AC43">
            <v>360</v>
          </cell>
          <cell r="AH43" t="str">
            <v>ATLEO RIVERCoho</v>
          </cell>
          <cell r="AI43" t="str">
            <v>PL+D</v>
          </cell>
          <cell r="AJ43">
            <v>360</v>
          </cell>
        </row>
        <row r="44">
          <cell r="AA44" t="str">
            <v>ATLEO RIVERPink</v>
          </cell>
          <cell r="AB44">
            <v>2</v>
          </cell>
          <cell r="AC44">
            <v>0</v>
          </cell>
          <cell r="AH44" t="str">
            <v>ATLEO RIVERPink</v>
          </cell>
          <cell r="AI44">
            <v>0</v>
          </cell>
          <cell r="AJ44">
            <v>0</v>
          </cell>
        </row>
        <row r="45">
          <cell r="AA45" t="str">
            <v>ATLEO RIVERChum</v>
          </cell>
          <cell r="AB45">
            <v>2</v>
          </cell>
          <cell r="AC45">
            <v>238</v>
          </cell>
          <cell r="AH45" t="str">
            <v>ATLEO RIVERChum</v>
          </cell>
          <cell r="AI45" t="str">
            <v>PL+D</v>
          </cell>
          <cell r="AJ45">
            <v>238</v>
          </cell>
        </row>
        <row r="46">
          <cell r="AA46" t="str">
            <v>ATLEO RIVERChinook</v>
          </cell>
          <cell r="AB46">
            <v>2</v>
          </cell>
          <cell r="AC46">
            <v>0</v>
          </cell>
          <cell r="AH46" t="str">
            <v>ATLEO RIVERChinook</v>
          </cell>
          <cell r="AI46">
            <v>0</v>
          </cell>
          <cell r="AJ46">
            <v>0</v>
          </cell>
        </row>
        <row r="47">
          <cell r="AA47" t="str">
            <v>ATLEO RIVERSteelhead</v>
          </cell>
          <cell r="AB47">
            <v>2</v>
          </cell>
          <cell r="AC47">
            <v>0</v>
          </cell>
          <cell r="AH47" t="str">
            <v>ATLEO RIVERSteelhead</v>
          </cell>
          <cell r="AI47">
            <v>0</v>
          </cell>
          <cell r="AJ47">
            <v>0</v>
          </cell>
        </row>
        <row r="48">
          <cell r="AA48" t="str">
            <v>BURMAN RIVERSockeye</v>
          </cell>
          <cell r="AB48">
            <v>15</v>
          </cell>
          <cell r="AC48">
            <v>745</v>
          </cell>
          <cell r="AH48" t="str">
            <v>BURMAN RIVERSockeye</v>
          </cell>
          <cell r="AI48" t="str">
            <v>AUC</v>
          </cell>
          <cell r="AJ48">
            <v>1357</v>
          </cell>
        </row>
        <row r="49">
          <cell r="AA49" t="str">
            <v>BURMAN RIVERCoho</v>
          </cell>
          <cell r="AB49">
            <v>13</v>
          </cell>
          <cell r="AC49">
            <v>1038</v>
          </cell>
          <cell r="AH49" t="str">
            <v>BURMAN RIVERCoho</v>
          </cell>
          <cell r="AI49" t="str">
            <v>AUC</v>
          </cell>
          <cell r="AJ49">
            <v>1542</v>
          </cell>
        </row>
        <row r="50">
          <cell r="AA50" t="str">
            <v>BURMAN RIVERPink</v>
          </cell>
          <cell r="AB50">
            <v>13</v>
          </cell>
          <cell r="AC50">
            <v>20</v>
          </cell>
          <cell r="AH50" t="str">
            <v>BURMAN RIVERPink</v>
          </cell>
          <cell r="AI50" t="str">
            <v>PL+D</v>
          </cell>
          <cell r="AJ50">
            <v>20</v>
          </cell>
        </row>
        <row r="51">
          <cell r="AA51" t="str">
            <v>BURMAN RIVERChum</v>
          </cell>
          <cell r="AB51">
            <v>13</v>
          </cell>
          <cell r="AC51">
            <v>5058</v>
          </cell>
          <cell r="AH51" t="str">
            <v>BURMAN RIVERChum</v>
          </cell>
          <cell r="AI51" t="str">
            <v>AUC</v>
          </cell>
          <cell r="AJ51">
            <v>6172</v>
          </cell>
        </row>
        <row r="52">
          <cell r="AA52" t="str">
            <v>BURMAN RIVERChinook</v>
          </cell>
          <cell r="AB52">
            <v>13</v>
          </cell>
          <cell r="AC52">
            <v>6291</v>
          </cell>
          <cell r="AH52" t="str">
            <v>BURMAN RIVERChinook</v>
          </cell>
          <cell r="AI52" t="str">
            <v>AUC</v>
          </cell>
          <cell r="AJ52">
            <v>8285</v>
          </cell>
        </row>
        <row r="53">
          <cell r="AA53" t="str">
            <v>BURMAN RIVERSteelhead</v>
          </cell>
          <cell r="AB53">
            <v>9</v>
          </cell>
          <cell r="AC53">
            <v>33</v>
          </cell>
          <cell r="AH53" t="str">
            <v>BURMAN RIVERSteelhead</v>
          </cell>
          <cell r="AI53" t="str">
            <v>PL+D</v>
          </cell>
          <cell r="AJ53">
            <v>33</v>
          </cell>
        </row>
        <row r="54">
          <cell r="AA54" t="str">
            <v>CANTON CREEKSockeye</v>
          </cell>
          <cell r="AB54">
            <v>0</v>
          </cell>
          <cell r="AC54">
            <v>0</v>
          </cell>
          <cell r="AH54" t="str">
            <v>CANTON CREEKSockeye</v>
          </cell>
          <cell r="AI54">
            <v>0</v>
          </cell>
          <cell r="AJ54" t="str">
            <v>NO</v>
          </cell>
        </row>
        <row r="55">
          <cell r="AA55" t="str">
            <v>CANTON CREEKCoho</v>
          </cell>
          <cell r="AB55">
            <v>0</v>
          </cell>
          <cell r="AC55">
            <v>0</v>
          </cell>
          <cell r="AH55" t="str">
            <v>CANTON CREEKCoho</v>
          </cell>
          <cell r="AI55">
            <v>0</v>
          </cell>
          <cell r="AJ55" t="str">
            <v>NO</v>
          </cell>
        </row>
        <row r="56">
          <cell r="AA56" t="str">
            <v>CANTON CREEKPink</v>
          </cell>
          <cell r="AB56">
            <v>0</v>
          </cell>
          <cell r="AC56">
            <v>0</v>
          </cell>
          <cell r="AH56" t="str">
            <v>CANTON CREEKPink</v>
          </cell>
          <cell r="AI56">
            <v>0</v>
          </cell>
          <cell r="AJ56">
            <v>0</v>
          </cell>
        </row>
        <row r="57">
          <cell r="AA57" t="str">
            <v>CANTON CREEKChum</v>
          </cell>
          <cell r="AB57">
            <v>0</v>
          </cell>
          <cell r="AC57">
            <v>0</v>
          </cell>
          <cell r="AH57" t="str">
            <v>CANTON CREEKChum</v>
          </cell>
          <cell r="AI57" t="str">
            <v>EO</v>
          </cell>
          <cell r="AJ57">
            <v>2300</v>
          </cell>
        </row>
        <row r="58">
          <cell r="AA58" t="str">
            <v>CANTON CREEKChinook</v>
          </cell>
          <cell r="AB58">
            <v>0</v>
          </cell>
          <cell r="AC58">
            <v>0</v>
          </cell>
          <cell r="AH58" t="str">
            <v>CANTON CREEKChinook</v>
          </cell>
          <cell r="AI58" t="str">
            <v>EO</v>
          </cell>
          <cell r="AJ58">
            <v>3000</v>
          </cell>
        </row>
        <row r="59">
          <cell r="AA59" t="str">
            <v>CANTON CREEKSteelhead</v>
          </cell>
          <cell r="AB59">
            <v>0</v>
          </cell>
          <cell r="AC59">
            <v>0</v>
          </cell>
          <cell r="AH59" t="str">
            <v>CANTON CREEKSteelhead</v>
          </cell>
          <cell r="AI59">
            <v>0</v>
          </cell>
          <cell r="AJ59">
            <v>0</v>
          </cell>
        </row>
        <row r="60">
          <cell r="AA60" t="str">
            <v>AMAI CREEKSockeye</v>
          </cell>
          <cell r="AB60">
            <v>1</v>
          </cell>
          <cell r="AC60">
            <v>0</v>
          </cell>
          <cell r="AH60" t="str">
            <v>AMAI CREEKSockeye</v>
          </cell>
          <cell r="AI60">
            <v>0</v>
          </cell>
          <cell r="AJ60" t="str">
            <v>NO</v>
          </cell>
        </row>
        <row r="61">
          <cell r="AA61" t="str">
            <v>AMAI CREEKCoho</v>
          </cell>
          <cell r="AB61">
            <v>1</v>
          </cell>
          <cell r="AC61">
            <v>55</v>
          </cell>
          <cell r="AH61" t="str">
            <v>AMAI CREEKCoho</v>
          </cell>
          <cell r="AI61" t="str">
            <v>PL+D</v>
          </cell>
          <cell r="AJ61">
            <v>63</v>
          </cell>
        </row>
        <row r="62">
          <cell r="AA62" t="str">
            <v>AMAI CREEKPink</v>
          </cell>
          <cell r="AB62">
            <v>1</v>
          </cell>
          <cell r="AC62">
            <v>0</v>
          </cell>
          <cell r="AH62" t="str">
            <v>AMAI CREEKPink</v>
          </cell>
          <cell r="AI62">
            <v>0</v>
          </cell>
          <cell r="AJ62">
            <v>0</v>
          </cell>
        </row>
        <row r="63">
          <cell r="AA63" t="str">
            <v>AMAI CREEKChum</v>
          </cell>
          <cell r="AB63">
            <v>1</v>
          </cell>
          <cell r="AC63">
            <v>214</v>
          </cell>
          <cell r="AH63" t="str">
            <v>AMAI CREEKChum</v>
          </cell>
          <cell r="AI63" t="str">
            <v>PL+D</v>
          </cell>
          <cell r="AJ63">
            <v>250</v>
          </cell>
        </row>
        <row r="64">
          <cell r="AA64" t="str">
            <v>AMAI CREEKChinook</v>
          </cell>
          <cell r="AB64">
            <v>1</v>
          </cell>
          <cell r="AC64">
            <v>0</v>
          </cell>
          <cell r="AH64" t="str">
            <v>AMAI CREEKChinook</v>
          </cell>
          <cell r="AI64">
            <v>0</v>
          </cell>
          <cell r="AJ64" t="str">
            <v>NO</v>
          </cell>
        </row>
        <row r="65">
          <cell r="AA65" t="str">
            <v>AMAI CREEKSteelhead</v>
          </cell>
          <cell r="AB65">
            <v>1</v>
          </cell>
          <cell r="AC65">
            <v>0</v>
          </cell>
          <cell r="AH65" t="str">
            <v>AMAI CREEKSteelhead</v>
          </cell>
          <cell r="AI65">
            <v>0</v>
          </cell>
          <cell r="AJ65">
            <v>0</v>
          </cell>
        </row>
        <row r="66">
          <cell r="AA66" t="str">
            <v>BENSON RIVERSockeye</v>
          </cell>
          <cell r="AB66">
            <v>0</v>
          </cell>
          <cell r="AC66">
            <v>0</v>
          </cell>
          <cell r="AH66" t="str">
            <v>BENSON RIVERSockeye</v>
          </cell>
          <cell r="AI66">
            <v>0</v>
          </cell>
          <cell r="AJ66">
            <v>0</v>
          </cell>
        </row>
        <row r="67">
          <cell r="AA67" t="str">
            <v>BENSON RIVERCoho</v>
          </cell>
          <cell r="AB67">
            <v>0</v>
          </cell>
          <cell r="AC67">
            <v>0</v>
          </cell>
          <cell r="AH67" t="str">
            <v>BENSON RIVERCoho</v>
          </cell>
          <cell r="AI67">
            <v>0</v>
          </cell>
          <cell r="AJ67">
            <v>0</v>
          </cell>
        </row>
        <row r="68">
          <cell r="AA68" t="str">
            <v>BENSON RIVERPink</v>
          </cell>
          <cell r="AB68">
            <v>0</v>
          </cell>
          <cell r="AC68">
            <v>0</v>
          </cell>
          <cell r="AH68" t="str">
            <v>BENSON RIVERPink</v>
          </cell>
          <cell r="AI68">
            <v>0</v>
          </cell>
          <cell r="AJ68">
            <v>0</v>
          </cell>
        </row>
        <row r="69">
          <cell r="AA69" t="str">
            <v>BENSON RIVERChum</v>
          </cell>
          <cell r="AB69">
            <v>0</v>
          </cell>
          <cell r="AC69">
            <v>0</v>
          </cell>
          <cell r="AH69" t="str">
            <v>BENSON RIVERChum</v>
          </cell>
          <cell r="AI69">
            <v>0</v>
          </cell>
          <cell r="AJ69">
            <v>0</v>
          </cell>
        </row>
        <row r="70">
          <cell r="AA70" t="str">
            <v>BENSON RIVERChinook</v>
          </cell>
          <cell r="AB70">
            <v>0</v>
          </cell>
          <cell r="AC70">
            <v>0</v>
          </cell>
          <cell r="AH70" t="str">
            <v>BENSON RIVERChinook</v>
          </cell>
          <cell r="AI70">
            <v>0</v>
          </cell>
          <cell r="AJ70">
            <v>0</v>
          </cell>
        </row>
        <row r="71">
          <cell r="AA71" t="str">
            <v>BENSON RIVERSteelhead</v>
          </cell>
          <cell r="AB71">
            <v>0</v>
          </cell>
          <cell r="AC71">
            <v>0</v>
          </cell>
          <cell r="AH71" t="str">
            <v>BENSON RIVERSteelhead</v>
          </cell>
          <cell r="AI71">
            <v>0</v>
          </cell>
          <cell r="AJ71">
            <v>0</v>
          </cell>
        </row>
        <row r="72">
          <cell r="AA72" t="str">
            <v/>
          </cell>
          <cell r="AH72" t="str">
            <v/>
          </cell>
          <cell r="AI72">
            <v>0</v>
          </cell>
          <cell r="AJ72">
            <v>0</v>
          </cell>
        </row>
        <row r="73">
          <cell r="AA73" t="str">
            <v>Level 3 Streams</v>
          </cell>
          <cell r="AH73" t="str">
            <v/>
          </cell>
          <cell r="AI73">
            <v>0</v>
          </cell>
          <cell r="AJ73">
            <v>0</v>
          </cell>
        </row>
        <row r="74">
          <cell r="AA74" t="str">
            <v>SystemSpecies</v>
          </cell>
          <cell r="AH74" t="str">
            <v>SystemSpecies</v>
          </cell>
          <cell r="AI74">
            <v>0</v>
          </cell>
          <cell r="AJ74">
            <v>0</v>
          </cell>
        </row>
        <row r="75">
          <cell r="AA75" t="str">
            <v>AYUM CREEKSockeye</v>
          </cell>
          <cell r="AB75">
            <v>0</v>
          </cell>
          <cell r="AC75">
            <v>0</v>
          </cell>
          <cell r="AH75" t="str">
            <v>AYUM CREEKSockeye</v>
          </cell>
          <cell r="AI75">
            <v>0</v>
          </cell>
          <cell r="AJ75">
            <v>0</v>
          </cell>
        </row>
        <row r="76">
          <cell r="AA76" t="str">
            <v>AYUM CREEKCoho</v>
          </cell>
          <cell r="AB76">
            <v>0</v>
          </cell>
          <cell r="AC76">
            <v>0</v>
          </cell>
          <cell r="AH76" t="str">
            <v>AYUM CREEKCoho</v>
          </cell>
          <cell r="AI76">
            <v>0</v>
          </cell>
          <cell r="AJ76">
            <v>0</v>
          </cell>
        </row>
        <row r="77">
          <cell r="AA77" t="str">
            <v>AYUM CREEKPink</v>
          </cell>
          <cell r="AB77">
            <v>0</v>
          </cell>
          <cell r="AC77">
            <v>0</v>
          </cell>
          <cell r="AH77" t="str">
            <v>AYUM CREEKPink</v>
          </cell>
          <cell r="AI77">
            <v>0</v>
          </cell>
          <cell r="AJ77">
            <v>0</v>
          </cell>
        </row>
        <row r="78">
          <cell r="AA78" t="str">
            <v>AYUM CREEKChum</v>
          </cell>
          <cell r="AB78">
            <v>0</v>
          </cell>
          <cell r="AC78">
            <v>0</v>
          </cell>
          <cell r="AH78" t="str">
            <v>AYUM CREEKChum</v>
          </cell>
          <cell r="AI78">
            <v>0</v>
          </cell>
          <cell r="AJ78">
            <v>0</v>
          </cell>
        </row>
        <row r="79">
          <cell r="AA79" t="str">
            <v>AYUM CREEKChinook</v>
          </cell>
          <cell r="AB79">
            <v>0</v>
          </cell>
          <cell r="AC79">
            <v>0</v>
          </cell>
          <cell r="AH79" t="str">
            <v>AYUM CREEKChinook</v>
          </cell>
          <cell r="AI79">
            <v>0</v>
          </cell>
          <cell r="AJ79">
            <v>0</v>
          </cell>
        </row>
        <row r="80">
          <cell r="AA80" t="str">
            <v>AYUM CREEKSteelhead</v>
          </cell>
          <cell r="AB80">
            <v>0</v>
          </cell>
          <cell r="AC80">
            <v>0</v>
          </cell>
          <cell r="AH80" t="str">
            <v>AYUM CREEKSteelhead</v>
          </cell>
          <cell r="AI80">
            <v>0</v>
          </cell>
          <cell r="AJ80">
            <v>0</v>
          </cell>
        </row>
        <row r="81">
          <cell r="AA81" t="str">
            <v>NITINAT RIVERSockeye</v>
          </cell>
          <cell r="AB81">
            <v>2</v>
          </cell>
          <cell r="AC81">
            <v>0</v>
          </cell>
          <cell r="AH81" t="str">
            <v>NITINAT RIVERSockeye</v>
          </cell>
          <cell r="AI81">
            <v>0</v>
          </cell>
          <cell r="AJ81">
            <v>0</v>
          </cell>
        </row>
        <row r="82">
          <cell r="AA82" t="str">
            <v>NITINAT RIVERCoho</v>
          </cell>
          <cell r="AB82">
            <v>2</v>
          </cell>
          <cell r="AC82">
            <v>5000</v>
          </cell>
          <cell r="AH82" t="str">
            <v>NITINAT RIVERCoho</v>
          </cell>
          <cell r="AI82" t="str">
            <v>EO</v>
          </cell>
          <cell r="AJ82">
            <v>4900</v>
          </cell>
        </row>
        <row r="83">
          <cell r="AA83" t="str">
            <v>NITINAT RIVERPink</v>
          </cell>
          <cell r="AB83">
            <v>2</v>
          </cell>
          <cell r="AC83">
            <v>0</v>
          </cell>
          <cell r="AH83" t="str">
            <v>NITINAT RIVERPink</v>
          </cell>
          <cell r="AI83">
            <v>0</v>
          </cell>
          <cell r="AJ83">
            <v>0</v>
          </cell>
        </row>
        <row r="84">
          <cell r="AA84" t="str">
            <v>NITINAT RIVERChum</v>
          </cell>
          <cell r="AB84">
            <v>2</v>
          </cell>
          <cell r="AC84">
            <v>15000</v>
          </cell>
          <cell r="AH84" t="str">
            <v>NITINAT RIVERChum</v>
          </cell>
          <cell r="AI84" t="str">
            <v>EO</v>
          </cell>
          <cell r="AJ84">
            <v>24000</v>
          </cell>
        </row>
        <row r="85">
          <cell r="AA85" t="str">
            <v>NITINAT RIVERChinook</v>
          </cell>
          <cell r="AB85">
            <v>2</v>
          </cell>
          <cell r="AC85">
            <v>30000</v>
          </cell>
          <cell r="AH85" t="str">
            <v>NITINAT RIVERChinook</v>
          </cell>
          <cell r="AI85" t="str">
            <v>EO</v>
          </cell>
          <cell r="AJ85">
            <v>10000</v>
          </cell>
        </row>
        <row r="86">
          <cell r="AA86" t="str">
            <v>NITINAT RIVERSteelhead</v>
          </cell>
          <cell r="AB86">
            <v>2</v>
          </cell>
          <cell r="AC86">
            <v>0</v>
          </cell>
          <cell r="AH86" t="str">
            <v>NITINAT RIVERSteelhead</v>
          </cell>
          <cell r="AI86">
            <v>0</v>
          </cell>
          <cell r="AJ86" t="str">
            <v>NO</v>
          </cell>
        </row>
        <row r="87">
          <cell r="AA87" t="str">
            <v>CARNATION CREEKSockeye</v>
          </cell>
          <cell r="AC87">
            <v>0</v>
          </cell>
          <cell r="AH87" t="str">
            <v>CARNATION CREEKSockeye</v>
          </cell>
          <cell r="AI87">
            <v>0</v>
          </cell>
          <cell r="AJ87">
            <v>0</v>
          </cell>
        </row>
        <row r="88">
          <cell r="AA88" t="str">
            <v>CARNATION CREEKCoho</v>
          </cell>
          <cell r="AC88">
            <v>196</v>
          </cell>
          <cell r="AH88" t="str">
            <v>CARNATION CREEKCoho</v>
          </cell>
          <cell r="AI88" t="str">
            <v>Fence</v>
          </cell>
          <cell r="AJ88">
            <v>196</v>
          </cell>
        </row>
        <row r="89">
          <cell r="AA89" t="str">
            <v>CARNATION CREEKpink</v>
          </cell>
          <cell r="AC89">
            <v>0</v>
          </cell>
          <cell r="AH89" t="str">
            <v>CARNATION CREEKpink</v>
          </cell>
          <cell r="AI89">
            <v>0</v>
          </cell>
          <cell r="AJ89">
            <v>0</v>
          </cell>
        </row>
        <row r="90">
          <cell r="AA90" t="str">
            <v>CARNATION CREEKChum</v>
          </cell>
          <cell r="AC90">
            <v>22</v>
          </cell>
          <cell r="AH90" t="str">
            <v>CARNATION CREEKChum</v>
          </cell>
          <cell r="AI90" t="str">
            <v>PL+D</v>
          </cell>
          <cell r="AJ90">
            <v>55</v>
          </cell>
        </row>
        <row r="91">
          <cell r="AA91" t="str">
            <v>CARNATION CREEKChinook</v>
          </cell>
          <cell r="AC91">
            <v>1</v>
          </cell>
          <cell r="AH91" t="str">
            <v>CARNATION CREEKChinook</v>
          </cell>
          <cell r="AI91">
            <v>0</v>
          </cell>
          <cell r="AJ91">
            <v>0</v>
          </cell>
        </row>
        <row r="92">
          <cell r="AA92" t="str">
            <v>CARNATION CREEKSteelhead</v>
          </cell>
          <cell r="AC92">
            <v>0</v>
          </cell>
          <cell r="AH92" t="str">
            <v>CARNATION CREEKSteelhead</v>
          </cell>
          <cell r="AI92">
            <v>0</v>
          </cell>
          <cell r="AJ92">
            <v>0</v>
          </cell>
        </row>
        <row r="93">
          <cell r="AA93" t="str">
            <v>CASS CREEKSockeye</v>
          </cell>
          <cell r="AB93">
            <v>0</v>
          </cell>
          <cell r="AC93">
            <v>0</v>
          </cell>
          <cell r="AH93" t="str">
            <v>CASS CREEKSockeye</v>
          </cell>
          <cell r="AI93">
            <v>0</v>
          </cell>
          <cell r="AJ93">
            <v>0</v>
          </cell>
        </row>
        <row r="94">
          <cell r="AA94" t="str">
            <v>CASS CREEKCoho</v>
          </cell>
          <cell r="AB94">
            <v>0</v>
          </cell>
          <cell r="AC94">
            <v>0</v>
          </cell>
          <cell r="AH94" t="str">
            <v>CASS CREEKCoho</v>
          </cell>
          <cell r="AI94">
            <v>0</v>
          </cell>
          <cell r="AJ94">
            <v>0</v>
          </cell>
        </row>
        <row r="95">
          <cell r="AA95" t="str">
            <v>CASS CREEKPink</v>
          </cell>
          <cell r="AB95">
            <v>0</v>
          </cell>
          <cell r="AC95">
            <v>0</v>
          </cell>
          <cell r="AH95" t="str">
            <v>CASS CREEKPink</v>
          </cell>
          <cell r="AI95">
            <v>0</v>
          </cell>
          <cell r="AJ95">
            <v>0</v>
          </cell>
        </row>
        <row r="96">
          <cell r="AA96" t="str">
            <v>CASS CREEKChum</v>
          </cell>
          <cell r="AB96">
            <v>0</v>
          </cell>
          <cell r="AC96">
            <v>0</v>
          </cell>
          <cell r="AH96" t="str">
            <v>CASS CREEKChum</v>
          </cell>
          <cell r="AI96">
            <v>0</v>
          </cell>
          <cell r="AJ96">
            <v>0</v>
          </cell>
        </row>
        <row r="97">
          <cell r="AA97" t="str">
            <v>CASS CREEKChinook</v>
          </cell>
          <cell r="AB97">
            <v>0</v>
          </cell>
          <cell r="AC97">
            <v>0</v>
          </cell>
          <cell r="AH97" t="str">
            <v>CASS CREEKChinook</v>
          </cell>
          <cell r="AI97">
            <v>0</v>
          </cell>
          <cell r="AJ97">
            <v>0</v>
          </cell>
        </row>
        <row r="98">
          <cell r="AA98" t="str">
            <v>CASS CREEKSteelhead</v>
          </cell>
          <cell r="AB98">
            <v>0</v>
          </cell>
          <cell r="AC98">
            <v>0</v>
          </cell>
          <cell r="AH98" t="str">
            <v>CASS CREEKSteelhead</v>
          </cell>
          <cell r="AI98">
            <v>0</v>
          </cell>
          <cell r="AJ98">
            <v>0</v>
          </cell>
        </row>
        <row r="99">
          <cell r="AA99" t="str">
            <v>CATARACT CREEKSockeye</v>
          </cell>
          <cell r="AB99">
            <v>0</v>
          </cell>
          <cell r="AC99">
            <v>0</v>
          </cell>
          <cell r="AH99" t="str">
            <v>CATARACT CREEKSockeye</v>
          </cell>
          <cell r="AI99">
            <v>0</v>
          </cell>
          <cell r="AJ99">
            <v>0</v>
          </cell>
        </row>
        <row r="100">
          <cell r="AA100" t="str">
            <v>CATARACT CREEKCoho</v>
          </cell>
          <cell r="AB100">
            <v>0</v>
          </cell>
          <cell r="AC100">
            <v>0</v>
          </cell>
          <cell r="AH100" t="str">
            <v>CATARACT CREEKCoho</v>
          </cell>
          <cell r="AI100">
            <v>0</v>
          </cell>
          <cell r="AJ100">
            <v>0</v>
          </cell>
        </row>
        <row r="101">
          <cell r="AA101" t="str">
            <v>CATARACT CREEKPink</v>
          </cell>
          <cell r="AB101">
            <v>0</v>
          </cell>
          <cell r="AC101">
            <v>0</v>
          </cell>
          <cell r="AH101" t="str">
            <v>CATARACT CREEKPink</v>
          </cell>
          <cell r="AI101">
            <v>0</v>
          </cell>
          <cell r="AJ101">
            <v>0</v>
          </cell>
        </row>
        <row r="102">
          <cell r="AA102" t="str">
            <v>CATARACT CREEKChum</v>
          </cell>
          <cell r="AB102">
            <v>0</v>
          </cell>
          <cell r="AC102">
            <v>0</v>
          </cell>
          <cell r="AH102" t="str">
            <v>CATARACT CREEKChum</v>
          </cell>
          <cell r="AI102">
            <v>0</v>
          </cell>
          <cell r="AJ102">
            <v>0</v>
          </cell>
        </row>
        <row r="103">
          <cell r="AA103" t="str">
            <v>CATARACT CREEKChinook</v>
          </cell>
          <cell r="AB103">
            <v>0</v>
          </cell>
          <cell r="AC103">
            <v>0</v>
          </cell>
          <cell r="AH103" t="str">
            <v>CATARACT CREEKChinook</v>
          </cell>
          <cell r="AI103">
            <v>0</v>
          </cell>
          <cell r="AJ103">
            <v>0</v>
          </cell>
        </row>
        <row r="104">
          <cell r="AA104" t="str">
            <v>CATARACT CREEKSteelhead</v>
          </cell>
          <cell r="AB104">
            <v>0</v>
          </cell>
          <cell r="AC104">
            <v>0</v>
          </cell>
          <cell r="AH104" t="str">
            <v>CATARACT CREEKSteelhead</v>
          </cell>
          <cell r="AI104">
            <v>0</v>
          </cell>
          <cell r="AJ104">
            <v>0</v>
          </cell>
        </row>
        <row r="105">
          <cell r="AA105" t="str">
            <v>CHERRY CREEKSockeye</v>
          </cell>
          <cell r="AB105">
            <v>0</v>
          </cell>
          <cell r="AC105">
            <v>0</v>
          </cell>
          <cell r="AH105" t="str">
            <v>CHERRY CREEKSockeye</v>
          </cell>
          <cell r="AI105">
            <v>0</v>
          </cell>
          <cell r="AJ105">
            <v>0</v>
          </cell>
        </row>
        <row r="106">
          <cell r="AA106" t="str">
            <v>CHERRY CREEKCoho</v>
          </cell>
          <cell r="AB106">
            <v>0</v>
          </cell>
          <cell r="AC106">
            <v>0</v>
          </cell>
          <cell r="AH106" t="str">
            <v>CHERRY CREEKCoho</v>
          </cell>
          <cell r="AI106">
            <v>0</v>
          </cell>
          <cell r="AJ106">
            <v>0</v>
          </cell>
        </row>
        <row r="107">
          <cell r="AA107" t="str">
            <v>CHERRY CREEKPink</v>
          </cell>
          <cell r="AB107">
            <v>0</v>
          </cell>
          <cell r="AC107">
            <v>0</v>
          </cell>
          <cell r="AH107" t="str">
            <v>CHERRY CREEKPink</v>
          </cell>
          <cell r="AI107">
            <v>0</v>
          </cell>
          <cell r="AJ107">
            <v>0</v>
          </cell>
        </row>
        <row r="108">
          <cell r="AA108" t="str">
            <v>CHERRY CREEKChum</v>
          </cell>
          <cell r="AB108">
            <v>0</v>
          </cell>
          <cell r="AC108">
            <v>0</v>
          </cell>
          <cell r="AH108" t="str">
            <v>CHERRY CREEKChum</v>
          </cell>
          <cell r="AI108">
            <v>0</v>
          </cell>
          <cell r="AJ108">
            <v>0</v>
          </cell>
        </row>
        <row r="109">
          <cell r="AA109" t="str">
            <v>CHERRY CREEKChinook</v>
          </cell>
          <cell r="AB109">
            <v>0</v>
          </cell>
          <cell r="AC109">
            <v>0</v>
          </cell>
          <cell r="AH109" t="str">
            <v>CHERRY CREEKChinook</v>
          </cell>
          <cell r="AI109">
            <v>0</v>
          </cell>
          <cell r="AJ109">
            <v>0</v>
          </cell>
        </row>
        <row r="110">
          <cell r="AA110" t="str">
            <v>CHERRY CREEKSteelhead</v>
          </cell>
          <cell r="AB110">
            <v>0</v>
          </cell>
          <cell r="AC110">
            <v>0</v>
          </cell>
          <cell r="AH110" t="str">
            <v>CHERRY CREEKSteelhead</v>
          </cell>
          <cell r="AI110">
            <v>0</v>
          </cell>
          <cell r="AJ110">
            <v>0</v>
          </cell>
        </row>
        <row r="111">
          <cell r="AA111" t="str">
            <v>CHINA CREEKSockeye</v>
          </cell>
          <cell r="AB111">
            <v>2</v>
          </cell>
          <cell r="AC111">
            <v>0</v>
          </cell>
          <cell r="AH111" t="str">
            <v>CHINA CREEKSockeye</v>
          </cell>
          <cell r="AI111">
            <v>0</v>
          </cell>
          <cell r="AJ111">
            <v>0</v>
          </cell>
        </row>
        <row r="112">
          <cell r="AA112" t="str">
            <v>CHINA CREEKCoho</v>
          </cell>
          <cell r="AB112">
            <v>2</v>
          </cell>
          <cell r="AC112">
            <v>0</v>
          </cell>
          <cell r="AH112" t="str">
            <v>CHINA CREEKCoho</v>
          </cell>
          <cell r="AI112">
            <v>0</v>
          </cell>
          <cell r="AJ112" t="str">
            <v>NO</v>
          </cell>
        </row>
        <row r="113">
          <cell r="AA113" t="str">
            <v>CHINA CREEKPink</v>
          </cell>
          <cell r="AB113">
            <v>2</v>
          </cell>
          <cell r="AC113">
            <v>0</v>
          </cell>
          <cell r="AH113" t="str">
            <v>CHINA CREEKPink</v>
          </cell>
          <cell r="AI113">
            <v>0</v>
          </cell>
          <cell r="AJ113">
            <v>0</v>
          </cell>
        </row>
        <row r="114">
          <cell r="AA114" t="str">
            <v>CHINA CREEKChum</v>
          </cell>
          <cell r="AB114">
            <v>2</v>
          </cell>
          <cell r="AC114">
            <v>0</v>
          </cell>
          <cell r="AH114" t="str">
            <v>CHINA CREEKChum</v>
          </cell>
          <cell r="AI114">
            <v>0</v>
          </cell>
          <cell r="AJ114" t="str">
            <v>NO</v>
          </cell>
        </row>
        <row r="115">
          <cell r="AA115" t="str">
            <v>CHINA CREEKChinook</v>
          </cell>
          <cell r="AB115">
            <v>2</v>
          </cell>
          <cell r="AC115">
            <v>0</v>
          </cell>
          <cell r="AH115" t="str">
            <v>CHINA CREEKChinook</v>
          </cell>
          <cell r="AI115">
            <v>0</v>
          </cell>
          <cell r="AJ115">
            <v>0</v>
          </cell>
        </row>
        <row r="116">
          <cell r="AA116" t="str">
            <v>CHINA CREEKSteelhead</v>
          </cell>
          <cell r="AB116">
            <v>2</v>
          </cell>
          <cell r="AC116">
            <v>0</v>
          </cell>
          <cell r="AH116" t="str">
            <v>CHINA CREEKSteelhead</v>
          </cell>
          <cell r="AI116">
            <v>0</v>
          </cell>
          <cell r="AJ116">
            <v>0</v>
          </cell>
        </row>
        <row r="117">
          <cell r="AA117" t="str">
            <v>CLEMENS CREEKSockeye</v>
          </cell>
          <cell r="AB117">
            <v>6</v>
          </cell>
          <cell r="AC117">
            <v>5097</v>
          </cell>
          <cell r="AH117" t="str">
            <v>CLEMENS CREEKSockeye</v>
          </cell>
          <cell r="AI117" t="str">
            <v>AUC</v>
          </cell>
          <cell r="AJ117">
            <v>11346</v>
          </cell>
        </row>
        <row r="118">
          <cell r="AA118" t="str">
            <v>CLEMENS CREEKCoho</v>
          </cell>
          <cell r="AB118">
            <v>6</v>
          </cell>
          <cell r="AC118">
            <v>1678</v>
          </cell>
          <cell r="AH118" t="str">
            <v>CLEMENS CREEKCoho</v>
          </cell>
          <cell r="AI118" t="str">
            <v>AUC</v>
          </cell>
          <cell r="AJ118">
            <v>2994</v>
          </cell>
        </row>
        <row r="119">
          <cell r="AA119" t="str">
            <v>CLEMENS CREEKPink</v>
          </cell>
          <cell r="AB119">
            <v>6</v>
          </cell>
          <cell r="AC119">
            <v>3</v>
          </cell>
          <cell r="AH119" t="str">
            <v>CLEMENS CREEKPink</v>
          </cell>
          <cell r="AI119">
            <v>0</v>
          </cell>
          <cell r="AJ119" t="str">
            <v>AP</v>
          </cell>
        </row>
        <row r="120">
          <cell r="AA120" t="str">
            <v>CLEMENS CREEKChum</v>
          </cell>
          <cell r="AB120">
            <v>6</v>
          </cell>
          <cell r="AC120">
            <v>4</v>
          </cell>
          <cell r="AH120" t="str">
            <v>CLEMENS CREEKChum</v>
          </cell>
          <cell r="AI120" t="str">
            <v>AUC</v>
          </cell>
          <cell r="AJ120">
            <v>9</v>
          </cell>
        </row>
        <row r="121">
          <cell r="AA121" t="str">
            <v>CLEMENS CREEKChinook</v>
          </cell>
          <cell r="AB121">
            <v>6</v>
          </cell>
          <cell r="AC121">
            <v>25</v>
          </cell>
          <cell r="AH121" t="str">
            <v>CLEMENS CREEKChinook</v>
          </cell>
          <cell r="AI121" t="str">
            <v>AUC</v>
          </cell>
          <cell r="AJ121">
            <v>62</v>
          </cell>
        </row>
        <row r="122">
          <cell r="AA122" t="str">
            <v>CLEMENS CREEKSteelhead</v>
          </cell>
          <cell r="AB122">
            <v>6</v>
          </cell>
          <cell r="AC122">
            <v>9</v>
          </cell>
          <cell r="AH122" t="str">
            <v>CLEMENS CREEKSteelhead</v>
          </cell>
          <cell r="AI122" t="str">
            <v>PL+D</v>
          </cell>
          <cell r="AJ122">
            <v>9</v>
          </cell>
        </row>
        <row r="123">
          <cell r="AA123" t="str">
            <v>BAWDEN CREEKSockeye</v>
          </cell>
          <cell r="AB123">
            <v>2</v>
          </cell>
          <cell r="AC123">
            <v>0</v>
          </cell>
          <cell r="AH123" t="str">
            <v>BAWDEN CREEKSockeye</v>
          </cell>
          <cell r="AI123">
            <v>0</v>
          </cell>
          <cell r="AJ123">
            <v>0</v>
          </cell>
        </row>
        <row r="124">
          <cell r="AA124" t="str">
            <v>BAWDEN CREEKCoho</v>
          </cell>
          <cell r="AB124">
            <v>2</v>
          </cell>
          <cell r="AC124">
            <v>1</v>
          </cell>
          <cell r="AH124" t="str">
            <v>BAWDEN CREEKCoho</v>
          </cell>
          <cell r="AI124">
            <v>0</v>
          </cell>
          <cell r="AJ124" t="str">
            <v>AP</v>
          </cell>
        </row>
        <row r="125">
          <cell r="AA125" t="str">
            <v>BAWDEN CREEKPink</v>
          </cell>
          <cell r="AB125">
            <v>2</v>
          </cell>
          <cell r="AC125">
            <v>0</v>
          </cell>
          <cell r="AH125" t="str">
            <v>BAWDEN CREEKPink</v>
          </cell>
          <cell r="AI125">
            <v>0</v>
          </cell>
          <cell r="AJ125">
            <v>0</v>
          </cell>
        </row>
        <row r="126">
          <cell r="AA126" t="str">
            <v>BAWDEN CREEKChum</v>
          </cell>
          <cell r="AB126">
            <v>2</v>
          </cell>
          <cell r="AC126">
            <v>7</v>
          </cell>
          <cell r="AH126" t="str">
            <v>BAWDEN CREEKChum</v>
          </cell>
          <cell r="AI126">
            <v>0</v>
          </cell>
          <cell r="AJ126" t="str">
            <v>AP</v>
          </cell>
        </row>
        <row r="127">
          <cell r="AA127" t="str">
            <v>BAWDEN CREEKChinook</v>
          </cell>
          <cell r="AB127">
            <v>2</v>
          </cell>
          <cell r="AC127">
            <v>0</v>
          </cell>
          <cell r="AH127" t="str">
            <v>BAWDEN CREEKChinook</v>
          </cell>
          <cell r="AI127">
            <v>0</v>
          </cell>
          <cell r="AJ127">
            <v>0</v>
          </cell>
        </row>
        <row r="128">
          <cell r="AA128" t="str">
            <v>BAWDEN CREEKSteelhead</v>
          </cell>
          <cell r="AB128">
            <v>2</v>
          </cell>
          <cell r="AC128">
            <v>0</v>
          </cell>
          <cell r="AH128" t="str">
            <v>BAWDEN CREEKSteelhead</v>
          </cell>
          <cell r="AI128">
            <v>0</v>
          </cell>
          <cell r="AJ128">
            <v>0</v>
          </cell>
        </row>
        <row r="129">
          <cell r="AA129" t="str">
            <v>BEDINGFIELD BAY CREEKSockeye</v>
          </cell>
          <cell r="AB129">
            <v>0</v>
          </cell>
          <cell r="AC129">
            <v>0</v>
          </cell>
          <cell r="AH129" t="str">
            <v>BEDINGFIELD BAY CREEKSockeye</v>
          </cell>
          <cell r="AI129">
            <v>0</v>
          </cell>
          <cell r="AJ129">
            <v>0</v>
          </cell>
        </row>
        <row r="130">
          <cell r="AA130" t="str">
            <v>BEDINGFIELD BAY CREEKCoho</v>
          </cell>
          <cell r="AB130">
            <v>0</v>
          </cell>
          <cell r="AC130">
            <v>0</v>
          </cell>
          <cell r="AH130" t="str">
            <v>BEDINGFIELD BAY CREEKCoho</v>
          </cell>
          <cell r="AI130">
            <v>0</v>
          </cell>
          <cell r="AJ130">
            <v>0</v>
          </cell>
        </row>
        <row r="131">
          <cell r="AA131" t="str">
            <v>BEDINGFIELD BAY CREEKPink</v>
          </cell>
          <cell r="AB131">
            <v>0</v>
          </cell>
          <cell r="AC131">
            <v>0</v>
          </cell>
          <cell r="AH131" t="str">
            <v>BEDINGFIELD BAY CREEKPink</v>
          </cell>
          <cell r="AI131">
            <v>0</v>
          </cell>
          <cell r="AJ131">
            <v>0</v>
          </cell>
        </row>
        <row r="132">
          <cell r="AA132" t="str">
            <v>BEDINGFIELD BAY CREEKChum</v>
          </cell>
          <cell r="AB132">
            <v>0</v>
          </cell>
          <cell r="AC132">
            <v>0</v>
          </cell>
          <cell r="AH132" t="str">
            <v>BEDINGFIELD BAY CREEKChum</v>
          </cell>
          <cell r="AI132">
            <v>0</v>
          </cell>
          <cell r="AJ132">
            <v>0</v>
          </cell>
        </row>
        <row r="133">
          <cell r="AA133" t="str">
            <v>BEDINGFIELD BAY CREEKChinook</v>
          </cell>
          <cell r="AB133">
            <v>0</v>
          </cell>
          <cell r="AC133">
            <v>0</v>
          </cell>
          <cell r="AH133" t="str">
            <v>BEDINGFIELD BAY CREEKChinook</v>
          </cell>
          <cell r="AI133">
            <v>0</v>
          </cell>
          <cell r="AJ133">
            <v>0</v>
          </cell>
        </row>
        <row r="134">
          <cell r="AA134" t="str">
            <v>BEDINGFIELD BAY CREEKSteelhead</v>
          </cell>
          <cell r="AB134">
            <v>0</v>
          </cell>
          <cell r="AC134">
            <v>0</v>
          </cell>
          <cell r="AH134" t="str">
            <v>BEDINGFIELD BAY CREEKSteelhead</v>
          </cell>
          <cell r="AI134">
            <v>0</v>
          </cell>
          <cell r="AJ134">
            <v>0</v>
          </cell>
        </row>
        <row r="135">
          <cell r="AA135" t="str">
            <v>BEDWELL RIVERSockeye</v>
          </cell>
          <cell r="AB135">
            <v>7</v>
          </cell>
          <cell r="AC135">
            <v>81</v>
          </cell>
          <cell r="AH135" t="str">
            <v>BEDWELL RIVERSockeye</v>
          </cell>
          <cell r="AI135" t="str">
            <v>AUC</v>
          </cell>
          <cell r="AJ135">
            <v>139</v>
          </cell>
        </row>
        <row r="136">
          <cell r="AA136" t="str">
            <v>BEDWELL RIVERCoho</v>
          </cell>
          <cell r="AB136">
            <v>7</v>
          </cell>
          <cell r="AC136">
            <v>611</v>
          </cell>
          <cell r="AH136" t="str">
            <v>BEDWELL RIVERCoho</v>
          </cell>
          <cell r="AI136" t="str">
            <v>AUC</v>
          </cell>
          <cell r="AJ136">
            <v>1040</v>
          </cell>
        </row>
        <row r="137">
          <cell r="AA137" t="str">
            <v>BEDWELL RIVERPink</v>
          </cell>
          <cell r="AB137">
            <v>7</v>
          </cell>
          <cell r="AC137">
            <v>49</v>
          </cell>
          <cell r="AH137" t="str">
            <v>BEDWELL RIVERPink</v>
          </cell>
          <cell r="AI137" t="str">
            <v>AUC</v>
          </cell>
          <cell r="AJ137">
            <v>92</v>
          </cell>
        </row>
        <row r="138">
          <cell r="AA138" t="str">
            <v>BEDWELL RIVERChum</v>
          </cell>
          <cell r="AB138">
            <v>7</v>
          </cell>
          <cell r="AC138">
            <v>1368</v>
          </cell>
          <cell r="AH138" t="str">
            <v>BEDWELL RIVERChum</v>
          </cell>
          <cell r="AI138" t="str">
            <v>AUC</v>
          </cell>
          <cell r="AJ138">
            <v>2677</v>
          </cell>
        </row>
        <row r="139">
          <cell r="AA139" t="str">
            <v>BEDWELL RIVERChinook</v>
          </cell>
          <cell r="AB139">
            <v>7</v>
          </cell>
          <cell r="AC139">
            <v>411</v>
          </cell>
          <cell r="AH139" t="str">
            <v>BEDWELL RIVERChinook</v>
          </cell>
          <cell r="AI139" t="str">
            <v>AUC</v>
          </cell>
          <cell r="AJ139">
            <v>584</v>
          </cell>
        </row>
        <row r="140">
          <cell r="AA140" t="str">
            <v>BEDWELL RIVERSteelhead</v>
          </cell>
          <cell r="AB140">
            <v>7</v>
          </cell>
          <cell r="AC140">
            <v>0</v>
          </cell>
          <cell r="AH140" t="str">
            <v>BEDWELL RIVERSteelhead</v>
          </cell>
          <cell r="AI140">
            <v>0</v>
          </cell>
          <cell r="AJ140" t="str">
            <v>NO</v>
          </cell>
        </row>
        <row r="141">
          <cell r="AA141" t="str">
            <v>CHUM CREEKSockeye</v>
          </cell>
          <cell r="AB141">
            <v>0</v>
          </cell>
          <cell r="AC141">
            <v>0</v>
          </cell>
          <cell r="AH141" t="str">
            <v>CHUM CREEKSockeye</v>
          </cell>
          <cell r="AI141">
            <v>0</v>
          </cell>
          <cell r="AJ141">
            <v>0</v>
          </cell>
        </row>
        <row r="142">
          <cell r="AA142" t="str">
            <v>CHUM CREEKCoho</v>
          </cell>
          <cell r="AB142">
            <v>0</v>
          </cell>
          <cell r="AC142">
            <v>0</v>
          </cell>
          <cell r="AH142" t="str">
            <v>CHUM CREEKCoho</v>
          </cell>
          <cell r="AI142">
            <v>0</v>
          </cell>
          <cell r="AJ142">
            <v>0</v>
          </cell>
        </row>
        <row r="143">
          <cell r="AA143" t="str">
            <v>CHUM CREEKPink</v>
          </cell>
          <cell r="AB143">
            <v>0</v>
          </cell>
          <cell r="AC143">
            <v>0</v>
          </cell>
          <cell r="AH143" t="str">
            <v>CHUM CREEKPink</v>
          </cell>
          <cell r="AI143">
            <v>0</v>
          </cell>
          <cell r="AJ143">
            <v>0</v>
          </cell>
        </row>
        <row r="144">
          <cell r="AA144" t="str">
            <v>CHUM CREEKChum</v>
          </cell>
          <cell r="AB144">
            <v>0</v>
          </cell>
          <cell r="AC144">
            <v>0</v>
          </cell>
          <cell r="AH144" t="str">
            <v>CHUM CREEKChum</v>
          </cell>
          <cell r="AI144">
            <v>0</v>
          </cell>
          <cell r="AJ144">
            <v>0</v>
          </cell>
        </row>
        <row r="145">
          <cell r="AA145" t="str">
            <v>CHUM CREEKChinook</v>
          </cell>
          <cell r="AB145">
            <v>0</v>
          </cell>
          <cell r="AC145">
            <v>0</v>
          </cell>
          <cell r="AH145" t="str">
            <v>CHUM CREEKChinook</v>
          </cell>
          <cell r="AI145">
            <v>0</v>
          </cell>
          <cell r="AJ145">
            <v>0</v>
          </cell>
        </row>
        <row r="146">
          <cell r="AA146" t="str">
            <v>CHUM CREEKSteelhead</v>
          </cell>
          <cell r="AB146">
            <v>0</v>
          </cell>
          <cell r="AC146">
            <v>0</v>
          </cell>
          <cell r="AH146" t="str">
            <v>CHUM CREEKSteelhead</v>
          </cell>
          <cell r="AI146">
            <v>0</v>
          </cell>
          <cell r="AJ146">
            <v>0</v>
          </cell>
        </row>
        <row r="147">
          <cell r="AA147" t="str">
            <v>CONUMA RIVERSockeye</v>
          </cell>
          <cell r="AB147">
            <v>4</v>
          </cell>
          <cell r="AC147">
            <v>105</v>
          </cell>
          <cell r="AH147" t="str">
            <v>CONUMA RIVERSockeye</v>
          </cell>
          <cell r="AI147" t="str">
            <v>AUC</v>
          </cell>
          <cell r="AJ147">
            <v>306</v>
          </cell>
        </row>
        <row r="148">
          <cell r="AA148" t="str">
            <v>CONUMA RIVERCoho</v>
          </cell>
          <cell r="AB148">
            <v>4</v>
          </cell>
          <cell r="AC148">
            <v>1505</v>
          </cell>
          <cell r="AH148" t="str">
            <v>CONUMA RIVERCoho</v>
          </cell>
          <cell r="AI148" t="str">
            <v>AUC</v>
          </cell>
          <cell r="AJ148">
            <v>2328</v>
          </cell>
        </row>
        <row r="149">
          <cell r="AA149" t="str">
            <v>CONUMA RIVERPink</v>
          </cell>
          <cell r="AB149">
            <v>4</v>
          </cell>
          <cell r="AC149">
            <v>3</v>
          </cell>
          <cell r="AH149" t="str">
            <v>CONUMA RIVERPink</v>
          </cell>
          <cell r="AI149" t="str">
            <v>PL+D</v>
          </cell>
          <cell r="AJ149">
            <v>4</v>
          </cell>
        </row>
        <row r="150">
          <cell r="AA150" t="str">
            <v>CONUMA RIVERChum</v>
          </cell>
          <cell r="AB150">
            <v>4</v>
          </cell>
          <cell r="AC150">
            <v>10506</v>
          </cell>
          <cell r="AH150" t="str">
            <v>CONUMA RIVERChum</v>
          </cell>
          <cell r="AI150" t="str">
            <v>AUC</v>
          </cell>
          <cell r="AJ150">
            <v>14806</v>
          </cell>
        </row>
        <row r="151">
          <cell r="AA151" t="str">
            <v>CONUMA RIVERChinook</v>
          </cell>
          <cell r="AB151">
            <v>4</v>
          </cell>
          <cell r="AC151">
            <v>42224</v>
          </cell>
          <cell r="AH151" t="str">
            <v>CONUMA RIVERChinook</v>
          </cell>
          <cell r="AI151" t="str">
            <v>AUC</v>
          </cell>
          <cell r="AJ151">
            <v>60760</v>
          </cell>
        </row>
        <row r="152">
          <cell r="AA152" t="str">
            <v>CONUMA RIVERSteelhead</v>
          </cell>
          <cell r="AB152">
            <v>4</v>
          </cell>
          <cell r="AC152">
            <v>9</v>
          </cell>
          <cell r="AH152" t="str">
            <v>CONUMA RIVERSteelhead</v>
          </cell>
          <cell r="AI152" t="str">
            <v>PL+D</v>
          </cell>
          <cell r="AJ152">
            <v>9</v>
          </cell>
        </row>
        <row r="153">
          <cell r="AA153" t="str">
            <v>DESERTED CREEKSockeye</v>
          </cell>
          <cell r="AB153">
            <v>2</v>
          </cell>
          <cell r="AC153">
            <v>0</v>
          </cell>
          <cell r="AH153" t="str">
            <v>DESERTED CREEKSockeye</v>
          </cell>
          <cell r="AI153">
            <v>0</v>
          </cell>
          <cell r="AJ153" t="str">
            <v>NO</v>
          </cell>
        </row>
        <row r="154">
          <cell r="AA154" t="str">
            <v>DESERTED CREEKCoho</v>
          </cell>
          <cell r="AB154">
            <v>2</v>
          </cell>
          <cell r="AC154">
            <v>0</v>
          </cell>
          <cell r="AH154" t="str">
            <v>DESERTED CREEKCoho</v>
          </cell>
          <cell r="AI154">
            <v>0</v>
          </cell>
          <cell r="AJ154" t="str">
            <v>NO</v>
          </cell>
        </row>
        <row r="155">
          <cell r="AA155" t="str">
            <v>DESERTED CREEKPink</v>
          </cell>
          <cell r="AB155">
            <v>2</v>
          </cell>
          <cell r="AC155">
            <v>2</v>
          </cell>
          <cell r="AH155" t="str">
            <v>DESERTED CREEKPink</v>
          </cell>
          <cell r="AI155">
            <v>0</v>
          </cell>
          <cell r="AJ155" t="str">
            <v>AP</v>
          </cell>
        </row>
        <row r="156">
          <cell r="AA156" t="str">
            <v>DESERTED CREEKChum</v>
          </cell>
          <cell r="AB156">
            <v>2</v>
          </cell>
          <cell r="AC156">
            <v>962</v>
          </cell>
          <cell r="AH156" t="str">
            <v>DESERTED CREEKChum</v>
          </cell>
          <cell r="AI156" t="str">
            <v>PL+D</v>
          </cell>
          <cell r="AJ156">
            <v>1202</v>
          </cell>
        </row>
        <row r="157">
          <cell r="AA157" t="str">
            <v>DESERTED CREEKChinook</v>
          </cell>
          <cell r="AB157">
            <v>2</v>
          </cell>
          <cell r="AC157">
            <v>0</v>
          </cell>
          <cell r="AH157" t="str">
            <v>DESERTED CREEKChinook</v>
          </cell>
          <cell r="AI157">
            <v>0</v>
          </cell>
          <cell r="AJ157" t="str">
            <v>NO</v>
          </cell>
        </row>
        <row r="158">
          <cell r="AA158" t="str">
            <v>DESERTED CREEKSteelhead</v>
          </cell>
          <cell r="AB158">
            <v>2</v>
          </cell>
          <cell r="AC158">
            <v>0</v>
          </cell>
          <cell r="AH158" t="str">
            <v>DESERTED CREEKSteelhead</v>
          </cell>
          <cell r="AI158">
            <v>0</v>
          </cell>
          <cell r="AJ158">
            <v>0</v>
          </cell>
        </row>
        <row r="159">
          <cell r="AA159" t="str">
            <v>ELIZA CREEKSockeye</v>
          </cell>
          <cell r="AB159">
            <v>0</v>
          </cell>
          <cell r="AC159">
            <v>0</v>
          </cell>
          <cell r="AH159" t="str">
            <v>ELIZA CREEKSockeye</v>
          </cell>
          <cell r="AI159">
            <v>0</v>
          </cell>
          <cell r="AJ159">
            <v>0</v>
          </cell>
        </row>
        <row r="160">
          <cell r="AA160" t="str">
            <v>ELIZA CREEKCoho</v>
          </cell>
          <cell r="AB160">
            <v>0</v>
          </cell>
          <cell r="AC160">
            <v>0</v>
          </cell>
          <cell r="AH160" t="str">
            <v>ELIZA CREEKCoho</v>
          </cell>
          <cell r="AI160">
            <v>0</v>
          </cell>
          <cell r="AJ160">
            <v>0</v>
          </cell>
        </row>
        <row r="161">
          <cell r="AA161" t="str">
            <v>ELIZA CREEKPink</v>
          </cell>
          <cell r="AB161">
            <v>0</v>
          </cell>
          <cell r="AC161">
            <v>0</v>
          </cell>
          <cell r="AH161" t="str">
            <v>ELIZA CREEKPink</v>
          </cell>
          <cell r="AI161">
            <v>0</v>
          </cell>
          <cell r="AJ161">
            <v>0</v>
          </cell>
        </row>
        <row r="162">
          <cell r="AA162" t="str">
            <v>ELIZA CREEKChum</v>
          </cell>
          <cell r="AB162">
            <v>0</v>
          </cell>
          <cell r="AC162">
            <v>0</v>
          </cell>
          <cell r="AH162" t="str">
            <v>ELIZA CREEKChum</v>
          </cell>
          <cell r="AI162">
            <v>0</v>
          </cell>
          <cell r="AJ162">
            <v>0</v>
          </cell>
        </row>
        <row r="163">
          <cell r="AA163" t="str">
            <v>ELIZA CREEKChinook</v>
          </cell>
          <cell r="AB163">
            <v>0</v>
          </cell>
          <cell r="AC163">
            <v>0</v>
          </cell>
          <cell r="AH163" t="str">
            <v>ELIZA CREEKChinook</v>
          </cell>
          <cell r="AI163">
            <v>0</v>
          </cell>
          <cell r="AJ163">
            <v>0</v>
          </cell>
        </row>
        <row r="164">
          <cell r="AA164" t="str">
            <v>ELIZA CREEKSteelhead</v>
          </cell>
          <cell r="AB164">
            <v>0</v>
          </cell>
          <cell r="AC164">
            <v>0</v>
          </cell>
          <cell r="AH164" t="str">
            <v>ELIZA CREEKSteelhead</v>
          </cell>
          <cell r="AI164">
            <v>0</v>
          </cell>
          <cell r="AJ164">
            <v>0</v>
          </cell>
        </row>
        <row r="165">
          <cell r="AA165" t="str">
            <v>ESPINOSA CREEKSockeye</v>
          </cell>
          <cell r="AB165">
            <v>3</v>
          </cell>
          <cell r="AC165">
            <v>0</v>
          </cell>
          <cell r="AH165" t="str">
            <v>ESPINOSA CREEKSockeye</v>
          </cell>
          <cell r="AI165">
            <v>0</v>
          </cell>
          <cell r="AJ165" t="str">
            <v>NO</v>
          </cell>
        </row>
        <row r="166">
          <cell r="AA166" t="str">
            <v>ESPINOSA CREEKCoho</v>
          </cell>
          <cell r="AB166">
            <v>3</v>
          </cell>
          <cell r="AC166">
            <v>0</v>
          </cell>
          <cell r="AH166" t="str">
            <v>ESPINOSA CREEKCoho</v>
          </cell>
          <cell r="AI166">
            <v>0</v>
          </cell>
          <cell r="AJ166" t="str">
            <v>NO</v>
          </cell>
        </row>
        <row r="167">
          <cell r="AA167" t="str">
            <v>ESPINOSA CREEKPink</v>
          </cell>
          <cell r="AB167">
            <v>3</v>
          </cell>
          <cell r="AC167">
            <v>12</v>
          </cell>
          <cell r="AH167" t="str">
            <v>ESPINOSA CREEKPink</v>
          </cell>
          <cell r="AI167" t="str">
            <v>PL+D</v>
          </cell>
          <cell r="AJ167">
            <v>12</v>
          </cell>
        </row>
        <row r="168">
          <cell r="AA168" t="str">
            <v>ESPINOSA CREEKChum</v>
          </cell>
          <cell r="AB168">
            <v>3</v>
          </cell>
          <cell r="AC168">
            <v>800</v>
          </cell>
          <cell r="AH168" t="str">
            <v>ESPINOSA CREEKChum</v>
          </cell>
          <cell r="AI168" t="str">
            <v>PL+D</v>
          </cell>
          <cell r="AJ168">
            <v>889</v>
          </cell>
        </row>
        <row r="169">
          <cell r="AA169" t="str">
            <v>ESPINOSA CREEKChinook</v>
          </cell>
          <cell r="AB169">
            <v>3</v>
          </cell>
          <cell r="AC169">
            <v>0</v>
          </cell>
          <cell r="AH169" t="str">
            <v>ESPINOSA CREEKChinook</v>
          </cell>
          <cell r="AI169">
            <v>0</v>
          </cell>
          <cell r="AJ169" t="str">
            <v>NO</v>
          </cell>
        </row>
        <row r="170">
          <cell r="AA170" t="str">
            <v>ESPINOSA CREEKSteelhead</v>
          </cell>
          <cell r="AB170">
            <v>3</v>
          </cell>
          <cell r="AC170">
            <v>2</v>
          </cell>
          <cell r="AH170" t="str">
            <v>ESPINOSA CREEKSteelhead</v>
          </cell>
          <cell r="AI170" t="str">
            <v>PL+D</v>
          </cell>
          <cell r="AJ170">
            <v>2</v>
          </cell>
        </row>
        <row r="171">
          <cell r="AA171" t="str">
            <v>GOLD RIVERSockeye</v>
          </cell>
          <cell r="AB171">
            <v>1</v>
          </cell>
          <cell r="AC171">
            <v>0</v>
          </cell>
          <cell r="AH171" t="str">
            <v>GOLD RIVERSockeye</v>
          </cell>
          <cell r="AI171">
            <v>0</v>
          </cell>
          <cell r="AJ171" t="str">
            <v>AP</v>
          </cell>
        </row>
        <row r="172">
          <cell r="AA172" t="str">
            <v>GOLD RIVERCoho</v>
          </cell>
          <cell r="AB172">
            <v>1</v>
          </cell>
          <cell r="AC172">
            <v>0</v>
          </cell>
          <cell r="AH172" t="str">
            <v>GOLD RIVERCoho</v>
          </cell>
          <cell r="AI172">
            <v>0</v>
          </cell>
          <cell r="AJ172" t="str">
            <v>AP</v>
          </cell>
        </row>
        <row r="173">
          <cell r="AA173" t="str">
            <v>GOLD RIVERPink</v>
          </cell>
          <cell r="AB173">
            <v>0</v>
          </cell>
          <cell r="AC173">
            <v>0</v>
          </cell>
          <cell r="AH173" t="str">
            <v>GOLD RIVERPink</v>
          </cell>
          <cell r="AI173">
            <v>0</v>
          </cell>
          <cell r="AJ173">
            <v>0</v>
          </cell>
        </row>
        <row r="174">
          <cell r="AA174" t="str">
            <v>GOLD RIVERChum</v>
          </cell>
          <cell r="AB174">
            <v>1</v>
          </cell>
          <cell r="AC174">
            <v>600</v>
          </cell>
          <cell r="AH174" t="str">
            <v>GOLD RIVERChum</v>
          </cell>
          <cell r="AI174">
            <v>0</v>
          </cell>
          <cell r="AJ174" t="str">
            <v>AP</v>
          </cell>
        </row>
        <row r="175">
          <cell r="AA175" t="str">
            <v>GOLD RIVERChinook</v>
          </cell>
          <cell r="AB175">
            <v>1</v>
          </cell>
          <cell r="AC175">
            <v>0</v>
          </cell>
          <cell r="AH175" t="str">
            <v>GOLD RIVERChinook</v>
          </cell>
          <cell r="AI175" t="str">
            <v>PL+D</v>
          </cell>
          <cell r="AJ175">
            <v>1580</v>
          </cell>
        </row>
        <row r="176">
          <cell r="AA176" t="str">
            <v>GOLD RIVERSteelhead</v>
          </cell>
          <cell r="AB176">
            <v>0</v>
          </cell>
          <cell r="AC176">
            <v>0</v>
          </cell>
          <cell r="AH176" t="str">
            <v>GOLD RIVERSteelhead</v>
          </cell>
          <cell r="AI176">
            <v>0</v>
          </cell>
          <cell r="AJ176">
            <v>0</v>
          </cell>
        </row>
        <row r="177">
          <cell r="AA177" t="str">
            <v>ARTLISH RIVERSockeye</v>
          </cell>
          <cell r="AB177">
            <v>10</v>
          </cell>
          <cell r="AC177">
            <v>2</v>
          </cell>
          <cell r="AH177" t="str">
            <v>ARTLISH RIVERSockeye</v>
          </cell>
          <cell r="AI177" t="str">
            <v>AUC</v>
          </cell>
          <cell r="AJ177">
            <v>5</v>
          </cell>
        </row>
        <row r="178">
          <cell r="AA178" t="str">
            <v>ARTLISH RIVERCoho</v>
          </cell>
          <cell r="AB178">
            <v>10</v>
          </cell>
          <cell r="AC178">
            <v>1468</v>
          </cell>
          <cell r="AH178" t="str">
            <v>ARTLISH RIVERCoho</v>
          </cell>
          <cell r="AI178" t="str">
            <v>AUC</v>
          </cell>
          <cell r="AJ178">
            <v>3062</v>
          </cell>
        </row>
        <row r="179">
          <cell r="AA179" t="str">
            <v>ARTLISH RIVERPink</v>
          </cell>
          <cell r="AB179">
            <v>10</v>
          </cell>
          <cell r="AC179">
            <v>4</v>
          </cell>
          <cell r="AH179" t="str">
            <v>ARTLISH RIVERPink</v>
          </cell>
          <cell r="AI179" t="str">
            <v>AUC</v>
          </cell>
          <cell r="AJ179">
            <v>6</v>
          </cell>
        </row>
        <row r="180">
          <cell r="AA180" t="str">
            <v>ARTLISH RIVERChum</v>
          </cell>
          <cell r="AB180">
            <v>10</v>
          </cell>
          <cell r="AC180">
            <v>2089</v>
          </cell>
          <cell r="AH180" t="str">
            <v>ARTLISH RIVERChum</v>
          </cell>
          <cell r="AI180" t="str">
            <v>AUC</v>
          </cell>
          <cell r="AJ180">
            <v>3746</v>
          </cell>
        </row>
        <row r="181">
          <cell r="AA181" t="str">
            <v>ARTLISH RIVERChinook</v>
          </cell>
          <cell r="AB181">
            <v>10</v>
          </cell>
          <cell r="AC181">
            <v>252</v>
          </cell>
          <cell r="AH181" t="str">
            <v>ARTLISH RIVERChinook</v>
          </cell>
          <cell r="AI181" t="str">
            <v>AUC</v>
          </cell>
          <cell r="AJ181">
            <v>399</v>
          </cell>
        </row>
        <row r="182">
          <cell r="AA182" t="str">
            <v>ARTLISH RIVERSteelhead</v>
          </cell>
          <cell r="AB182">
            <v>10</v>
          </cell>
          <cell r="AC182">
            <v>8</v>
          </cell>
          <cell r="AH182" t="str">
            <v>ARTLISH RIVERSteelhead</v>
          </cell>
          <cell r="AI182" t="str">
            <v>PL+D</v>
          </cell>
          <cell r="AJ182">
            <v>8</v>
          </cell>
        </row>
        <row r="183">
          <cell r="AA183" t="str">
            <v>CACHALOT CREEKSockeye</v>
          </cell>
          <cell r="AB183">
            <v>1</v>
          </cell>
          <cell r="AC183">
            <v>0</v>
          </cell>
          <cell r="AH183" t="str">
            <v>CACHALOT CREEKSockeye</v>
          </cell>
          <cell r="AI183">
            <v>0</v>
          </cell>
          <cell r="AJ183">
            <v>0</v>
          </cell>
        </row>
        <row r="184">
          <cell r="AA184" t="str">
            <v>CACHALOT CREEKCoho</v>
          </cell>
          <cell r="AB184">
            <v>1</v>
          </cell>
          <cell r="AC184">
            <v>35</v>
          </cell>
          <cell r="AH184" t="str">
            <v>CACHALOT CREEKCoho</v>
          </cell>
          <cell r="AI184" t="str">
            <v>PL+D</v>
          </cell>
          <cell r="AJ184">
            <v>45</v>
          </cell>
        </row>
        <row r="185">
          <cell r="AA185" t="str">
            <v>CACHALOT CREEKPink</v>
          </cell>
          <cell r="AB185">
            <v>1</v>
          </cell>
          <cell r="AC185">
            <v>0</v>
          </cell>
          <cell r="AH185" t="str">
            <v>CACHALOT CREEKPink</v>
          </cell>
          <cell r="AI185">
            <v>0</v>
          </cell>
          <cell r="AJ185">
            <v>0</v>
          </cell>
        </row>
        <row r="186">
          <cell r="AA186" t="str">
            <v>CACHALOT CREEKChum</v>
          </cell>
          <cell r="AB186">
            <v>1</v>
          </cell>
          <cell r="AC186">
            <v>16</v>
          </cell>
          <cell r="AH186" t="str">
            <v>CACHALOT CREEKChum</v>
          </cell>
          <cell r="AI186" t="str">
            <v>PL+D</v>
          </cell>
          <cell r="AJ186">
            <v>17</v>
          </cell>
        </row>
        <row r="187">
          <cell r="AA187" t="str">
            <v>CACHALOT CREEKChinook</v>
          </cell>
          <cell r="AB187">
            <v>1</v>
          </cell>
          <cell r="AC187">
            <v>0</v>
          </cell>
          <cell r="AH187" t="str">
            <v>CACHALOT CREEKChinook</v>
          </cell>
          <cell r="AI187">
            <v>0</v>
          </cell>
          <cell r="AJ187">
            <v>0</v>
          </cell>
        </row>
        <row r="188">
          <cell r="AA188" t="str">
            <v>CACHALOT CREEKSteelhead</v>
          </cell>
          <cell r="AB188">
            <v>1</v>
          </cell>
          <cell r="AC188">
            <v>0</v>
          </cell>
          <cell r="AH188" t="str">
            <v>CACHALOT CREEKSteelhead</v>
          </cell>
          <cell r="AI188">
            <v>0</v>
          </cell>
          <cell r="AJ188">
            <v>0</v>
          </cell>
        </row>
        <row r="189">
          <cell r="AA189" t="str">
            <v>CHAMISS CREEKSockeye</v>
          </cell>
          <cell r="AB189">
            <v>2</v>
          </cell>
          <cell r="AC189">
            <v>0</v>
          </cell>
          <cell r="AH189" t="str">
            <v>CHAMISS CREEKSockeye</v>
          </cell>
          <cell r="AI189">
            <v>0</v>
          </cell>
          <cell r="AJ189">
            <v>0</v>
          </cell>
        </row>
        <row r="190">
          <cell r="AA190" t="str">
            <v>CHAMISS CREEKCoho</v>
          </cell>
          <cell r="AB190">
            <v>2</v>
          </cell>
          <cell r="AC190">
            <v>63</v>
          </cell>
          <cell r="AH190" t="str">
            <v>CHAMISS CREEKCoho</v>
          </cell>
          <cell r="AI190" t="str">
            <v>PL+D</v>
          </cell>
          <cell r="AJ190">
            <v>80</v>
          </cell>
        </row>
        <row r="191">
          <cell r="AA191" t="str">
            <v>CHAMISS CREEKPink</v>
          </cell>
          <cell r="AB191">
            <v>2</v>
          </cell>
          <cell r="AC191">
            <v>0</v>
          </cell>
          <cell r="AH191" t="str">
            <v>CHAMISS CREEKPink</v>
          </cell>
          <cell r="AI191">
            <v>0</v>
          </cell>
          <cell r="AJ191">
            <v>0</v>
          </cell>
        </row>
        <row r="192">
          <cell r="AA192" t="str">
            <v>CHAMISS CREEKChum</v>
          </cell>
          <cell r="AB192">
            <v>2</v>
          </cell>
          <cell r="AC192">
            <v>1599</v>
          </cell>
          <cell r="AH192" t="str">
            <v>CHAMISS CREEKChum</v>
          </cell>
          <cell r="AI192" t="str">
            <v>PL+D</v>
          </cell>
          <cell r="AJ192">
            <v>2036</v>
          </cell>
        </row>
        <row r="193">
          <cell r="AA193" t="str">
            <v>CHAMISS CREEKChinook</v>
          </cell>
          <cell r="AB193">
            <v>2</v>
          </cell>
          <cell r="AC193">
            <v>0</v>
          </cell>
          <cell r="AH193" t="str">
            <v>CHAMISS CREEKChinook</v>
          </cell>
          <cell r="AI193">
            <v>0</v>
          </cell>
          <cell r="AJ193">
            <v>0</v>
          </cell>
        </row>
        <row r="194">
          <cell r="AA194" t="str">
            <v>CHAMISS CREEKSteelhead</v>
          </cell>
          <cell r="AB194">
            <v>2</v>
          </cell>
          <cell r="AC194">
            <v>0</v>
          </cell>
          <cell r="AH194" t="str">
            <v>CHAMISS CREEKSteelhead</v>
          </cell>
          <cell r="AI194">
            <v>0</v>
          </cell>
          <cell r="AJ194">
            <v>0</v>
          </cell>
        </row>
        <row r="195">
          <cell r="AA195" t="str">
            <v/>
          </cell>
          <cell r="AH195" t="str">
            <v/>
          </cell>
          <cell r="AI195">
            <v>0</v>
          </cell>
          <cell r="AJ195">
            <v>0</v>
          </cell>
        </row>
        <row r="196">
          <cell r="AA196" t="str">
            <v>Level 4 Streams</v>
          </cell>
          <cell r="AH196" t="str">
            <v/>
          </cell>
          <cell r="AI196">
            <v>0</v>
          </cell>
          <cell r="AJ196">
            <v>0</v>
          </cell>
        </row>
        <row r="197">
          <cell r="AA197" t="str">
            <v>SystemSpecies</v>
          </cell>
          <cell r="AH197" t="str">
            <v>SystemSpecies</v>
          </cell>
          <cell r="AI197">
            <v>0</v>
          </cell>
          <cell r="AJ197">
            <v>0</v>
          </cell>
        </row>
        <row r="198">
          <cell r="AA198" t="str">
            <v>BAKER CREEKSockeye</v>
          </cell>
          <cell r="AB198">
            <v>0</v>
          </cell>
          <cell r="AC198">
            <v>0</v>
          </cell>
          <cell r="AH198" t="str">
            <v>BAKER CREEKSockeye</v>
          </cell>
          <cell r="AI198">
            <v>0</v>
          </cell>
          <cell r="AJ198">
            <v>0</v>
          </cell>
        </row>
        <row r="199">
          <cell r="AA199" t="str">
            <v>BAKER CREEKCoho</v>
          </cell>
          <cell r="AB199">
            <v>0</v>
          </cell>
          <cell r="AC199">
            <v>0</v>
          </cell>
          <cell r="AH199" t="str">
            <v>BAKER CREEKCoho</v>
          </cell>
          <cell r="AI199">
            <v>0</v>
          </cell>
          <cell r="AJ199">
            <v>0</v>
          </cell>
        </row>
        <row r="200">
          <cell r="AA200" t="str">
            <v>BAKER CREEKPink</v>
          </cell>
          <cell r="AB200">
            <v>0</v>
          </cell>
          <cell r="AC200">
            <v>0</v>
          </cell>
          <cell r="AH200" t="str">
            <v>BAKER CREEKPink</v>
          </cell>
          <cell r="AI200">
            <v>0</v>
          </cell>
          <cell r="AJ200">
            <v>0</v>
          </cell>
        </row>
        <row r="201">
          <cell r="AA201" t="str">
            <v>BAKER CREEKChum</v>
          </cell>
          <cell r="AB201">
            <v>0</v>
          </cell>
          <cell r="AC201">
            <v>0</v>
          </cell>
          <cell r="AH201" t="str">
            <v>BAKER CREEKChum</v>
          </cell>
          <cell r="AI201">
            <v>0</v>
          </cell>
          <cell r="AJ201">
            <v>0</v>
          </cell>
        </row>
        <row r="202">
          <cell r="AA202" t="str">
            <v>BAKER CREEKChinook</v>
          </cell>
          <cell r="AB202">
            <v>0</v>
          </cell>
          <cell r="AC202">
            <v>0</v>
          </cell>
          <cell r="AH202" t="str">
            <v>BAKER CREEKChinook</v>
          </cell>
          <cell r="AI202">
            <v>0</v>
          </cell>
          <cell r="AJ202">
            <v>0</v>
          </cell>
        </row>
        <row r="203">
          <cell r="AA203" t="str">
            <v>BAKER CREEKSteelhead</v>
          </cell>
          <cell r="AB203">
            <v>0</v>
          </cell>
          <cell r="AC203">
            <v>0</v>
          </cell>
          <cell r="AH203" t="str">
            <v>BAKER CREEKSteelhead</v>
          </cell>
          <cell r="AI203">
            <v>0</v>
          </cell>
          <cell r="AJ203">
            <v>0</v>
          </cell>
        </row>
        <row r="204">
          <cell r="AA204" t="str">
            <v>CHARTERS RIVERSockeye</v>
          </cell>
          <cell r="AB204">
            <v>0</v>
          </cell>
          <cell r="AC204">
            <v>0</v>
          </cell>
          <cell r="AH204" t="str">
            <v>CHARTERS RIVERSockeye</v>
          </cell>
          <cell r="AI204">
            <v>0</v>
          </cell>
          <cell r="AJ204">
            <v>0</v>
          </cell>
        </row>
        <row r="205">
          <cell r="AA205" t="str">
            <v>CHARTERS RIVERCoho</v>
          </cell>
          <cell r="AB205">
            <v>0</v>
          </cell>
          <cell r="AC205">
            <v>0</v>
          </cell>
          <cell r="AH205" t="str">
            <v>CHARTERS RIVERCoho</v>
          </cell>
          <cell r="AI205">
            <v>0</v>
          </cell>
          <cell r="AJ205">
            <v>0</v>
          </cell>
        </row>
        <row r="206">
          <cell r="AA206" t="str">
            <v>CHARTERS RIVERPink</v>
          </cell>
          <cell r="AB206">
            <v>0</v>
          </cell>
          <cell r="AC206">
            <v>0</v>
          </cell>
          <cell r="AH206" t="str">
            <v>CHARTERS RIVERPink</v>
          </cell>
          <cell r="AI206">
            <v>0</v>
          </cell>
          <cell r="AJ206">
            <v>0</v>
          </cell>
        </row>
        <row r="207">
          <cell r="AA207" t="str">
            <v>CHARTERS RIVERChum</v>
          </cell>
          <cell r="AB207">
            <v>0</v>
          </cell>
          <cell r="AC207">
            <v>0</v>
          </cell>
          <cell r="AH207" t="str">
            <v>CHARTERS RIVERChum</v>
          </cell>
          <cell r="AI207">
            <v>0</v>
          </cell>
          <cell r="AJ207">
            <v>0</v>
          </cell>
        </row>
        <row r="208">
          <cell r="AA208" t="str">
            <v>CHARTERS RIVERChinook</v>
          </cell>
          <cell r="AB208">
            <v>0</v>
          </cell>
          <cell r="AC208">
            <v>0</v>
          </cell>
          <cell r="AH208" t="str">
            <v>CHARTERS RIVERChinook</v>
          </cell>
          <cell r="AI208">
            <v>0</v>
          </cell>
          <cell r="AJ208">
            <v>0</v>
          </cell>
        </row>
        <row r="209">
          <cell r="AA209" t="str">
            <v>CHARTERS RIVERSteelhead</v>
          </cell>
          <cell r="AB209">
            <v>0</v>
          </cell>
          <cell r="AC209">
            <v>0</v>
          </cell>
          <cell r="AH209" t="str">
            <v>CHARTERS RIVERSteelhead</v>
          </cell>
          <cell r="AI209">
            <v>0</v>
          </cell>
          <cell r="AJ209">
            <v>0</v>
          </cell>
        </row>
        <row r="210">
          <cell r="AA210" t="str">
            <v>DE MAMIEL CREEKSockeye</v>
          </cell>
          <cell r="AB210">
            <v>0</v>
          </cell>
          <cell r="AC210">
            <v>0</v>
          </cell>
          <cell r="AH210" t="str">
            <v>DE MAMIEL CREEKSockeye</v>
          </cell>
          <cell r="AI210">
            <v>0</v>
          </cell>
          <cell r="AJ210">
            <v>0</v>
          </cell>
        </row>
        <row r="211">
          <cell r="AA211" t="str">
            <v>DE MAMIEL CREEKCoho</v>
          </cell>
          <cell r="AB211">
            <v>0</v>
          </cell>
          <cell r="AC211">
            <v>0</v>
          </cell>
          <cell r="AH211" t="str">
            <v>DE MAMIEL CREEKCoho</v>
          </cell>
          <cell r="AI211">
            <v>0</v>
          </cell>
          <cell r="AJ211">
            <v>0</v>
          </cell>
        </row>
        <row r="212">
          <cell r="AA212" t="str">
            <v>DE MAMIEL CREEKPink</v>
          </cell>
          <cell r="AB212">
            <v>0</v>
          </cell>
          <cell r="AC212">
            <v>0</v>
          </cell>
          <cell r="AH212" t="str">
            <v>DE MAMIEL CREEKPink</v>
          </cell>
          <cell r="AI212">
            <v>0</v>
          </cell>
          <cell r="AJ212">
            <v>0</v>
          </cell>
        </row>
        <row r="213">
          <cell r="AA213" t="str">
            <v>DE MAMIEL CREEKChum</v>
          </cell>
          <cell r="AB213">
            <v>0</v>
          </cell>
          <cell r="AC213">
            <v>0</v>
          </cell>
          <cell r="AH213" t="str">
            <v>DE MAMIEL CREEKChum</v>
          </cell>
          <cell r="AI213">
            <v>0</v>
          </cell>
          <cell r="AJ213">
            <v>0</v>
          </cell>
        </row>
        <row r="214">
          <cell r="AA214" t="str">
            <v>DE MAMIEL CREEKChinook</v>
          </cell>
          <cell r="AB214">
            <v>0</v>
          </cell>
          <cell r="AC214">
            <v>0</v>
          </cell>
          <cell r="AH214" t="str">
            <v>DE MAMIEL CREEKChinook</v>
          </cell>
          <cell r="AI214">
            <v>0</v>
          </cell>
          <cell r="AJ214">
            <v>0</v>
          </cell>
        </row>
        <row r="215">
          <cell r="AA215" t="str">
            <v>DE MAMIEL CREEKSteelhead</v>
          </cell>
          <cell r="AB215">
            <v>0</v>
          </cell>
          <cell r="AC215">
            <v>0</v>
          </cell>
          <cell r="AH215" t="str">
            <v>DE MAMIEL CREEKSteelhead</v>
          </cell>
          <cell r="AI215">
            <v>0</v>
          </cell>
          <cell r="AJ215">
            <v>0</v>
          </cell>
        </row>
        <row r="216">
          <cell r="AA216" t="str">
            <v>FAIRY CREEKSockeye</v>
          </cell>
          <cell r="AB216">
            <v>0</v>
          </cell>
          <cell r="AC216">
            <v>0</v>
          </cell>
          <cell r="AH216" t="str">
            <v>FAIRY CREEKSockeye</v>
          </cell>
          <cell r="AI216">
            <v>0</v>
          </cell>
          <cell r="AJ216">
            <v>0</v>
          </cell>
        </row>
        <row r="217">
          <cell r="AA217" t="str">
            <v>FAIRY CREEKCoho</v>
          </cell>
          <cell r="AB217">
            <v>0</v>
          </cell>
          <cell r="AC217">
            <v>0</v>
          </cell>
          <cell r="AH217" t="str">
            <v>FAIRY CREEKCoho</v>
          </cell>
          <cell r="AI217">
            <v>0</v>
          </cell>
          <cell r="AJ217">
            <v>0</v>
          </cell>
        </row>
        <row r="218">
          <cell r="AA218" t="str">
            <v>FAIRY CREEKPink</v>
          </cell>
          <cell r="AB218">
            <v>0</v>
          </cell>
          <cell r="AC218">
            <v>0</v>
          </cell>
          <cell r="AH218" t="str">
            <v>FAIRY CREEKPink</v>
          </cell>
          <cell r="AI218">
            <v>0</v>
          </cell>
          <cell r="AJ218">
            <v>0</v>
          </cell>
        </row>
        <row r="219">
          <cell r="AA219" t="str">
            <v>FAIRY CREEKChum</v>
          </cell>
          <cell r="AB219">
            <v>0</v>
          </cell>
          <cell r="AC219">
            <v>0</v>
          </cell>
          <cell r="AH219" t="str">
            <v>FAIRY CREEKChum</v>
          </cell>
          <cell r="AI219">
            <v>0</v>
          </cell>
          <cell r="AJ219">
            <v>0</v>
          </cell>
        </row>
        <row r="220">
          <cell r="AA220" t="str">
            <v>FAIRY CREEKChinook</v>
          </cell>
          <cell r="AB220">
            <v>0</v>
          </cell>
          <cell r="AC220">
            <v>0</v>
          </cell>
          <cell r="AH220" t="str">
            <v>FAIRY CREEKChinook</v>
          </cell>
          <cell r="AI220">
            <v>0</v>
          </cell>
          <cell r="AJ220">
            <v>0</v>
          </cell>
        </row>
        <row r="221">
          <cell r="AA221" t="str">
            <v>FAIRY CREEKSteelhead</v>
          </cell>
          <cell r="AB221">
            <v>0</v>
          </cell>
          <cell r="AC221">
            <v>0</v>
          </cell>
          <cell r="AH221" t="str">
            <v>FAIRY CREEKSteelhead</v>
          </cell>
          <cell r="AI221">
            <v>0</v>
          </cell>
          <cell r="AJ221">
            <v>0</v>
          </cell>
        </row>
        <row r="222">
          <cell r="AA222" t="str">
            <v>FALLS CREEKSockeye</v>
          </cell>
          <cell r="AB222">
            <v>1</v>
          </cell>
          <cell r="AC222">
            <v>0</v>
          </cell>
          <cell r="AH222" t="str">
            <v>FALLS CREEKSockeye</v>
          </cell>
          <cell r="AI222">
            <v>0</v>
          </cell>
          <cell r="AJ222">
            <v>0</v>
          </cell>
        </row>
        <row r="223">
          <cell r="AA223" t="str">
            <v>FALLS CREEKCoho</v>
          </cell>
          <cell r="AB223">
            <v>1</v>
          </cell>
          <cell r="AC223">
            <v>14</v>
          </cell>
          <cell r="AH223" t="str">
            <v>FALLS CREEKCoho</v>
          </cell>
          <cell r="AI223" t="str">
            <v>PL+D</v>
          </cell>
          <cell r="AJ223">
            <v>14</v>
          </cell>
        </row>
        <row r="224">
          <cell r="AA224" t="str">
            <v>FALLS CREEKPink</v>
          </cell>
          <cell r="AB224">
            <v>1</v>
          </cell>
          <cell r="AC224">
            <v>0</v>
          </cell>
          <cell r="AH224" t="str">
            <v>FALLS CREEKPink</v>
          </cell>
          <cell r="AI224">
            <v>0</v>
          </cell>
          <cell r="AJ224">
            <v>0</v>
          </cell>
        </row>
        <row r="225">
          <cell r="AA225" t="str">
            <v>FALLS CREEKChum</v>
          </cell>
          <cell r="AB225">
            <v>1</v>
          </cell>
          <cell r="AC225">
            <v>0</v>
          </cell>
          <cell r="AH225" t="str">
            <v>FALLS CREEKChum</v>
          </cell>
          <cell r="AI225">
            <v>0</v>
          </cell>
          <cell r="AJ225">
            <v>0</v>
          </cell>
        </row>
        <row r="226">
          <cell r="AA226" t="str">
            <v>FALLS CREEKChinook</v>
          </cell>
          <cell r="AB226">
            <v>1</v>
          </cell>
          <cell r="AC226">
            <v>0</v>
          </cell>
          <cell r="AH226" t="str">
            <v>FALLS CREEKChinook</v>
          </cell>
          <cell r="AI226">
            <v>0</v>
          </cell>
          <cell r="AJ226">
            <v>0</v>
          </cell>
        </row>
        <row r="227">
          <cell r="AA227" t="str">
            <v>FALLS CREEKSteelhead</v>
          </cell>
          <cell r="AB227">
            <v>1</v>
          </cell>
          <cell r="AC227">
            <v>0</v>
          </cell>
          <cell r="AH227" t="str">
            <v>FALLS CREEKSteelhead</v>
          </cell>
          <cell r="AI227">
            <v>0</v>
          </cell>
          <cell r="AJ227">
            <v>0</v>
          </cell>
        </row>
        <row r="228">
          <cell r="AA228" t="str">
            <v>FIVE MILE CREEKSockeye</v>
          </cell>
          <cell r="AB228">
            <v>0</v>
          </cell>
          <cell r="AC228">
            <v>0</v>
          </cell>
          <cell r="AH228" t="str">
            <v>FIVE MILE CREEKSockeye</v>
          </cell>
          <cell r="AI228">
            <v>0</v>
          </cell>
          <cell r="AJ228">
            <v>0</v>
          </cell>
        </row>
        <row r="229">
          <cell r="AA229" t="str">
            <v>FIVE MILE CREEKCoho</v>
          </cell>
          <cell r="AB229">
            <v>0</v>
          </cell>
          <cell r="AC229">
            <v>0</v>
          </cell>
          <cell r="AH229" t="str">
            <v>FIVE MILE CREEKCoho</v>
          </cell>
          <cell r="AI229">
            <v>0</v>
          </cell>
          <cell r="AJ229">
            <v>0</v>
          </cell>
        </row>
        <row r="230">
          <cell r="AA230" t="str">
            <v>FIVE MILE CREEKPink</v>
          </cell>
          <cell r="AB230">
            <v>0</v>
          </cell>
          <cell r="AC230">
            <v>0</v>
          </cell>
          <cell r="AH230" t="str">
            <v>FIVE MILE CREEKPink</v>
          </cell>
          <cell r="AI230">
            <v>0</v>
          </cell>
          <cell r="AJ230">
            <v>0</v>
          </cell>
        </row>
        <row r="231">
          <cell r="AA231" t="str">
            <v>FIVE MILE CREEKChum</v>
          </cell>
          <cell r="AB231">
            <v>0</v>
          </cell>
          <cell r="AC231">
            <v>0</v>
          </cell>
          <cell r="AH231" t="str">
            <v>FIVE MILE CREEKChum</v>
          </cell>
          <cell r="AI231">
            <v>0</v>
          </cell>
          <cell r="AJ231">
            <v>0</v>
          </cell>
        </row>
        <row r="232">
          <cell r="AA232" t="str">
            <v>FIVE MILE CREEKChinook</v>
          </cell>
          <cell r="AB232">
            <v>0</v>
          </cell>
          <cell r="AC232">
            <v>0</v>
          </cell>
          <cell r="AH232" t="str">
            <v>FIVE MILE CREEKChinook</v>
          </cell>
          <cell r="AI232">
            <v>0</v>
          </cell>
          <cell r="AJ232">
            <v>0</v>
          </cell>
        </row>
        <row r="233">
          <cell r="AA233" t="str">
            <v>FIVE MILE CREEKSteelhead</v>
          </cell>
          <cell r="AB233">
            <v>0</v>
          </cell>
          <cell r="AC233">
            <v>0</v>
          </cell>
          <cell r="AH233" t="str">
            <v>FIVE MILE CREEKSteelhead</v>
          </cell>
          <cell r="AI233">
            <v>0</v>
          </cell>
          <cell r="AJ233">
            <v>0</v>
          </cell>
        </row>
        <row r="234">
          <cell r="AA234" t="str">
            <v>FOUR MILE CREEKSockeye</v>
          </cell>
          <cell r="AB234">
            <v>0</v>
          </cell>
          <cell r="AC234">
            <v>0</v>
          </cell>
          <cell r="AH234" t="str">
            <v>FOUR MILE CREEKSockeye</v>
          </cell>
          <cell r="AI234">
            <v>0</v>
          </cell>
          <cell r="AJ234">
            <v>0</v>
          </cell>
        </row>
        <row r="235">
          <cell r="AA235" t="str">
            <v>FOUR MILE CREEKCoho</v>
          </cell>
          <cell r="AB235">
            <v>0</v>
          </cell>
          <cell r="AC235">
            <v>0</v>
          </cell>
          <cell r="AH235" t="str">
            <v>FOUR MILE CREEKCoho</v>
          </cell>
          <cell r="AI235">
            <v>0</v>
          </cell>
          <cell r="AJ235">
            <v>0</v>
          </cell>
        </row>
        <row r="236">
          <cell r="AA236" t="str">
            <v>FOUR MILE CREEKPink</v>
          </cell>
          <cell r="AB236">
            <v>0</v>
          </cell>
          <cell r="AC236">
            <v>0</v>
          </cell>
          <cell r="AH236" t="str">
            <v>FOUR MILE CREEKPink</v>
          </cell>
          <cell r="AI236">
            <v>0</v>
          </cell>
          <cell r="AJ236">
            <v>0</v>
          </cell>
        </row>
        <row r="237">
          <cell r="AA237" t="str">
            <v>FOUR MILE CREEKChum</v>
          </cell>
          <cell r="AB237">
            <v>0</v>
          </cell>
          <cell r="AC237">
            <v>0</v>
          </cell>
          <cell r="AH237" t="str">
            <v>FOUR MILE CREEKChum</v>
          </cell>
          <cell r="AI237">
            <v>0</v>
          </cell>
          <cell r="AJ237">
            <v>0</v>
          </cell>
        </row>
        <row r="238">
          <cell r="AA238" t="str">
            <v>FOUR MILE CREEKChinook</v>
          </cell>
          <cell r="AB238">
            <v>0</v>
          </cell>
          <cell r="AC238">
            <v>0</v>
          </cell>
          <cell r="AH238" t="str">
            <v>FOUR MILE CREEKChinook</v>
          </cell>
          <cell r="AI238">
            <v>0</v>
          </cell>
          <cell r="AJ238">
            <v>0</v>
          </cell>
        </row>
        <row r="239">
          <cell r="AA239" t="str">
            <v>FOUR MILE CREEKSteelhead</v>
          </cell>
          <cell r="AB239">
            <v>0</v>
          </cell>
          <cell r="AC239">
            <v>0</v>
          </cell>
          <cell r="AH239" t="str">
            <v>FOUR MILE CREEKSteelhead</v>
          </cell>
          <cell r="AI239">
            <v>0</v>
          </cell>
          <cell r="AJ239">
            <v>0</v>
          </cell>
        </row>
        <row r="240">
          <cell r="AA240" t="str">
            <v>GORDON RIVERSockeye</v>
          </cell>
          <cell r="AB240">
            <v>1</v>
          </cell>
          <cell r="AC240">
            <v>4</v>
          </cell>
          <cell r="AH240" t="str">
            <v>GORDON RIVERSockeye</v>
          </cell>
          <cell r="AI240">
            <v>0</v>
          </cell>
          <cell r="AJ240" t="str">
            <v>AP</v>
          </cell>
        </row>
        <row r="241">
          <cell r="AA241" t="str">
            <v>GORDON RIVERCoho</v>
          </cell>
          <cell r="AB241">
            <v>1</v>
          </cell>
          <cell r="AC241">
            <v>1025</v>
          </cell>
          <cell r="AH241" t="str">
            <v>GORDON RIVERCoho</v>
          </cell>
          <cell r="AI241" t="str">
            <v>PL+D</v>
          </cell>
          <cell r="AJ241">
            <v>1025</v>
          </cell>
        </row>
        <row r="242">
          <cell r="AA242" t="str">
            <v>GORDON RIVERPink</v>
          </cell>
          <cell r="AB242">
            <v>1</v>
          </cell>
          <cell r="AC242">
            <v>0</v>
          </cell>
          <cell r="AH242" t="str">
            <v>GORDON RIVERPink</v>
          </cell>
          <cell r="AI242">
            <v>0</v>
          </cell>
          <cell r="AJ242" t="str">
            <v>NO</v>
          </cell>
        </row>
        <row r="243">
          <cell r="AA243" t="str">
            <v>GORDON RIVERChum</v>
          </cell>
          <cell r="AB243">
            <v>1</v>
          </cell>
          <cell r="AC243">
            <v>121</v>
          </cell>
          <cell r="AH243" t="str">
            <v>GORDON RIVERChum</v>
          </cell>
          <cell r="AI243" t="str">
            <v>PL+D</v>
          </cell>
          <cell r="AJ243">
            <v>121</v>
          </cell>
        </row>
        <row r="244">
          <cell r="AA244" t="str">
            <v>GORDON RIVERChinook</v>
          </cell>
          <cell r="AB244">
            <v>1</v>
          </cell>
          <cell r="AC244">
            <v>24</v>
          </cell>
          <cell r="AH244" t="str">
            <v>GORDON RIVERChinook</v>
          </cell>
          <cell r="AI244" t="str">
            <v>PL+D</v>
          </cell>
          <cell r="AJ244">
            <v>24</v>
          </cell>
        </row>
        <row r="245">
          <cell r="AA245" t="str">
            <v>GORDON RIVERSteelhead</v>
          </cell>
          <cell r="AB245">
            <v>1</v>
          </cell>
          <cell r="AC245">
            <v>0</v>
          </cell>
          <cell r="AH245" t="str">
            <v>GORDON RIVERSteelhead</v>
          </cell>
          <cell r="AI245">
            <v>0</v>
          </cell>
          <cell r="AJ245">
            <v>0</v>
          </cell>
        </row>
        <row r="246">
          <cell r="AA246" t="str">
            <v>HARRIS CREEKSockeye</v>
          </cell>
          <cell r="AB246">
            <v>2</v>
          </cell>
          <cell r="AC246">
            <v>2</v>
          </cell>
          <cell r="AH246" t="str">
            <v>HARRIS CREEKSockeye</v>
          </cell>
          <cell r="AI246">
            <v>0</v>
          </cell>
          <cell r="AJ246">
            <v>0</v>
          </cell>
        </row>
        <row r="247">
          <cell r="AA247" t="str">
            <v>HARRIS CREEKCoho</v>
          </cell>
          <cell r="AB247">
            <v>2</v>
          </cell>
          <cell r="AC247">
            <v>723</v>
          </cell>
          <cell r="AH247" t="str">
            <v>HARRIS CREEKCoho</v>
          </cell>
          <cell r="AI247" t="str">
            <v>PL+D</v>
          </cell>
          <cell r="AJ247">
            <v>799</v>
          </cell>
        </row>
        <row r="248">
          <cell r="AA248" t="str">
            <v>HARRIS CREEKPink</v>
          </cell>
          <cell r="AB248">
            <v>2</v>
          </cell>
          <cell r="AC248">
            <v>1</v>
          </cell>
          <cell r="AH248" t="str">
            <v>HARRIS CREEKPink</v>
          </cell>
          <cell r="AI248">
            <v>0</v>
          </cell>
          <cell r="AJ248">
            <v>0</v>
          </cell>
        </row>
        <row r="249">
          <cell r="AA249" t="str">
            <v>HARRIS CREEKChum</v>
          </cell>
          <cell r="AB249">
            <v>2</v>
          </cell>
          <cell r="AC249">
            <v>0</v>
          </cell>
          <cell r="AH249" t="str">
            <v>HARRIS CREEKChum</v>
          </cell>
          <cell r="AI249">
            <v>0</v>
          </cell>
          <cell r="AJ249" t="str">
            <v>NO</v>
          </cell>
        </row>
        <row r="250">
          <cell r="AA250" t="str">
            <v>HARRIS CREEKChinook</v>
          </cell>
          <cell r="AB250">
            <v>2</v>
          </cell>
          <cell r="AC250">
            <v>69</v>
          </cell>
          <cell r="AH250" t="str">
            <v>HARRIS CREEKChinook</v>
          </cell>
          <cell r="AI250" t="str">
            <v>PL+D</v>
          </cell>
          <cell r="AJ250">
            <v>76</v>
          </cell>
        </row>
        <row r="251">
          <cell r="AA251" t="str">
            <v>HARRIS CREEKSteelhead</v>
          </cell>
          <cell r="AB251">
            <v>2</v>
          </cell>
          <cell r="AC251">
            <v>0</v>
          </cell>
          <cell r="AH251" t="str">
            <v>HARRIS CREEKSteelhead</v>
          </cell>
          <cell r="AI251">
            <v>0</v>
          </cell>
          <cell r="AJ251">
            <v>0</v>
          </cell>
        </row>
        <row r="252">
          <cell r="AA252" t="str">
            <v>HEMMINGSEN CREEKSockeye</v>
          </cell>
          <cell r="AB252">
            <v>0</v>
          </cell>
          <cell r="AC252">
            <v>0</v>
          </cell>
          <cell r="AH252" t="str">
            <v>HEMMINGSEN CREEKSockeye</v>
          </cell>
          <cell r="AI252">
            <v>0</v>
          </cell>
          <cell r="AJ252">
            <v>0</v>
          </cell>
        </row>
        <row r="253">
          <cell r="AA253" t="str">
            <v>HEMMINGSEN CREEKCoho</v>
          </cell>
          <cell r="AB253">
            <v>0</v>
          </cell>
          <cell r="AC253">
            <v>0</v>
          </cell>
          <cell r="AH253" t="str">
            <v>HEMMINGSEN CREEKCoho</v>
          </cell>
          <cell r="AI253">
            <v>0</v>
          </cell>
          <cell r="AJ253">
            <v>0</v>
          </cell>
        </row>
        <row r="254">
          <cell r="AA254" t="str">
            <v>HEMMINGSEN CREEKPink</v>
          </cell>
          <cell r="AB254">
            <v>0</v>
          </cell>
          <cell r="AC254">
            <v>0</v>
          </cell>
          <cell r="AH254" t="str">
            <v>HEMMINGSEN CREEKPink</v>
          </cell>
          <cell r="AI254">
            <v>0</v>
          </cell>
          <cell r="AJ254">
            <v>0</v>
          </cell>
        </row>
        <row r="255">
          <cell r="AA255" t="str">
            <v>HEMMINGSEN CREEKChum</v>
          </cell>
          <cell r="AB255">
            <v>0</v>
          </cell>
          <cell r="AC255">
            <v>0</v>
          </cell>
          <cell r="AH255" t="str">
            <v>HEMMINGSEN CREEKChum</v>
          </cell>
          <cell r="AI255">
            <v>0</v>
          </cell>
          <cell r="AJ255">
            <v>0</v>
          </cell>
        </row>
        <row r="256">
          <cell r="AA256" t="str">
            <v>HEMMINGSEN CREEKChinook</v>
          </cell>
          <cell r="AB256">
            <v>0</v>
          </cell>
          <cell r="AC256">
            <v>0</v>
          </cell>
          <cell r="AH256" t="str">
            <v>HEMMINGSEN CREEKChinook</v>
          </cell>
          <cell r="AI256">
            <v>0</v>
          </cell>
          <cell r="AJ256">
            <v>0</v>
          </cell>
        </row>
        <row r="257">
          <cell r="AA257" t="str">
            <v>HEMMINGSEN CREEKSteelhead</v>
          </cell>
          <cell r="AB257">
            <v>0</v>
          </cell>
          <cell r="AC257">
            <v>0</v>
          </cell>
          <cell r="AH257" t="str">
            <v>HEMMINGSEN CREEKSteelhead</v>
          </cell>
          <cell r="AI257">
            <v>0</v>
          </cell>
          <cell r="AJ257">
            <v>0</v>
          </cell>
        </row>
        <row r="258">
          <cell r="AA258" t="str">
            <v>HOLLIDAY CREEKSockeye</v>
          </cell>
          <cell r="AB258">
            <v>0</v>
          </cell>
          <cell r="AC258">
            <v>0</v>
          </cell>
          <cell r="AH258" t="str">
            <v>HOLLIDAY CREEKSockeye</v>
          </cell>
          <cell r="AI258">
            <v>0</v>
          </cell>
          <cell r="AJ258">
            <v>0</v>
          </cell>
        </row>
        <row r="259">
          <cell r="AA259" t="str">
            <v>HOLLIDAY CREEKCoho</v>
          </cell>
          <cell r="AB259">
            <v>0</v>
          </cell>
          <cell r="AC259">
            <v>0</v>
          </cell>
          <cell r="AH259" t="str">
            <v>HOLLIDAY CREEKCoho</v>
          </cell>
          <cell r="AI259">
            <v>0</v>
          </cell>
          <cell r="AJ259">
            <v>0</v>
          </cell>
        </row>
        <row r="260">
          <cell r="AA260" t="str">
            <v>HOLLIDAY CREEKPink</v>
          </cell>
          <cell r="AB260">
            <v>0</v>
          </cell>
          <cell r="AC260">
            <v>0</v>
          </cell>
          <cell r="AH260" t="str">
            <v>HOLLIDAY CREEKPink</v>
          </cell>
          <cell r="AI260">
            <v>0</v>
          </cell>
          <cell r="AJ260">
            <v>0</v>
          </cell>
        </row>
        <row r="261">
          <cell r="AA261" t="str">
            <v>HOLLIDAY CREEKChum</v>
          </cell>
          <cell r="AB261">
            <v>0</v>
          </cell>
          <cell r="AC261">
            <v>0</v>
          </cell>
          <cell r="AH261" t="str">
            <v>HOLLIDAY CREEKChum</v>
          </cell>
          <cell r="AI261">
            <v>0</v>
          </cell>
          <cell r="AJ261">
            <v>0</v>
          </cell>
        </row>
        <row r="262">
          <cell r="AA262" t="str">
            <v>HOLLIDAY CREEKChinook</v>
          </cell>
          <cell r="AB262">
            <v>0</v>
          </cell>
          <cell r="AC262">
            <v>0</v>
          </cell>
          <cell r="AH262" t="str">
            <v>HOLLIDAY CREEKChinook</v>
          </cell>
          <cell r="AI262">
            <v>0</v>
          </cell>
          <cell r="AJ262">
            <v>0</v>
          </cell>
        </row>
        <row r="263">
          <cell r="AA263" t="str">
            <v>HOLLIDAY CREEKSteelhead</v>
          </cell>
          <cell r="AB263">
            <v>0</v>
          </cell>
          <cell r="AC263">
            <v>0</v>
          </cell>
          <cell r="AH263" t="str">
            <v>HOLLIDAY CREEKSteelhead</v>
          </cell>
          <cell r="AI263">
            <v>0</v>
          </cell>
          <cell r="AJ263">
            <v>0</v>
          </cell>
        </row>
        <row r="264">
          <cell r="AA264" t="str">
            <v>JORDAN RIVERSockeye</v>
          </cell>
          <cell r="AB264">
            <v>1</v>
          </cell>
          <cell r="AC264">
            <v>0</v>
          </cell>
          <cell r="AH264" t="str">
            <v>JORDAN RIVERSockeye</v>
          </cell>
          <cell r="AI264">
            <v>0</v>
          </cell>
          <cell r="AJ264">
            <v>0</v>
          </cell>
        </row>
        <row r="265">
          <cell r="AA265" t="str">
            <v>JORDAN RIVERCoho</v>
          </cell>
          <cell r="AB265">
            <v>1</v>
          </cell>
          <cell r="AC265">
            <v>7</v>
          </cell>
          <cell r="AH265" t="str">
            <v>JORDAN RIVERCoho</v>
          </cell>
          <cell r="AI265">
            <v>0</v>
          </cell>
          <cell r="AJ265" t="str">
            <v>AP</v>
          </cell>
        </row>
        <row r="266">
          <cell r="AA266" t="str">
            <v>JORDAN RIVERPink</v>
          </cell>
          <cell r="AB266">
            <v>1</v>
          </cell>
          <cell r="AC266">
            <v>0</v>
          </cell>
          <cell r="AH266" t="str">
            <v>JORDAN RIVERPink</v>
          </cell>
          <cell r="AI266">
            <v>0</v>
          </cell>
          <cell r="AJ266">
            <v>0</v>
          </cell>
        </row>
        <row r="267">
          <cell r="AA267" t="str">
            <v>JORDAN RIVERChum</v>
          </cell>
          <cell r="AB267">
            <v>1</v>
          </cell>
          <cell r="AC267">
            <v>0</v>
          </cell>
          <cell r="AH267" t="str">
            <v>JORDAN RIVERChum</v>
          </cell>
          <cell r="AI267">
            <v>0</v>
          </cell>
          <cell r="AJ267">
            <v>0</v>
          </cell>
        </row>
        <row r="268">
          <cell r="AA268" t="str">
            <v>JORDAN RIVERChinook</v>
          </cell>
          <cell r="AB268">
            <v>1</v>
          </cell>
          <cell r="AC268">
            <v>0</v>
          </cell>
          <cell r="AH268" t="str">
            <v>JORDAN RIVERChinook</v>
          </cell>
          <cell r="AI268">
            <v>0</v>
          </cell>
          <cell r="AJ268">
            <v>0</v>
          </cell>
        </row>
        <row r="269">
          <cell r="AA269" t="str">
            <v>JORDAN RIVERSteelhead</v>
          </cell>
          <cell r="AB269">
            <v>1</v>
          </cell>
          <cell r="AC269">
            <v>0</v>
          </cell>
          <cell r="AH269" t="str">
            <v>JORDAN RIVERSteelhead</v>
          </cell>
          <cell r="AI269">
            <v>0</v>
          </cell>
          <cell r="AJ269">
            <v>0</v>
          </cell>
        </row>
        <row r="270">
          <cell r="AA270" t="str">
            <v>KING CREEKSockeye</v>
          </cell>
          <cell r="AB270">
            <v>0</v>
          </cell>
          <cell r="AC270">
            <v>0</v>
          </cell>
          <cell r="AH270" t="str">
            <v>KING CREEKSockeye</v>
          </cell>
          <cell r="AI270">
            <v>0</v>
          </cell>
          <cell r="AJ270">
            <v>0</v>
          </cell>
        </row>
        <row r="271">
          <cell r="AA271" t="str">
            <v>KING CREEKCoho</v>
          </cell>
          <cell r="AB271">
            <v>0</v>
          </cell>
          <cell r="AC271">
            <v>0</v>
          </cell>
          <cell r="AH271" t="str">
            <v>KING CREEKCoho</v>
          </cell>
          <cell r="AI271">
            <v>0</v>
          </cell>
          <cell r="AJ271">
            <v>0</v>
          </cell>
        </row>
        <row r="272">
          <cell r="AA272" t="str">
            <v>KING CREEKPink</v>
          </cell>
          <cell r="AB272">
            <v>0</v>
          </cell>
          <cell r="AC272">
            <v>0</v>
          </cell>
          <cell r="AH272" t="str">
            <v>KING CREEKPink</v>
          </cell>
          <cell r="AI272">
            <v>0</v>
          </cell>
          <cell r="AJ272">
            <v>0</v>
          </cell>
        </row>
        <row r="273">
          <cell r="AA273" t="str">
            <v>KING CREEKChum</v>
          </cell>
          <cell r="AB273">
            <v>0</v>
          </cell>
          <cell r="AC273">
            <v>0</v>
          </cell>
          <cell r="AH273" t="str">
            <v>KING CREEKChum</v>
          </cell>
          <cell r="AI273">
            <v>0</v>
          </cell>
          <cell r="AJ273">
            <v>0</v>
          </cell>
        </row>
        <row r="274">
          <cell r="AA274" t="str">
            <v>KING CREEKChinook</v>
          </cell>
          <cell r="AB274">
            <v>0</v>
          </cell>
          <cell r="AC274">
            <v>0</v>
          </cell>
          <cell r="AH274" t="str">
            <v>KING CREEKChinook</v>
          </cell>
          <cell r="AI274">
            <v>0</v>
          </cell>
          <cell r="AJ274">
            <v>0</v>
          </cell>
        </row>
        <row r="275">
          <cell r="AA275" t="str">
            <v>KING CREEKSteelhead</v>
          </cell>
          <cell r="AB275">
            <v>0</v>
          </cell>
          <cell r="AC275">
            <v>0</v>
          </cell>
          <cell r="AH275" t="str">
            <v>KING CREEKSteelhead</v>
          </cell>
          <cell r="AI275">
            <v>0</v>
          </cell>
          <cell r="AJ275">
            <v>0</v>
          </cell>
        </row>
        <row r="276">
          <cell r="AA276" t="str">
            <v>KIRBY CREEKSockeye</v>
          </cell>
          <cell r="AB276">
            <v>0</v>
          </cell>
          <cell r="AC276">
            <v>0</v>
          </cell>
          <cell r="AH276" t="str">
            <v>KIRBY CREEKSockeye</v>
          </cell>
          <cell r="AI276">
            <v>0</v>
          </cell>
          <cell r="AJ276">
            <v>0</v>
          </cell>
        </row>
        <row r="277">
          <cell r="AA277" t="str">
            <v>KIRBY CREEKCoho</v>
          </cell>
          <cell r="AB277">
            <v>0</v>
          </cell>
          <cell r="AC277">
            <v>0</v>
          </cell>
          <cell r="AH277" t="str">
            <v>KIRBY CREEKCoho</v>
          </cell>
          <cell r="AI277">
            <v>0</v>
          </cell>
          <cell r="AJ277">
            <v>0</v>
          </cell>
        </row>
        <row r="278">
          <cell r="AA278" t="str">
            <v>KIRBY CREEKPink</v>
          </cell>
          <cell r="AB278">
            <v>0</v>
          </cell>
          <cell r="AC278">
            <v>0</v>
          </cell>
          <cell r="AH278" t="str">
            <v>KIRBY CREEKPink</v>
          </cell>
          <cell r="AI278">
            <v>0</v>
          </cell>
          <cell r="AJ278">
            <v>0</v>
          </cell>
        </row>
        <row r="279">
          <cell r="AA279" t="str">
            <v>KIRBY CREEKChum</v>
          </cell>
          <cell r="AB279">
            <v>0</v>
          </cell>
          <cell r="AC279">
            <v>0</v>
          </cell>
          <cell r="AH279" t="str">
            <v>KIRBY CREEKChum</v>
          </cell>
          <cell r="AI279">
            <v>0</v>
          </cell>
          <cell r="AJ279">
            <v>0</v>
          </cell>
        </row>
        <row r="280">
          <cell r="AA280" t="str">
            <v>KIRBY CREEKChinook</v>
          </cell>
          <cell r="AB280">
            <v>0</v>
          </cell>
          <cell r="AC280">
            <v>0</v>
          </cell>
          <cell r="AH280" t="str">
            <v>KIRBY CREEKChinook</v>
          </cell>
          <cell r="AI280">
            <v>0</v>
          </cell>
          <cell r="AJ280">
            <v>0</v>
          </cell>
        </row>
        <row r="281">
          <cell r="AA281" t="str">
            <v>KIRBY CREEKSteelhead</v>
          </cell>
          <cell r="AB281">
            <v>0</v>
          </cell>
          <cell r="AC281">
            <v>0</v>
          </cell>
          <cell r="AH281" t="str">
            <v>KIRBY CREEKSteelhead</v>
          </cell>
          <cell r="AI281">
            <v>0</v>
          </cell>
          <cell r="AJ281">
            <v>0</v>
          </cell>
        </row>
        <row r="282">
          <cell r="AA282" t="str">
            <v>LANNON CREEKSockeye</v>
          </cell>
          <cell r="AB282">
            <v>0</v>
          </cell>
          <cell r="AC282">
            <v>0</v>
          </cell>
          <cell r="AH282" t="str">
            <v>LANNON CREEKSockeye</v>
          </cell>
          <cell r="AI282">
            <v>0</v>
          </cell>
          <cell r="AJ282">
            <v>0</v>
          </cell>
        </row>
        <row r="283">
          <cell r="AA283" t="str">
            <v>LANNON CREEKCoho</v>
          </cell>
          <cell r="AB283">
            <v>0</v>
          </cell>
          <cell r="AC283">
            <v>0</v>
          </cell>
          <cell r="AH283" t="str">
            <v>LANNON CREEKCoho</v>
          </cell>
          <cell r="AI283">
            <v>0</v>
          </cell>
          <cell r="AJ283">
            <v>0</v>
          </cell>
        </row>
        <row r="284">
          <cell r="AA284" t="str">
            <v>LANNON CREEKPink</v>
          </cell>
          <cell r="AB284">
            <v>0</v>
          </cell>
          <cell r="AC284">
            <v>0</v>
          </cell>
          <cell r="AH284" t="str">
            <v>LANNON CREEKPink</v>
          </cell>
          <cell r="AI284">
            <v>0</v>
          </cell>
          <cell r="AJ284">
            <v>0</v>
          </cell>
        </row>
        <row r="285">
          <cell r="AA285" t="str">
            <v>LANNON CREEKChum</v>
          </cell>
          <cell r="AB285">
            <v>0</v>
          </cell>
          <cell r="AC285">
            <v>0</v>
          </cell>
          <cell r="AH285" t="str">
            <v>LANNON CREEKChum</v>
          </cell>
          <cell r="AI285">
            <v>0</v>
          </cell>
          <cell r="AJ285">
            <v>0</v>
          </cell>
        </row>
        <row r="286">
          <cell r="AA286" t="str">
            <v>LANNON CREEKChinook</v>
          </cell>
          <cell r="AB286">
            <v>0</v>
          </cell>
          <cell r="AC286">
            <v>0</v>
          </cell>
          <cell r="AH286" t="str">
            <v>LANNON CREEKChinook</v>
          </cell>
          <cell r="AI286">
            <v>0</v>
          </cell>
          <cell r="AJ286">
            <v>0</v>
          </cell>
        </row>
        <row r="287">
          <cell r="AA287" t="str">
            <v>LANNON CREEKSteelhead</v>
          </cell>
          <cell r="AB287">
            <v>0</v>
          </cell>
          <cell r="AC287">
            <v>0</v>
          </cell>
          <cell r="AH287" t="str">
            <v>LANNON CREEKSteelhead</v>
          </cell>
          <cell r="AI287">
            <v>0</v>
          </cell>
          <cell r="AJ287">
            <v>0</v>
          </cell>
        </row>
        <row r="288">
          <cell r="AA288" t="str">
            <v>LENS CREEKSockeye</v>
          </cell>
          <cell r="AB288">
            <v>1</v>
          </cell>
          <cell r="AC288">
            <v>0</v>
          </cell>
          <cell r="AH288" t="str">
            <v>LENS CREEKSockeye</v>
          </cell>
          <cell r="AI288">
            <v>0</v>
          </cell>
          <cell r="AJ288">
            <v>0</v>
          </cell>
        </row>
        <row r="289">
          <cell r="AA289" t="str">
            <v>LENS CREEKCoho</v>
          </cell>
          <cell r="AB289">
            <v>1</v>
          </cell>
          <cell r="AC289">
            <v>401</v>
          </cell>
          <cell r="AH289" t="str">
            <v>LENS CREEKCoho</v>
          </cell>
          <cell r="AI289" t="str">
            <v>PL+D</v>
          </cell>
          <cell r="AJ289">
            <v>444</v>
          </cell>
        </row>
        <row r="290">
          <cell r="AA290" t="str">
            <v>LENS CREEKPink</v>
          </cell>
          <cell r="AB290">
            <v>1</v>
          </cell>
          <cell r="AC290">
            <v>1</v>
          </cell>
          <cell r="AH290" t="str">
            <v>LENS CREEKPink</v>
          </cell>
          <cell r="AI290">
            <v>0</v>
          </cell>
          <cell r="AJ290">
            <v>0</v>
          </cell>
        </row>
        <row r="291">
          <cell r="AA291" t="str">
            <v>LENS CREEKChum</v>
          </cell>
          <cell r="AB291">
            <v>1</v>
          </cell>
          <cell r="AC291">
            <v>0</v>
          </cell>
          <cell r="AH291" t="str">
            <v>LENS CREEKChum</v>
          </cell>
          <cell r="AI291">
            <v>0</v>
          </cell>
          <cell r="AJ291" t="str">
            <v>NO</v>
          </cell>
        </row>
        <row r="292">
          <cell r="AA292" t="str">
            <v>LENS CREEKChinook</v>
          </cell>
          <cell r="AB292">
            <v>1</v>
          </cell>
          <cell r="AC292">
            <v>93</v>
          </cell>
          <cell r="AH292" t="str">
            <v>LENS CREEKChinook</v>
          </cell>
          <cell r="AI292" t="str">
            <v>PL+D</v>
          </cell>
          <cell r="AJ292">
            <v>103</v>
          </cell>
        </row>
        <row r="293">
          <cell r="AA293" t="str">
            <v>LENS CREEKSteelhead</v>
          </cell>
          <cell r="AB293">
            <v>1</v>
          </cell>
          <cell r="AC293">
            <v>0</v>
          </cell>
          <cell r="AH293" t="str">
            <v>LENS CREEKSteelhead</v>
          </cell>
          <cell r="AI293">
            <v>0</v>
          </cell>
          <cell r="AJ293">
            <v>0</v>
          </cell>
        </row>
        <row r="294">
          <cell r="AA294" t="str">
            <v>LUNSON CREEKSockeye</v>
          </cell>
          <cell r="AB294">
            <v>0</v>
          </cell>
          <cell r="AC294">
            <v>0</v>
          </cell>
          <cell r="AH294" t="str">
            <v>LUNSON CREEKSockeye</v>
          </cell>
          <cell r="AI294">
            <v>0</v>
          </cell>
          <cell r="AJ294">
            <v>0</v>
          </cell>
        </row>
        <row r="295">
          <cell r="AA295" t="str">
            <v>LUNSON CREEKCoho</v>
          </cell>
          <cell r="AB295">
            <v>0</v>
          </cell>
          <cell r="AC295">
            <v>0</v>
          </cell>
          <cell r="AH295" t="str">
            <v>LUNSON CREEKCoho</v>
          </cell>
          <cell r="AI295">
            <v>0</v>
          </cell>
          <cell r="AJ295">
            <v>0</v>
          </cell>
        </row>
        <row r="296">
          <cell r="AA296" t="str">
            <v>LUNSON CREEKPink</v>
          </cell>
          <cell r="AB296">
            <v>0</v>
          </cell>
          <cell r="AC296">
            <v>0</v>
          </cell>
          <cell r="AH296" t="str">
            <v>LUNSON CREEKPink</v>
          </cell>
          <cell r="AI296">
            <v>0</v>
          </cell>
          <cell r="AJ296">
            <v>0</v>
          </cell>
        </row>
        <row r="297">
          <cell r="AA297" t="str">
            <v>LUNSON CREEKChum</v>
          </cell>
          <cell r="AB297">
            <v>0</v>
          </cell>
          <cell r="AC297">
            <v>0</v>
          </cell>
          <cell r="AH297" t="str">
            <v>LUNSON CREEKChum</v>
          </cell>
          <cell r="AI297">
            <v>0</v>
          </cell>
          <cell r="AJ297">
            <v>0</v>
          </cell>
        </row>
        <row r="298">
          <cell r="AA298" t="str">
            <v>LUNSON CREEKChinook</v>
          </cell>
          <cell r="AB298">
            <v>0</v>
          </cell>
          <cell r="AC298">
            <v>0</v>
          </cell>
          <cell r="AH298" t="str">
            <v>LUNSON CREEKChinook</v>
          </cell>
          <cell r="AI298">
            <v>0</v>
          </cell>
          <cell r="AJ298">
            <v>0</v>
          </cell>
        </row>
        <row r="299">
          <cell r="AA299" t="str">
            <v>LUNSON CREEKSteelhead</v>
          </cell>
          <cell r="AB299">
            <v>0</v>
          </cell>
          <cell r="AC299">
            <v>0</v>
          </cell>
          <cell r="AH299" t="str">
            <v>LUNSON CREEKSteelhead</v>
          </cell>
          <cell r="AI299">
            <v>0</v>
          </cell>
          <cell r="AJ299">
            <v>0</v>
          </cell>
        </row>
        <row r="300">
          <cell r="AA300" t="str">
            <v>MAIDENHAIR CREEKSockeye</v>
          </cell>
          <cell r="AB300">
            <v>0</v>
          </cell>
          <cell r="AC300">
            <v>0</v>
          </cell>
          <cell r="AH300" t="str">
            <v>MAIDENHAIR CREEKSockeye</v>
          </cell>
          <cell r="AI300">
            <v>0</v>
          </cell>
          <cell r="AJ300">
            <v>0</v>
          </cell>
        </row>
        <row r="301">
          <cell r="AA301" t="str">
            <v>MAIDENHAIR CREEKCoho</v>
          </cell>
          <cell r="AB301">
            <v>0</v>
          </cell>
          <cell r="AC301">
            <v>0</v>
          </cell>
          <cell r="AH301" t="str">
            <v>MAIDENHAIR CREEKCoho</v>
          </cell>
          <cell r="AI301">
            <v>0</v>
          </cell>
          <cell r="AJ301">
            <v>0</v>
          </cell>
        </row>
        <row r="302">
          <cell r="AA302" t="str">
            <v>MAIDENHAIR CREEKPink</v>
          </cell>
          <cell r="AB302">
            <v>0</v>
          </cell>
          <cell r="AC302">
            <v>0</v>
          </cell>
          <cell r="AH302" t="str">
            <v>MAIDENHAIR CREEKPink</v>
          </cell>
          <cell r="AI302">
            <v>0</v>
          </cell>
          <cell r="AJ302">
            <v>0</v>
          </cell>
        </row>
        <row r="303">
          <cell r="AA303" t="str">
            <v>MAIDENHAIR CREEKChum</v>
          </cell>
          <cell r="AB303">
            <v>0</v>
          </cell>
          <cell r="AC303">
            <v>0</v>
          </cell>
          <cell r="AH303" t="str">
            <v>MAIDENHAIR CREEKChum</v>
          </cell>
          <cell r="AI303">
            <v>0</v>
          </cell>
          <cell r="AJ303">
            <v>0</v>
          </cell>
        </row>
        <row r="304">
          <cell r="AA304" t="str">
            <v>MAIDENHAIR CREEKChinook</v>
          </cell>
          <cell r="AB304">
            <v>0</v>
          </cell>
          <cell r="AC304">
            <v>0</v>
          </cell>
          <cell r="AH304" t="str">
            <v>MAIDENHAIR CREEKChinook</v>
          </cell>
          <cell r="AI304">
            <v>0</v>
          </cell>
          <cell r="AJ304">
            <v>0</v>
          </cell>
        </row>
        <row r="305">
          <cell r="AA305" t="str">
            <v>MAIDENHAIR CREEKSteelhead</v>
          </cell>
          <cell r="AB305">
            <v>0</v>
          </cell>
          <cell r="AC305">
            <v>0</v>
          </cell>
          <cell r="AH305" t="str">
            <v>MAIDENHAIR CREEKSteelhead</v>
          </cell>
          <cell r="AI305">
            <v>0</v>
          </cell>
          <cell r="AJ305">
            <v>0</v>
          </cell>
        </row>
        <row r="306">
          <cell r="AA306" t="str">
            <v>MOSQUITO CREEKSockeye</v>
          </cell>
          <cell r="AB306">
            <v>0</v>
          </cell>
          <cell r="AC306">
            <v>0</v>
          </cell>
          <cell r="AH306" t="str">
            <v>MOSQUITO CREEKSockeye</v>
          </cell>
          <cell r="AI306">
            <v>0</v>
          </cell>
          <cell r="AJ306">
            <v>0</v>
          </cell>
        </row>
        <row r="307">
          <cell r="AA307" t="str">
            <v>MOSQUITO CREEKCoho</v>
          </cell>
          <cell r="AB307">
            <v>0</v>
          </cell>
          <cell r="AC307">
            <v>0</v>
          </cell>
          <cell r="AH307" t="str">
            <v>MOSQUITO CREEKCoho</v>
          </cell>
          <cell r="AI307">
            <v>0</v>
          </cell>
          <cell r="AJ307">
            <v>0</v>
          </cell>
        </row>
        <row r="308">
          <cell r="AA308" t="str">
            <v>MOSQUITO CREEKPink</v>
          </cell>
          <cell r="AB308">
            <v>0</v>
          </cell>
          <cell r="AC308">
            <v>0</v>
          </cell>
          <cell r="AH308" t="str">
            <v>MOSQUITO CREEKPink</v>
          </cell>
          <cell r="AI308">
            <v>0</v>
          </cell>
          <cell r="AJ308">
            <v>0</v>
          </cell>
        </row>
        <row r="309">
          <cell r="AA309" t="str">
            <v>MOSQUITO CREEKChum</v>
          </cell>
          <cell r="AB309">
            <v>0</v>
          </cell>
          <cell r="AC309">
            <v>0</v>
          </cell>
          <cell r="AH309" t="str">
            <v>MOSQUITO CREEKChum</v>
          </cell>
          <cell r="AI309">
            <v>0</v>
          </cell>
          <cell r="AJ309">
            <v>0</v>
          </cell>
        </row>
        <row r="310">
          <cell r="AA310" t="str">
            <v>MOSQUITO CREEKChinook</v>
          </cell>
          <cell r="AB310">
            <v>0</v>
          </cell>
          <cell r="AC310">
            <v>0</v>
          </cell>
          <cell r="AH310" t="str">
            <v>MOSQUITO CREEKChinook</v>
          </cell>
          <cell r="AI310">
            <v>0</v>
          </cell>
          <cell r="AJ310">
            <v>0</v>
          </cell>
        </row>
        <row r="311">
          <cell r="AA311" t="str">
            <v>MOSQUITO CREEKSteelhead</v>
          </cell>
          <cell r="AB311">
            <v>0</v>
          </cell>
          <cell r="AC311">
            <v>0</v>
          </cell>
          <cell r="AH311" t="str">
            <v>MOSQUITO CREEKSteelhead</v>
          </cell>
          <cell r="AI311">
            <v>0</v>
          </cell>
          <cell r="AJ311">
            <v>0</v>
          </cell>
        </row>
        <row r="312">
          <cell r="AA312" t="str">
            <v>MUIR CREEKSockeye</v>
          </cell>
          <cell r="AB312">
            <v>0</v>
          </cell>
          <cell r="AC312">
            <v>0</v>
          </cell>
          <cell r="AH312" t="str">
            <v>MUIR CREEKSockeye</v>
          </cell>
          <cell r="AI312">
            <v>0</v>
          </cell>
          <cell r="AJ312">
            <v>0</v>
          </cell>
        </row>
        <row r="313">
          <cell r="AA313" t="str">
            <v>MUIR CREEKCoho</v>
          </cell>
          <cell r="AB313">
            <v>0</v>
          </cell>
          <cell r="AC313">
            <v>0</v>
          </cell>
          <cell r="AH313" t="str">
            <v>MUIR CREEKCoho</v>
          </cell>
          <cell r="AI313">
            <v>0</v>
          </cell>
          <cell r="AJ313">
            <v>0</v>
          </cell>
        </row>
        <row r="314">
          <cell r="AA314" t="str">
            <v>MUIR CREEKPink</v>
          </cell>
          <cell r="AB314">
            <v>0</v>
          </cell>
          <cell r="AC314">
            <v>0</v>
          </cell>
          <cell r="AH314" t="str">
            <v>MUIR CREEKPink</v>
          </cell>
          <cell r="AI314">
            <v>0</v>
          </cell>
          <cell r="AJ314">
            <v>0</v>
          </cell>
        </row>
        <row r="315">
          <cell r="AA315" t="str">
            <v>MUIR CREEKChum</v>
          </cell>
          <cell r="AB315">
            <v>0</v>
          </cell>
          <cell r="AC315">
            <v>0</v>
          </cell>
          <cell r="AH315" t="str">
            <v>MUIR CREEKChum</v>
          </cell>
          <cell r="AI315">
            <v>0</v>
          </cell>
          <cell r="AJ315">
            <v>0</v>
          </cell>
        </row>
        <row r="316">
          <cell r="AA316" t="str">
            <v>MUIR CREEKChinook</v>
          </cell>
          <cell r="AB316">
            <v>0</v>
          </cell>
          <cell r="AC316">
            <v>0</v>
          </cell>
          <cell r="AH316" t="str">
            <v>MUIR CREEKChinook</v>
          </cell>
          <cell r="AI316">
            <v>0</v>
          </cell>
          <cell r="AJ316">
            <v>0</v>
          </cell>
        </row>
        <row r="317">
          <cell r="AA317" t="str">
            <v>MUIR CREEKSteelhead</v>
          </cell>
          <cell r="AB317">
            <v>0</v>
          </cell>
          <cell r="AC317">
            <v>0</v>
          </cell>
          <cell r="AH317" t="str">
            <v>MUIR CREEKSteelhead</v>
          </cell>
          <cell r="AI317">
            <v>0</v>
          </cell>
          <cell r="AJ317">
            <v>0</v>
          </cell>
        </row>
        <row r="318">
          <cell r="AA318" t="str">
            <v>ORVEAS CREEKSockeye</v>
          </cell>
          <cell r="AB318">
            <v>0</v>
          </cell>
          <cell r="AC318">
            <v>0</v>
          </cell>
          <cell r="AH318" t="str">
            <v>ORVEAS CREEKSockeye</v>
          </cell>
          <cell r="AI318">
            <v>0</v>
          </cell>
          <cell r="AJ318">
            <v>0</v>
          </cell>
        </row>
        <row r="319">
          <cell r="AA319" t="str">
            <v>ORVEAS CREEKCoho</v>
          </cell>
          <cell r="AB319">
            <v>0</v>
          </cell>
          <cell r="AC319">
            <v>0</v>
          </cell>
          <cell r="AH319" t="str">
            <v>ORVEAS CREEKCoho</v>
          </cell>
          <cell r="AI319">
            <v>0</v>
          </cell>
          <cell r="AJ319">
            <v>0</v>
          </cell>
        </row>
        <row r="320">
          <cell r="AA320" t="str">
            <v>ORVEAS CREEKPink</v>
          </cell>
          <cell r="AB320">
            <v>0</v>
          </cell>
          <cell r="AC320">
            <v>0</v>
          </cell>
          <cell r="AH320" t="str">
            <v>ORVEAS CREEKPink</v>
          </cell>
          <cell r="AI320">
            <v>0</v>
          </cell>
          <cell r="AJ320">
            <v>0</v>
          </cell>
        </row>
        <row r="321">
          <cell r="AA321" t="str">
            <v>ORVEAS CREEKChum</v>
          </cell>
          <cell r="AB321">
            <v>0</v>
          </cell>
          <cell r="AC321">
            <v>0</v>
          </cell>
          <cell r="AH321" t="str">
            <v>ORVEAS CREEKChum</v>
          </cell>
          <cell r="AI321">
            <v>0</v>
          </cell>
          <cell r="AJ321">
            <v>0</v>
          </cell>
        </row>
        <row r="322">
          <cell r="AA322" t="str">
            <v>ORVEAS CREEKChinook</v>
          </cell>
          <cell r="AB322">
            <v>0</v>
          </cell>
          <cell r="AC322">
            <v>0</v>
          </cell>
          <cell r="AH322" t="str">
            <v>ORVEAS CREEKChinook</v>
          </cell>
          <cell r="AI322">
            <v>0</v>
          </cell>
          <cell r="AJ322">
            <v>0</v>
          </cell>
        </row>
        <row r="323">
          <cell r="AA323" t="str">
            <v>ORVEAS CREEKSteelhead</v>
          </cell>
          <cell r="AB323">
            <v>0</v>
          </cell>
          <cell r="AC323">
            <v>0</v>
          </cell>
          <cell r="AH323" t="str">
            <v>ORVEAS CREEKSteelhead</v>
          </cell>
          <cell r="AI323">
            <v>0</v>
          </cell>
          <cell r="AJ323">
            <v>0</v>
          </cell>
        </row>
        <row r="324">
          <cell r="AA324" t="str">
            <v>PIXIE CREEKSockeye</v>
          </cell>
          <cell r="AB324">
            <v>0</v>
          </cell>
          <cell r="AC324">
            <v>0</v>
          </cell>
          <cell r="AH324" t="str">
            <v>PIXIE CREEKSockeye</v>
          </cell>
          <cell r="AI324">
            <v>0</v>
          </cell>
          <cell r="AJ324">
            <v>0</v>
          </cell>
        </row>
        <row r="325">
          <cell r="AA325" t="str">
            <v>PIXIE CREEKCoho</v>
          </cell>
          <cell r="AB325">
            <v>0</v>
          </cell>
          <cell r="AC325">
            <v>0</v>
          </cell>
          <cell r="AH325" t="str">
            <v>PIXIE CREEKCoho</v>
          </cell>
          <cell r="AI325">
            <v>0</v>
          </cell>
          <cell r="AJ325">
            <v>0</v>
          </cell>
        </row>
        <row r="326">
          <cell r="AA326" t="str">
            <v>PIXIE CREEKPink</v>
          </cell>
          <cell r="AB326">
            <v>0</v>
          </cell>
          <cell r="AC326">
            <v>0</v>
          </cell>
          <cell r="AH326" t="str">
            <v>PIXIE CREEKPink</v>
          </cell>
          <cell r="AI326">
            <v>0</v>
          </cell>
          <cell r="AJ326">
            <v>0</v>
          </cell>
        </row>
        <row r="327">
          <cell r="AA327" t="str">
            <v>PIXIE CREEKChum</v>
          </cell>
          <cell r="AB327">
            <v>0</v>
          </cell>
          <cell r="AC327">
            <v>0</v>
          </cell>
          <cell r="AH327" t="str">
            <v>PIXIE CREEKChum</v>
          </cell>
          <cell r="AI327">
            <v>0</v>
          </cell>
          <cell r="AJ327">
            <v>0</v>
          </cell>
        </row>
        <row r="328">
          <cell r="AA328" t="str">
            <v>PIXIE CREEKChinook</v>
          </cell>
          <cell r="AB328">
            <v>0</v>
          </cell>
          <cell r="AC328">
            <v>0</v>
          </cell>
          <cell r="AH328" t="str">
            <v>PIXIE CREEKChinook</v>
          </cell>
          <cell r="AI328">
            <v>0</v>
          </cell>
          <cell r="AJ328">
            <v>0</v>
          </cell>
        </row>
        <row r="329">
          <cell r="AA329" t="str">
            <v>PIXIE CREEKSteelhead</v>
          </cell>
          <cell r="AB329">
            <v>0</v>
          </cell>
          <cell r="AC329">
            <v>0</v>
          </cell>
          <cell r="AH329" t="str">
            <v>PIXIE CREEKSteelhead</v>
          </cell>
          <cell r="AI329">
            <v>0</v>
          </cell>
          <cell r="AJ329">
            <v>0</v>
          </cell>
        </row>
        <row r="330">
          <cell r="AA330" t="str">
            <v>RENFREW CREEKSockeye</v>
          </cell>
          <cell r="AB330">
            <v>1</v>
          </cell>
          <cell r="AC330">
            <v>4</v>
          </cell>
          <cell r="AH330" t="str">
            <v>RENFREW CREEKSockeye</v>
          </cell>
          <cell r="AI330">
            <v>0</v>
          </cell>
          <cell r="AJ330" t="str">
            <v>AP</v>
          </cell>
        </row>
        <row r="331">
          <cell r="AA331" t="str">
            <v>RENFREW CREEKCoho</v>
          </cell>
          <cell r="AB331">
            <v>1</v>
          </cell>
          <cell r="AC331">
            <v>194</v>
          </cell>
          <cell r="AH331" t="str">
            <v>RENFREW CREEKCoho</v>
          </cell>
          <cell r="AI331" t="str">
            <v>PL+D</v>
          </cell>
          <cell r="AJ331">
            <v>202</v>
          </cell>
        </row>
        <row r="332">
          <cell r="AA332" t="str">
            <v>RENFREW CREEKPink</v>
          </cell>
          <cell r="AB332">
            <v>1</v>
          </cell>
          <cell r="AC332">
            <v>1</v>
          </cell>
          <cell r="AH332" t="str">
            <v>RENFREW CREEKPink</v>
          </cell>
          <cell r="AI332">
            <v>0</v>
          </cell>
          <cell r="AJ332">
            <v>0</v>
          </cell>
        </row>
        <row r="333">
          <cell r="AA333" t="str">
            <v>RENFREW CREEKChum</v>
          </cell>
          <cell r="AB333">
            <v>1</v>
          </cell>
          <cell r="AC333">
            <v>2</v>
          </cell>
          <cell r="AH333" t="str">
            <v>RENFREW CREEKChum</v>
          </cell>
          <cell r="AI333">
            <v>0</v>
          </cell>
          <cell r="AJ333" t="str">
            <v>AP</v>
          </cell>
        </row>
        <row r="334">
          <cell r="AA334" t="str">
            <v>RENFREW CREEKChinook</v>
          </cell>
          <cell r="AB334">
            <v>1</v>
          </cell>
          <cell r="AC334">
            <v>13</v>
          </cell>
          <cell r="AH334" t="str">
            <v>RENFREW CREEKChinook</v>
          </cell>
          <cell r="AI334" t="str">
            <v>PL+D</v>
          </cell>
          <cell r="AJ334">
            <v>13</v>
          </cell>
        </row>
        <row r="335">
          <cell r="AA335" t="str">
            <v>RENFREW CREEKSteelhead</v>
          </cell>
          <cell r="AB335">
            <v>1</v>
          </cell>
          <cell r="AC335">
            <v>0</v>
          </cell>
          <cell r="AH335" t="str">
            <v>RENFREW CREEKSteelhead</v>
          </cell>
          <cell r="AI335">
            <v>0</v>
          </cell>
          <cell r="AJ335">
            <v>0</v>
          </cell>
        </row>
        <row r="336">
          <cell r="AA336" t="str">
            <v>ROCKY CREEKSockeye</v>
          </cell>
          <cell r="AB336">
            <v>0</v>
          </cell>
          <cell r="AC336">
            <v>0</v>
          </cell>
          <cell r="AH336" t="str">
            <v>ROCKY CREEKSockeye</v>
          </cell>
          <cell r="AI336">
            <v>0</v>
          </cell>
          <cell r="AJ336">
            <v>0</v>
          </cell>
        </row>
        <row r="337">
          <cell r="AA337" t="str">
            <v>ROCKY CREEKCoho</v>
          </cell>
          <cell r="AB337">
            <v>0</v>
          </cell>
          <cell r="AC337">
            <v>0</v>
          </cell>
          <cell r="AH337" t="str">
            <v>ROCKY CREEKCoho</v>
          </cell>
          <cell r="AI337">
            <v>0</v>
          </cell>
          <cell r="AJ337">
            <v>0</v>
          </cell>
        </row>
        <row r="338">
          <cell r="AA338" t="str">
            <v>ROCKY CREEKPink</v>
          </cell>
          <cell r="AB338">
            <v>0</v>
          </cell>
          <cell r="AC338">
            <v>0</v>
          </cell>
          <cell r="AH338" t="str">
            <v>ROCKY CREEKPink</v>
          </cell>
          <cell r="AI338">
            <v>0</v>
          </cell>
          <cell r="AJ338">
            <v>0</v>
          </cell>
        </row>
        <row r="339">
          <cell r="AA339" t="str">
            <v>ROCKY CREEKChum</v>
          </cell>
          <cell r="AB339">
            <v>0</v>
          </cell>
          <cell r="AC339">
            <v>0</v>
          </cell>
          <cell r="AH339" t="str">
            <v>ROCKY CREEKChum</v>
          </cell>
          <cell r="AI339">
            <v>0</v>
          </cell>
          <cell r="AJ339">
            <v>0</v>
          </cell>
        </row>
        <row r="340">
          <cell r="AA340" t="str">
            <v>ROCKY CREEKChinook</v>
          </cell>
          <cell r="AB340">
            <v>0</v>
          </cell>
          <cell r="AC340">
            <v>0</v>
          </cell>
          <cell r="AH340" t="str">
            <v>ROCKY CREEKChinook</v>
          </cell>
          <cell r="AI340">
            <v>0</v>
          </cell>
          <cell r="AJ340">
            <v>0</v>
          </cell>
        </row>
        <row r="341">
          <cell r="AA341" t="str">
            <v>ROCKY CREEKSteelhead</v>
          </cell>
          <cell r="AB341">
            <v>0</v>
          </cell>
          <cell r="AC341">
            <v>0</v>
          </cell>
          <cell r="AH341" t="str">
            <v>ROCKY CREEKSteelhead</v>
          </cell>
          <cell r="AI341">
            <v>0</v>
          </cell>
          <cell r="AJ341">
            <v>0</v>
          </cell>
        </row>
        <row r="342">
          <cell r="AA342" t="str">
            <v>SAN JUAN RIVERSockeye</v>
          </cell>
          <cell r="AB342">
            <v>8</v>
          </cell>
          <cell r="AC342">
            <v>3</v>
          </cell>
          <cell r="AH342" t="str">
            <v>SAN JUAN RIVERSockeye</v>
          </cell>
          <cell r="AI342" t="str">
            <v>PL+D</v>
          </cell>
          <cell r="AJ342">
            <v>3</v>
          </cell>
        </row>
        <row r="343">
          <cell r="AA343" t="str">
            <v>SAN JUAN RIVERCoho</v>
          </cell>
          <cell r="AB343">
            <v>8</v>
          </cell>
          <cell r="AC343">
            <v>7058</v>
          </cell>
          <cell r="AH343" t="str">
            <v>SAN JUAN RIVERCoho</v>
          </cell>
          <cell r="AI343" t="str">
            <v>PL+D</v>
          </cell>
          <cell r="AJ343">
            <v>7569</v>
          </cell>
        </row>
        <row r="344">
          <cell r="AA344" t="str">
            <v>SAN JUAN RIVERPink</v>
          </cell>
          <cell r="AB344">
            <v>8</v>
          </cell>
          <cell r="AC344">
            <v>4</v>
          </cell>
          <cell r="AH344" t="str">
            <v>SAN JUAN RIVERPink</v>
          </cell>
          <cell r="AI344" t="str">
            <v>PL+D</v>
          </cell>
          <cell r="AJ344">
            <v>4</v>
          </cell>
        </row>
        <row r="345">
          <cell r="AA345" t="str">
            <v>SAN JUAN RIVERChum</v>
          </cell>
          <cell r="AB345">
            <v>8</v>
          </cell>
          <cell r="AC345">
            <v>61</v>
          </cell>
          <cell r="AH345" t="str">
            <v>SAN JUAN RIVERChum</v>
          </cell>
          <cell r="AI345" t="str">
            <v>PL+D</v>
          </cell>
          <cell r="AJ345">
            <v>62</v>
          </cell>
        </row>
        <row r="346">
          <cell r="AA346" t="str">
            <v>SAN JUAN RIVERChinook</v>
          </cell>
          <cell r="AB346">
            <v>8</v>
          </cell>
          <cell r="AC346">
            <v>699</v>
          </cell>
          <cell r="AH346" t="str">
            <v>SAN JUAN RIVERChinook</v>
          </cell>
          <cell r="AI346" t="str">
            <v>PL+D</v>
          </cell>
          <cell r="AJ346">
            <v>874</v>
          </cell>
        </row>
        <row r="347">
          <cell r="AA347" t="str">
            <v>SAN JUAN RIVERSteelhead</v>
          </cell>
          <cell r="AB347">
            <v>8</v>
          </cell>
          <cell r="AC347">
            <v>26</v>
          </cell>
          <cell r="AH347" t="str">
            <v>SAN JUAN RIVERSteelhead</v>
          </cell>
          <cell r="AI347" t="str">
            <v>PL+D</v>
          </cell>
          <cell r="AJ347">
            <v>26</v>
          </cell>
        </row>
        <row r="348">
          <cell r="AA348" t="str">
            <v>SOOKE RIVERSockeye</v>
          </cell>
          <cell r="AB348">
            <v>0</v>
          </cell>
          <cell r="AC348">
            <v>0</v>
          </cell>
          <cell r="AH348" t="str">
            <v>SOOKE RIVERSockeye</v>
          </cell>
          <cell r="AI348">
            <v>0</v>
          </cell>
          <cell r="AJ348">
            <v>0</v>
          </cell>
        </row>
        <row r="349">
          <cell r="AA349" t="str">
            <v>SOOKE RIVERCoho</v>
          </cell>
          <cell r="AB349">
            <v>0</v>
          </cell>
          <cell r="AC349">
            <v>0</v>
          </cell>
          <cell r="AH349" t="str">
            <v>SOOKE RIVERCoho</v>
          </cell>
          <cell r="AI349">
            <v>0</v>
          </cell>
          <cell r="AJ349">
            <v>0</v>
          </cell>
        </row>
        <row r="350">
          <cell r="AA350" t="str">
            <v>SOOKE RIVERPink</v>
          </cell>
          <cell r="AB350">
            <v>0</v>
          </cell>
          <cell r="AC350">
            <v>0</v>
          </cell>
          <cell r="AH350" t="str">
            <v>SOOKE RIVERPink</v>
          </cell>
          <cell r="AI350">
            <v>0</v>
          </cell>
          <cell r="AJ350">
            <v>0</v>
          </cell>
        </row>
        <row r="351">
          <cell r="AA351" t="str">
            <v>SOOKE RIVERChum</v>
          </cell>
          <cell r="AB351">
            <v>0</v>
          </cell>
          <cell r="AC351">
            <v>0</v>
          </cell>
          <cell r="AH351" t="str">
            <v>SOOKE RIVERChum</v>
          </cell>
          <cell r="AI351">
            <v>0</v>
          </cell>
          <cell r="AJ351">
            <v>0</v>
          </cell>
        </row>
        <row r="352">
          <cell r="AA352" t="str">
            <v>SOOKE RIVERChinook</v>
          </cell>
          <cell r="AB352">
            <v>0</v>
          </cell>
          <cell r="AC352">
            <v>0</v>
          </cell>
          <cell r="AH352" t="str">
            <v>SOOKE RIVERChinook</v>
          </cell>
          <cell r="AI352">
            <v>0</v>
          </cell>
          <cell r="AJ352">
            <v>0</v>
          </cell>
        </row>
        <row r="353">
          <cell r="AA353" t="str">
            <v>SOOKE RIVERSteelhead</v>
          </cell>
          <cell r="AB353">
            <v>0</v>
          </cell>
          <cell r="AC353">
            <v>0</v>
          </cell>
          <cell r="AH353" t="str">
            <v>SOOKE RIVERSteelhead</v>
          </cell>
          <cell r="AI353">
            <v>0</v>
          </cell>
          <cell r="AJ353">
            <v>0</v>
          </cell>
        </row>
        <row r="354">
          <cell r="AA354" t="str">
            <v>TREMBLAY CREEKSockeye</v>
          </cell>
          <cell r="AB354">
            <v>0</v>
          </cell>
          <cell r="AC354">
            <v>0</v>
          </cell>
          <cell r="AH354" t="str">
            <v>TREMBLAY CREEKSockeye</v>
          </cell>
          <cell r="AI354">
            <v>0</v>
          </cell>
          <cell r="AJ354">
            <v>0</v>
          </cell>
        </row>
        <row r="355">
          <cell r="AA355" t="str">
            <v>TREMBLAY CREEKCoho</v>
          </cell>
          <cell r="AB355">
            <v>0</v>
          </cell>
          <cell r="AC355">
            <v>0</v>
          </cell>
          <cell r="AH355" t="str">
            <v>TREMBLAY CREEKCoho</v>
          </cell>
          <cell r="AI355">
            <v>0</v>
          </cell>
          <cell r="AJ355">
            <v>0</v>
          </cell>
        </row>
        <row r="356">
          <cell r="AA356" t="str">
            <v>TREMBLAY CREEKPink</v>
          </cell>
          <cell r="AB356">
            <v>0</v>
          </cell>
          <cell r="AC356">
            <v>0</v>
          </cell>
          <cell r="AH356" t="str">
            <v>TREMBLAY CREEKPink</v>
          </cell>
          <cell r="AI356">
            <v>0</v>
          </cell>
          <cell r="AJ356">
            <v>0</v>
          </cell>
        </row>
        <row r="357">
          <cell r="AA357" t="str">
            <v>TREMBLAY CREEKChum</v>
          </cell>
          <cell r="AB357">
            <v>0</v>
          </cell>
          <cell r="AC357">
            <v>0</v>
          </cell>
          <cell r="AH357" t="str">
            <v>TREMBLAY CREEKChum</v>
          </cell>
          <cell r="AI357">
            <v>0</v>
          </cell>
          <cell r="AJ357">
            <v>0</v>
          </cell>
        </row>
        <row r="358">
          <cell r="AA358" t="str">
            <v>TREMBLAY CREEKChinook</v>
          </cell>
          <cell r="AB358">
            <v>0</v>
          </cell>
          <cell r="AC358">
            <v>0</v>
          </cell>
          <cell r="AH358" t="str">
            <v>TREMBLAY CREEKChinook</v>
          </cell>
          <cell r="AI358">
            <v>0</v>
          </cell>
          <cell r="AJ358">
            <v>0</v>
          </cell>
        </row>
        <row r="359">
          <cell r="AA359" t="str">
            <v>TREMBLAY CREEKSteelhead</v>
          </cell>
          <cell r="AB359">
            <v>0</v>
          </cell>
          <cell r="AC359">
            <v>0</v>
          </cell>
          <cell r="AH359" t="str">
            <v>TREMBLAY CREEKSteelhead</v>
          </cell>
          <cell r="AI359">
            <v>0</v>
          </cell>
          <cell r="AJ359">
            <v>0</v>
          </cell>
        </row>
        <row r="360">
          <cell r="AA360" t="str">
            <v>TUGWELL CREEKSockeye</v>
          </cell>
          <cell r="AB360">
            <v>0</v>
          </cell>
          <cell r="AC360">
            <v>0</v>
          </cell>
          <cell r="AH360" t="str">
            <v>TUGWELL CREEKSockeye</v>
          </cell>
          <cell r="AI360">
            <v>0</v>
          </cell>
          <cell r="AJ360">
            <v>0</v>
          </cell>
        </row>
        <row r="361">
          <cell r="AA361" t="str">
            <v>TUGWELL CREEKCoho</v>
          </cell>
          <cell r="AB361">
            <v>0</v>
          </cell>
          <cell r="AC361">
            <v>0</v>
          </cell>
          <cell r="AH361" t="str">
            <v>TUGWELL CREEKCoho</v>
          </cell>
          <cell r="AI361">
            <v>0</v>
          </cell>
          <cell r="AJ361">
            <v>0</v>
          </cell>
        </row>
        <row r="362">
          <cell r="AA362" t="str">
            <v>TUGWELL CREEKPink</v>
          </cell>
          <cell r="AB362">
            <v>0</v>
          </cell>
          <cell r="AC362">
            <v>0</v>
          </cell>
          <cell r="AH362" t="str">
            <v>TUGWELL CREEKPink</v>
          </cell>
          <cell r="AI362">
            <v>0</v>
          </cell>
          <cell r="AJ362">
            <v>0</v>
          </cell>
        </row>
        <row r="363">
          <cell r="AA363" t="str">
            <v>TUGWELL CREEKChum</v>
          </cell>
          <cell r="AB363">
            <v>0</v>
          </cell>
          <cell r="AC363">
            <v>0</v>
          </cell>
          <cell r="AH363" t="str">
            <v>TUGWELL CREEKChum</v>
          </cell>
          <cell r="AI363">
            <v>0</v>
          </cell>
          <cell r="AJ363">
            <v>0</v>
          </cell>
        </row>
        <row r="364">
          <cell r="AA364" t="str">
            <v>TUGWELL CREEKChinook</v>
          </cell>
          <cell r="AB364">
            <v>0</v>
          </cell>
          <cell r="AC364">
            <v>0</v>
          </cell>
          <cell r="AH364" t="str">
            <v>TUGWELL CREEKChinook</v>
          </cell>
          <cell r="AI364">
            <v>0</v>
          </cell>
          <cell r="AJ364">
            <v>0</v>
          </cell>
        </row>
        <row r="365">
          <cell r="AA365" t="str">
            <v>TUGWELL CREEKSteelhead</v>
          </cell>
          <cell r="AB365">
            <v>0</v>
          </cell>
          <cell r="AC365">
            <v>0</v>
          </cell>
          <cell r="AH365" t="str">
            <v>TUGWELL CREEKSteelhead</v>
          </cell>
          <cell r="AI365">
            <v>0</v>
          </cell>
          <cell r="AJ365">
            <v>0</v>
          </cell>
        </row>
        <row r="366">
          <cell r="AA366" t="str">
            <v>BLUE CREEKSockeye</v>
          </cell>
          <cell r="AB366">
            <v>0</v>
          </cell>
          <cell r="AC366">
            <v>0</v>
          </cell>
          <cell r="AH366" t="str">
            <v>BLUE CREEKSockeye</v>
          </cell>
          <cell r="AI366">
            <v>0</v>
          </cell>
          <cell r="AJ366">
            <v>0</v>
          </cell>
        </row>
        <row r="367">
          <cell r="AA367" t="str">
            <v>BLUE CREEKCoho</v>
          </cell>
          <cell r="AB367">
            <v>0</v>
          </cell>
          <cell r="AC367">
            <v>0</v>
          </cell>
          <cell r="AH367" t="str">
            <v>BLUE CREEKCoho</v>
          </cell>
          <cell r="AI367">
            <v>0</v>
          </cell>
          <cell r="AJ367">
            <v>0</v>
          </cell>
        </row>
        <row r="368">
          <cell r="AA368" t="str">
            <v>BLUE CREEKPink</v>
          </cell>
          <cell r="AB368">
            <v>0</v>
          </cell>
          <cell r="AC368">
            <v>0</v>
          </cell>
          <cell r="AH368" t="str">
            <v>BLUE CREEKPink</v>
          </cell>
          <cell r="AI368">
            <v>0</v>
          </cell>
          <cell r="AJ368">
            <v>0</v>
          </cell>
        </row>
        <row r="369">
          <cell r="AA369" t="str">
            <v>BLUE CREEKChum</v>
          </cell>
          <cell r="AB369">
            <v>0</v>
          </cell>
          <cell r="AC369">
            <v>0</v>
          </cell>
          <cell r="AH369" t="str">
            <v>BLUE CREEKChum</v>
          </cell>
          <cell r="AI369">
            <v>0</v>
          </cell>
          <cell r="AJ369">
            <v>0</v>
          </cell>
        </row>
        <row r="370">
          <cell r="AA370" t="str">
            <v>BLUE CREEKChinook</v>
          </cell>
          <cell r="AB370">
            <v>0</v>
          </cell>
          <cell r="AC370">
            <v>0</v>
          </cell>
          <cell r="AH370" t="str">
            <v>BLUE CREEKChinook</v>
          </cell>
          <cell r="AI370">
            <v>0</v>
          </cell>
          <cell r="AJ370">
            <v>0</v>
          </cell>
        </row>
        <row r="371">
          <cell r="AA371" t="str">
            <v>BLUE CREEKSteelhead</v>
          </cell>
          <cell r="AB371">
            <v>0</v>
          </cell>
          <cell r="AC371">
            <v>0</v>
          </cell>
          <cell r="AH371" t="str">
            <v>BLUE CREEKSteelhead</v>
          </cell>
          <cell r="AI371">
            <v>0</v>
          </cell>
          <cell r="AJ371">
            <v>0</v>
          </cell>
        </row>
        <row r="372">
          <cell r="AA372" t="str">
            <v>CARMANAH CREEKSockeye</v>
          </cell>
          <cell r="AB372">
            <v>0</v>
          </cell>
          <cell r="AC372">
            <v>0</v>
          </cell>
          <cell r="AH372" t="str">
            <v>CARMANAH CREEKSockeye</v>
          </cell>
          <cell r="AI372">
            <v>0</v>
          </cell>
          <cell r="AJ372">
            <v>0</v>
          </cell>
        </row>
        <row r="373">
          <cell r="AA373" t="str">
            <v>CARMANAH CREEKCoho</v>
          </cell>
          <cell r="AB373">
            <v>0</v>
          </cell>
          <cell r="AC373">
            <v>0</v>
          </cell>
          <cell r="AH373" t="str">
            <v>CARMANAH CREEKCoho</v>
          </cell>
          <cell r="AI373">
            <v>0</v>
          </cell>
          <cell r="AJ373">
            <v>0</v>
          </cell>
        </row>
        <row r="374">
          <cell r="AA374" t="str">
            <v>CARMANAH CREEKPink</v>
          </cell>
          <cell r="AB374">
            <v>0</v>
          </cell>
          <cell r="AC374">
            <v>0</v>
          </cell>
          <cell r="AH374" t="str">
            <v>CARMANAH CREEKPink</v>
          </cell>
          <cell r="AI374">
            <v>0</v>
          </cell>
          <cell r="AJ374">
            <v>0</v>
          </cell>
        </row>
        <row r="375">
          <cell r="AA375" t="str">
            <v>CARMANAH CREEKChum</v>
          </cell>
          <cell r="AB375">
            <v>0</v>
          </cell>
          <cell r="AC375">
            <v>0</v>
          </cell>
          <cell r="AH375" t="str">
            <v>CARMANAH CREEKChum</v>
          </cell>
          <cell r="AI375">
            <v>0</v>
          </cell>
          <cell r="AJ375">
            <v>0</v>
          </cell>
        </row>
        <row r="376">
          <cell r="AA376" t="str">
            <v>CARMANAH CREEKChinook</v>
          </cell>
          <cell r="AB376">
            <v>0</v>
          </cell>
          <cell r="AC376">
            <v>0</v>
          </cell>
          <cell r="AH376" t="str">
            <v>CARMANAH CREEKChinook</v>
          </cell>
          <cell r="AI376">
            <v>0</v>
          </cell>
          <cell r="AJ376">
            <v>0</v>
          </cell>
        </row>
        <row r="377">
          <cell r="AA377" t="str">
            <v>CARMANAH CREEKSteelhead</v>
          </cell>
          <cell r="AB377">
            <v>0</v>
          </cell>
          <cell r="AC377">
            <v>0</v>
          </cell>
          <cell r="AH377" t="str">
            <v>CARMANAH CREEKSteelhead</v>
          </cell>
          <cell r="AI377">
            <v>0</v>
          </cell>
          <cell r="AJ377">
            <v>0</v>
          </cell>
        </row>
        <row r="378">
          <cell r="AA378" t="str">
            <v>CHEEWHAT RIVERSockeye</v>
          </cell>
          <cell r="AB378">
            <v>1</v>
          </cell>
          <cell r="AC378">
            <v>8</v>
          </cell>
          <cell r="AH378" t="str">
            <v>CHEEWHAT RIVERSockeye</v>
          </cell>
          <cell r="AI378">
            <v>0</v>
          </cell>
          <cell r="AJ378">
            <v>0</v>
          </cell>
        </row>
        <row r="379">
          <cell r="AA379" t="str">
            <v>CHEEWHAT RIVERCoho</v>
          </cell>
          <cell r="AB379">
            <v>1</v>
          </cell>
          <cell r="AC379">
            <v>0</v>
          </cell>
          <cell r="AH379" t="str">
            <v>CHEEWHAT RIVERCoho</v>
          </cell>
          <cell r="AI379">
            <v>0</v>
          </cell>
          <cell r="AJ379">
            <v>0</v>
          </cell>
        </row>
        <row r="380">
          <cell r="AA380" t="str">
            <v>CHEEWHAT RIVERPink</v>
          </cell>
          <cell r="AB380">
            <v>1</v>
          </cell>
          <cell r="AC380">
            <v>0</v>
          </cell>
          <cell r="AH380" t="str">
            <v>CHEEWHAT RIVERPink</v>
          </cell>
          <cell r="AI380">
            <v>0</v>
          </cell>
          <cell r="AJ380">
            <v>0</v>
          </cell>
        </row>
        <row r="381">
          <cell r="AA381" t="str">
            <v>CHEEWHAT RIVERChum</v>
          </cell>
          <cell r="AB381">
            <v>1</v>
          </cell>
          <cell r="AC381">
            <v>0</v>
          </cell>
          <cell r="AH381" t="str">
            <v>CHEEWHAT RIVERChum</v>
          </cell>
          <cell r="AI381">
            <v>0</v>
          </cell>
          <cell r="AJ381">
            <v>0</v>
          </cell>
        </row>
        <row r="382">
          <cell r="AA382" t="str">
            <v>CHEEWHAT RIVERChinook</v>
          </cell>
          <cell r="AB382">
            <v>1</v>
          </cell>
          <cell r="AC382">
            <v>0</v>
          </cell>
          <cell r="AH382" t="str">
            <v>CHEEWHAT RIVERChinook</v>
          </cell>
          <cell r="AI382">
            <v>0</v>
          </cell>
          <cell r="AJ382">
            <v>0</v>
          </cell>
        </row>
        <row r="383">
          <cell r="AA383" t="str">
            <v>CHEEWHAT RIVERSteelhead</v>
          </cell>
          <cell r="AB383">
            <v>1</v>
          </cell>
          <cell r="AC383">
            <v>0</v>
          </cell>
          <cell r="AH383" t="str">
            <v>CHEEWHAT RIVERSteelhead</v>
          </cell>
          <cell r="AI383">
            <v>0</v>
          </cell>
          <cell r="AJ383">
            <v>0</v>
          </cell>
        </row>
        <row r="384">
          <cell r="AA384" t="str">
            <v>KLANAWA RIVERSockeye</v>
          </cell>
          <cell r="AB384">
            <v>0</v>
          </cell>
          <cell r="AC384">
            <v>0</v>
          </cell>
          <cell r="AH384" t="str">
            <v>KLANAWA RIVERSockeye</v>
          </cell>
          <cell r="AI384" t="str">
            <v>Other</v>
          </cell>
          <cell r="AJ384" t="str">
            <v>AP</v>
          </cell>
        </row>
        <row r="385">
          <cell r="AA385" t="str">
            <v>KLANAWA RIVERCoho</v>
          </cell>
          <cell r="AB385">
            <v>0</v>
          </cell>
          <cell r="AC385">
            <v>0</v>
          </cell>
          <cell r="AH385" t="str">
            <v>KLANAWA RIVERCoho</v>
          </cell>
          <cell r="AI385" t="str">
            <v>Other</v>
          </cell>
          <cell r="AJ385" t="str">
            <v>NO</v>
          </cell>
        </row>
        <row r="386">
          <cell r="AA386" t="str">
            <v>KLANAWA RIVERPink</v>
          </cell>
          <cell r="AB386">
            <v>0</v>
          </cell>
          <cell r="AC386">
            <v>0</v>
          </cell>
          <cell r="AH386" t="str">
            <v>KLANAWA RIVERPink</v>
          </cell>
          <cell r="AI386">
            <v>0</v>
          </cell>
          <cell r="AJ386">
            <v>0</v>
          </cell>
        </row>
        <row r="387">
          <cell r="AA387" t="str">
            <v>KLANAWA RIVERChum</v>
          </cell>
          <cell r="AB387">
            <v>0</v>
          </cell>
          <cell r="AC387">
            <v>0</v>
          </cell>
          <cell r="AH387" t="str">
            <v>KLANAWA RIVERChum</v>
          </cell>
          <cell r="AI387" t="str">
            <v>Other</v>
          </cell>
          <cell r="AJ387" t="str">
            <v>NO</v>
          </cell>
        </row>
        <row r="388">
          <cell r="AA388" t="str">
            <v>KLANAWA RIVERChinook</v>
          </cell>
          <cell r="AB388">
            <v>0</v>
          </cell>
          <cell r="AC388">
            <v>0</v>
          </cell>
          <cell r="AH388" t="str">
            <v>KLANAWA RIVERChinook</v>
          </cell>
          <cell r="AI388">
            <v>0</v>
          </cell>
          <cell r="AJ388">
            <v>0</v>
          </cell>
        </row>
        <row r="389">
          <cell r="AA389" t="str">
            <v>KLANAWA RIVERSteelhead</v>
          </cell>
          <cell r="AB389">
            <v>0</v>
          </cell>
          <cell r="AC389">
            <v>0</v>
          </cell>
          <cell r="AH389" t="str">
            <v>KLANAWA RIVERSteelhead</v>
          </cell>
          <cell r="AI389">
            <v>0</v>
          </cell>
          <cell r="AJ389">
            <v>0</v>
          </cell>
        </row>
        <row r="390">
          <cell r="AA390" t="str">
            <v>RALF CREEKSockeye</v>
          </cell>
          <cell r="AB390">
            <v>0</v>
          </cell>
          <cell r="AC390">
            <v>0</v>
          </cell>
          <cell r="AH390" t="str">
            <v>RALF CREEKSockeye</v>
          </cell>
          <cell r="AI390">
            <v>0</v>
          </cell>
          <cell r="AJ390">
            <v>0</v>
          </cell>
        </row>
        <row r="391">
          <cell r="AA391" t="str">
            <v>RALF CREEKCoho</v>
          </cell>
          <cell r="AB391">
            <v>0</v>
          </cell>
          <cell r="AC391">
            <v>0</v>
          </cell>
          <cell r="AH391" t="str">
            <v>RALF CREEKCoho</v>
          </cell>
          <cell r="AI391">
            <v>0</v>
          </cell>
          <cell r="AJ391">
            <v>0</v>
          </cell>
        </row>
        <row r="392">
          <cell r="AA392" t="str">
            <v>RALF CREEKPink</v>
          </cell>
          <cell r="AB392">
            <v>0</v>
          </cell>
          <cell r="AC392">
            <v>0</v>
          </cell>
          <cell r="AH392" t="str">
            <v>RALF CREEKPink</v>
          </cell>
          <cell r="AI392">
            <v>0</v>
          </cell>
          <cell r="AJ392">
            <v>0</v>
          </cell>
        </row>
        <row r="393">
          <cell r="AA393" t="str">
            <v>RALF CREEKChum</v>
          </cell>
          <cell r="AB393">
            <v>0</v>
          </cell>
          <cell r="AC393">
            <v>0</v>
          </cell>
          <cell r="AH393" t="str">
            <v>RALF CREEKChum</v>
          </cell>
          <cell r="AI393">
            <v>0</v>
          </cell>
          <cell r="AJ393">
            <v>0</v>
          </cell>
        </row>
        <row r="394">
          <cell r="AA394" t="str">
            <v>RALF CREEKChinook</v>
          </cell>
          <cell r="AB394">
            <v>0</v>
          </cell>
          <cell r="AC394">
            <v>0</v>
          </cell>
          <cell r="AH394" t="str">
            <v>RALF CREEKChinook</v>
          </cell>
          <cell r="AI394">
            <v>0</v>
          </cell>
          <cell r="AJ394">
            <v>0</v>
          </cell>
        </row>
        <row r="395">
          <cell r="AA395" t="str">
            <v>RALF CREEKSteelhead</v>
          </cell>
          <cell r="AB395">
            <v>0</v>
          </cell>
          <cell r="AC395">
            <v>0</v>
          </cell>
          <cell r="AH395" t="str">
            <v>RALF CREEKSteelhead</v>
          </cell>
          <cell r="AI395">
            <v>0</v>
          </cell>
          <cell r="AJ395">
            <v>0</v>
          </cell>
        </row>
        <row r="396">
          <cell r="AA396" t="str">
            <v>CAMPUS CREEKSockeye</v>
          </cell>
          <cell r="AB396">
            <v>0</v>
          </cell>
          <cell r="AC396">
            <v>0</v>
          </cell>
          <cell r="AH396" t="str">
            <v>CAMPUS CREEKSockeye</v>
          </cell>
          <cell r="AI396">
            <v>0</v>
          </cell>
          <cell r="AJ396">
            <v>0</v>
          </cell>
        </row>
        <row r="397">
          <cell r="AA397" t="str">
            <v>CAMPUS CREEKCoho</v>
          </cell>
          <cell r="AB397">
            <v>0</v>
          </cell>
          <cell r="AC397">
            <v>0</v>
          </cell>
          <cell r="AH397" t="str">
            <v>CAMPUS CREEKCoho</v>
          </cell>
          <cell r="AI397">
            <v>0</v>
          </cell>
          <cell r="AJ397">
            <v>0</v>
          </cell>
        </row>
        <row r="398">
          <cell r="AA398" t="str">
            <v>CAMPUS CREEKPink</v>
          </cell>
          <cell r="AB398">
            <v>0</v>
          </cell>
          <cell r="AC398">
            <v>0</v>
          </cell>
          <cell r="AH398" t="str">
            <v>CAMPUS CREEKPink</v>
          </cell>
          <cell r="AI398">
            <v>0</v>
          </cell>
          <cell r="AJ398">
            <v>0</v>
          </cell>
        </row>
        <row r="399">
          <cell r="AA399" t="str">
            <v>CAMPUS CREEKChum</v>
          </cell>
          <cell r="AB399">
            <v>0</v>
          </cell>
          <cell r="AC399">
            <v>0</v>
          </cell>
          <cell r="AH399" t="str">
            <v>CAMPUS CREEKChum</v>
          </cell>
          <cell r="AI399" t="str">
            <v>EO</v>
          </cell>
          <cell r="AJ399">
            <v>300</v>
          </cell>
        </row>
        <row r="400">
          <cell r="AA400" t="str">
            <v>CAMPUS CREEKChinook</v>
          </cell>
          <cell r="AB400">
            <v>0</v>
          </cell>
          <cell r="AC400">
            <v>0</v>
          </cell>
          <cell r="AH400" t="str">
            <v>CAMPUS CREEKChinook</v>
          </cell>
          <cell r="AI400">
            <v>0</v>
          </cell>
          <cell r="AJ400">
            <v>0</v>
          </cell>
        </row>
        <row r="401">
          <cell r="AA401" t="str">
            <v>CAMPUS CREEKSteelhead</v>
          </cell>
          <cell r="AB401">
            <v>0</v>
          </cell>
          <cell r="AC401">
            <v>0</v>
          </cell>
          <cell r="AH401" t="str">
            <v>CAMPUS CREEKSteelhead</v>
          </cell>
          <cell r="AI401">
            <v>0</v>
          </cell>
          <cell r="AJ401">
            <v>0</v>
          </cell>
        </row>
        <row r="402">
          <cell r="AA402" t="str">
            <v>CAYCUSE RIVERSockeye</v>
          </cell>
          <cell r="AB402">
            <v>0</v>
          </cell>
          <cell r="AC402">
            <v>0</v>
          </cell>
          <cell r="AH402" t="str">
            <v>CAYCUSE RIVERSockeye</v>
          </cell>
          <cell r="AI402">
            <v>0</v>
          </cell>
          <cell r="AJ402">
            <v>0</v>
          </cell>
        </row>
        <row r="403">
          <cell r="AA403" t="str">
            <v>CAYCUSE RIVERCoho</v>
          </cell>
          <cell r="AB403">
            <v>0</v>
          </cell>
          <cell r="AC403">
            <v>0</v>
          </cell>
          <cell r="AH403" t="str">
            <v>CAYCUSE RIVERCoho</v>
          </cell>
          <cell r="AI403">
            <v>0</v>
          </cell>
          <cell r="AJ403">
            <v>0</v>
          </cell>
        </row>
        <row r="404">
          <cell r="AA404" t="str">
            <v>CAYCUSE RIVERPink</v>
          </cell>
          <cell r="AB404">
            <v>0</v>
          </cell>
          <cell r="AC404">
            <v>0</v>
          </cell>
          <cell r="AH404" t="str">
            <v>CAYCUSE RIVERPink</v>
          </cell>
          <cell r="AI404">
            <v>0</v>
          </cell>
          <cell r="AJ404">
            <v>0</v>
          </cell>
        </row>
        <row r="405">
          <cell r="AA405" t="str">
            <v>CAYCUSE RIVERChum</v>
          </cell>
          <cell r="AB405">
            <v>0</v>
          </cell>
          <cell r="AC405">
            <v>0</v>
          </cell>
          <cell r="AH405" t="str">
            <v>CAYCUSE RIVERChum</v>
          </cell>
          <cell r="AI405" t="str">
            <v>EO</v>
          </cell>
          <cell r="AJ405">
            <v>100</v>
          </cell>
        </row>
        <row r="406">
          <cell r="AA406" t="str">
            <v>CAYCUSE RIVERChinook</v>
          </cell>
          <cell r="AB406">
            <v>0</v>
          </cell>
          <cell r="AC406">
            <v>0</v>
          </cell>
          <cell r="AH406" t="str">
            <v>CAYCUSE RIVERChinook</v>
          </cell>
          <cell r="AI406">
            <v>0</v>
          </cell>
          <cell r="AJ406">
            <v>0</v>
          </cell>
        </row>
        <row r="407">
          <cell r="AA407" t="str">
            <v>CAYCUSE RIVERSteelhead</v>
          </cell>
          <cell r="AB407">
            <v>0</v>
          </cell>
          <cell r="AC407">
            <v>0</v>
          </cell>
          <cell r="AH407" t="str">
            <v>CAYCUSE RIVERSteelhead</v>
          </cell>
          <cell r="AI407">
            <v>0</v>
          </cell>
          <cell r="AJ407">
            <v>0</v>
          </cell>
        </row>
        <row r="408">
          <cell r="AA408" t="str">
            <v>DOOBAH CREEKSockeye</v>
          </cell>
          <cell r="AB408">
            <v>0</v>
          </cell>
          <cell r="AC408">
            <v>0</v>
          </cell>
          <cell r="AH408" t="str">
            <v>DOOBAH CREEKSockeye</v>
          </cell>
          <cell r="AI408">
            <v>0</v>
          </cell>
          <cell r="AJ408">
            <v>0</v>
          </cell>
        </row>
        <row r="409">
          <cell r="AA409" t="str">
            <v>DOOBAH CREEKCoho</v>
          </cell>
          <cell r="AB409">
            <v>0</v>
          </cell>
          <cell r="AC409">
            <v>0</v>
          </cell>
          <cell r="AH409" t="str">
            <v>DOOBAH CREEKCoho</v>
          </cell>
          <cell r="AI409">
            <v>0</v>
          </cell>
          <cell r="AJ409">
            <v>0</v>
          </cell>
        </row>
        <row r="410">
          <cell r="AA410" t="str">
            <v>DOOBAH CREEKPink</v>
          </cell>
          <cell r="AB410">
            <v>0</v>
          </cell>
          <cell r="AC410">
            <v>0</v>
          </cell>
          <cell r="AH410" t="str">
            <v>DOOBAH CREEKPink</v>
          </cell>
          <cell r="AI410">
            <v>0</v>
          </cell>
          <cell r="AJ410">
            <v>0</v>
          </cell>
        </row>
        <row r="411">
          <cell r="AA411" t="str">
            <v>DOOBAH CREEKChum</v>
          </cell>
          <cell r="AB411">
            <v>0</v>
          </cell>
          <cell r="AC411">
            <v>0</v>
          </cell>
          <cell r="AH411" t="str">
            <v>DOOBAH CREEKChum</v>
          </cell>
          <cell r="AI411" t="str">
            <v>EO</v>
          </cell>
          <cell r="AJ411">
            <v>100</v>
          </cell>
        </row>
        <row r="412">
          <cell r="AA412" t="str">
            <v>DOOBAH CREEKChinook</v>
          </cell>
          <cell r="AB412">
            <v>0</v>
          </cell>
          <cell r="AC412">
            <v>0</v>
          </cell>
          <cell r="AH412" t="str">
            <v>DOOBAH CREEKChinook</v>
          </cell>
          <cell r="AI412">
            <v>0</v>
          </cell>
          <cell r="AJ412">
            <v>0</v>
          </cell>
        </row>
        <row r="413">
          <cell r="AA413" t="str">
            <v>DOOBAH CREEKSteelhead</v>
          </cell>
          <cell r="AB413">
            <v>0</v>
          </cell>
          <cell r="AC413">
            <v>0</v>
          </cell>
          <cell r="AH413" t="str">
            <v>DOOBAH CREEKSteelhead</v>
          </cell>
          <cell r="AI413">
            <v>0</v>
          </cell>
          <cell r="AJ413">
            <v>0</v>
          </cell>
        </row>
        <row r="414">
          <cell r="AA414" t="str">
            <v>HOBITON CREEKSockeye</v>
          </cell>
          <cell r="AB414">
            <v>0</v>
          </cell>
          <cell r="AC414">
            <v>0</v>
          </cell>
          <cell r="AH414" t="str">
            <v>HOBITON CREEKSockeye</v>
          </cell>
          <cell r="AI414">
            <v>0</v>
          </cell>
          <cell r="AJ414">
            <v>0</v>
          </cell>
        </row>
        <row r="415">
          <cell r="AA415" t="str">
            <v>HOBITON CREEKCoho</v>
          </cell>
          <cell r="AB415">
            <v>0</v>
          </cell>
          <cell r="AC415">
            <v>0</v>
          </cell>
          <cell r="AH415" t="str">
            <v>HOBITON CREEKCoho</v>
          </cell>
          <cell r="AI415">
            <v>0</v>
          </cell>
          <cell r="AJ415">
            <v>0</v>
          </cell>
        </row>
        <row r="416">
          <cell r="AA416" t="str">
            <v>HOBITON CREEKPink</v>
          </cell>
          <cell r="AB416">
            <v>0</v>
          </cell>
          <cell r="AC416">
            <v>0</v>
          </cell>
          <cell r="AH416" t="str">
            <v>HOBITON CREEKPink</v>
          </cell>
          <cell r="AI416">
            <v>0</v>
          </cell>
          <cell r="AJ416">
            <v>0</v>
          </cell>
        </row>
        <row r="417">
          <cell r="AA417" t="str">
            <v>HOBITON CREEKChum</v>
          </cell>
          <cell r="AB417">
            <v>0</v>
          </cell>
          <cell r="AC417">
            <v>0</v>
          </cell>
          <cell r="AH417" t="str">
            <v>HOBITON CREEKChum</v>
          </cell>
          <cell r="AI417" t="str">
            <v>EO</v>
          </cell>
          <cell r="AJ417">
            <v>500</v>
          </cell>
        </row>
        <row r="418">
          <cell r="AA418" t="str">
            <v>HOBITON CREEKChinook</v>
          </cell>
          <cell r="AB418">
            <v>0</v>
          </cell>
          <cell r="AC418">
            <v>0</v>
          </cell>
          <cell r="AH418" t="str">
            <v>HOBITON CREEKChinook</v>
          </cell>
          <cell r="AI418">
            <v>0</v>
          </cell>
          <cell r="AJ418">
            <v>0</v>
          </cell>
        </row>
        <row r="419">
          <cell r="AA419" t="str">
            <v>HOBITON CREEKSteelhead</v>
          </cell>
          <cell r="AB419">
            <v>0</v>
          </cell>
          <cell r="AC419">
            <v>0</v>
          </cell>
          <cell r="AH419" t="str">
            <v>HOBITON CREEKSteelhead</v>
          </cell>
          <cell r="AI419">
            <v>0</v>
          </cell>
          <cell r="AJ419">
            <v>0</v>
          </cell>
        </row>
        <row r="420">
          <cell r="AA420" t="str">
            <v>JASPER CREEKSockeye</v>
          </cell>
          <cell r="AB420">
            <v>0</v>
          </cell>
          <cell r="AC420">
            <v>0</v>
          </cell>
          <cell r="AH420" t="str">
            <v>JASPER CREEKSockeye</v>
          </cell>
          <cell r="AI420">
            <v>0</v>
          </cell>
          <cell r="AJ420">
            <v>0</v>
          </cell>
        </row>
        <row r="421">
          <cell r="AA421" t="str">
            <v>JASPER CREEKCoho</v>
          </cell>
          <cell r="AB421">
            <v>0</v>
          </cell>
          <cell r="AC421">
            <v>0</v>
          </cell>
          <cell r="AH421" t="str">
            <v>JASPER CREEKCoho</v>
          </cell>
          <cell r="AI421">
            <v>0</v>
          </cell>
          <cell r="AJ421">
            <v>0</v>
          </cell>
        </row>
        <row r="422">
          <cell r="AA422" t="str">
            <v>JASPER CREEKPink</v>
          </cell>
          <cell r="AB422">
            <v>0</v>
          </cell>
          <cell r="AC422">
            <v>0</v>
          </cell>
          <cell r="AH422" t="str">
            <v>JASPER CREEKPink</v>
          </cell>
          <cell r="AI422">
            <v>0</v>
          </cell>
          <cell r="AJ422">
            <v>0</v>
          </cell>
        </row>
        <row r="423">
          <cell r="AA423" t="str">
            <v>JASPER CREEKChum</v>
          </cell>
          <cell r="AB423">
            <v>0</v>
          </cell>
          <cell r="AC423">
            <v>0</v>
          </cell>
          <cell r="AH423" t="str">
            <v>JASPER CREEKChum</v>
          </cell>
          <cell r="AI423">
            <v>0</v>
          </cell>
          <cell r="AJ423">
            <v>0</v>
          </cell>
        </row>
        <row r="424">
          <cell r="AA424" t="str">
            <v>JASPER CREEKChinook</v>
          </cell>
          <cell r="AB424">
            <v>0</v>
          </cell>
          <cell r="AC424">
            <v>0</v>
          </cell>
          <cell r="AH424" t="str">
            <v>JASPER CREEKChinook</v>
          </cell>
          <cell r="AI424">
            <v>0</v>
          </cell>
          <cell r="AJ424">
            <v>0</v>
          </cell>
        </row>
        <row r="425">
          <cell r="AA425" t="str">
            <v>JASPER CREEKSteelhead</v>
          </cell>
          <cell r="AB425">
            <v>0</v>
          </cell>
          <cell r="AC425">
            <v>0</v>
          </cell>
          <cell r="AH425" t="str">
            <v>JASPER CREEKSteelhead</v>
          </cell>
          <cell r="AI425">
            <v>0</v>
          </cell>
          <cell r="AJ425">
            <v>0</v>
          </cell>
        </row>
        <row r="426">
          <cell r="AA426" t="str">
            <v>LITTLE NITINAT RIVERSockeye</v>
          </cell>
          <cell r="AB426">
            <v>0</v>
          </cell>
          <cell r="AC426">
            <v>0</v>
          </cell>
          <cell r="AH426" t="str">
            <v>LITTLE NITINAT RIVERSockeye</v>
          </cell>
          <cell r="AI426">
            <v>0</v>
          </cell>
          <cell r="AJ426">
            <v>0</v>
          </cell>
        </row>
        <row r="427">
          <cell r="AA427" t="str">
            <v>LITTLE NITINAT RIVERCoho</v>
          </cell>
          <cell r="AB427">
            <v>0</v>
          </cell>
          <cell r="AC427">
            <v>0</v>
          </cell>
          <cell r="AH427" t="str">
            <v>LITTLE NITINAT RIVERCoho</v>
          </cell>
          <cell r="AI427">
            <v>0</v>
          </cell>
          <cell r="AJ427">
            <v>0</v>
          </cell>
        </row>
        <row r="428">
          <cell r="AA428" t="str">
            <v>LITTLE NITINAT RIVERPink</v>
          </cell>
          <cell r="AB428">
            <v>0</v>
          </cell>
          <cell r="AC428">
            <v>0</v>
          </cell>
          <cell r="AH428" t="str">
            <v>LITTLE NITINAT RIVERPink</v>
          </cell>
          <cell r="AI428">
            <v>0</v>
          </cell>
          <cell r="AJ428">
            <v>0</v>
          </cell>
        </row>
        <row r="429">
          <cell r="AA429" t="str">
            <v>LITTLE NITINAT RIVERChum</v>
          </cell>
          <cell r="AB429">
            <v>0</v>
          </cell>
          <cell r="AC429">
            <v>0</v>
          </cell>
          <cell r="AH429" t="str">
            <v>LITTLE NITINAT RIVERChum</v>
          </cell>
          <cell r="AI429">
            <v>0</v>
          </cell>
          <cell r="AJ429">
            <v>0</v>
          </cell>
        </row>
        <row r="430">
          <cell r="AA430" t="str">
            <v>LITTLE NITINAT RIVERChinook</v>
          </cell>
          <cell r="AB430">
            <v>0</v>
          </cell>
          <cell r="AC430">
            <v>0</v>
          </cell>
          <cell r="AH430" t="str">
            <v>LITTLE NITINAT RIVERChinook</v>
          </cell>
          <cell r="AI430">
            <v>0</v>
          </cell>
          <cell r="AJ430">
            <v>0</v>
          </cell>
        </row>
        <row r="431">
          <cell r="AA431" t="str">
            <v>LITTLE NITINAT RIVERSteelhead</v>
          </cell>
          <cell r="AB431">
            <v>0</v>
          </cell>
          <cell r="AC431">
            <v>0</v>
          </cell>
          <cell r="AH431" t="str">
            <v>LITTLE NITINAT RIVERSteelhead</v>
          </cell>
          <cell r="AI431">
            <v>0</v>
          </cell>
          <cell r="AJ431">
            <v>0</v>
          </cell>
        </row>
        <row r="432">
          <cell r="AA432" t="str">
            <v>NO-NAME CREEKSockeye</v>
          </cell>
          <cell r="AB432">
            <v>0</v>
          </cell>
          <cell r="AC432">
            <v>0</v>
          </cell>
          <cell r="AH432" t="str">
            <v>NO-NAME CREEKSockeye</v>
          </cell>
          <cell r="AI432">
            <v>0</v>
          </cell>
          <cell r="AJ432">
            <v>0</v>
          </cell>
        </row>
        <row r="433">
          <cell r="AA433" t="str">
            <v>NO-NAME CREEKCoho</v>
          </cell>
          <cell r="AB433">
            <v>0</v>
          </cell>
          <cell r="AC433">
            <v>0</v>
          </cell>
          <cell r="AH433" t="str">
            <v>NO-NAME CREEKCoho</v>
          </cell>
          <cell r="AI433">
            <v>0</v>
          </cell>
          <cell r="AJ433">
            <v>0</v>
          </cell>
        </row>
        <row r="434">
          <cell r="AA434" t="str">
            <v>NO-NAME CREEKPink</v>
          </cell>
          <cell r="AB434">
            <v>0</v>
          </cell>
          <cell r="AC434">
            <v>0</v>
          </cell>
          <cell r="AH434" t="str">
            <v>NO-NAME CREEKPink</v>
          </cell>
          <cell r="AI434">
            <v>0</v>
          </cell>
          <cell r="AJ434">
            <v>0</v>
          </cell>
        </row>
        <row r="435">
          <cell r="AA435" t="str">
            <v>NO-NAME CREEKChum</v>
          </cell>
          <cell r="AB435">
            <v>0</v>
          </cell>
          <cell r="AC435">
            <v>0</v>
          </cell>
          <cell r="AH435" t="str">
            <v>NO-NAME CREEKChum</v>
          </cell>
          <cell r="AI435">
            <v>0</v>
          </cell>
          <cell r="AJ435">
            <v>0</v>
          </cell>
        </row>
        <row r="436">
          <cell r="AA436" t="str">
            <v>NO-NAME CREEKChinook</v>
          </cell>
          <cell r="AB436">
            <v>0</v>
          </cell>
          <cell r="AC436">
            <v>0</v>
          </cell>
          <cell r="AH436" t="str">
            <v>NO-NAME CREEKChinook</v>
          </cell>
          <cell r="AI436">
            <v>0</v>
          </cell>
          <cell r="AJ436">
            <v>0</v>
          </cell>
        </row>
        <row r="437">
          <cell r="AA437" t="str">
            <v>NO-NAME CREEKSteelhead</v>
          </cell>
          <cell r="AB437">
            <v>0</v>
          </cell>
          <cell r="AC437">
            <v>0</v>
          </cell>
          <cell r="AH437" t="str">
            <v>NO-NAME CREEKSteelhead</v>
          </cell>
          <cell r="AI437">
            <v>0</v>
          </cell>
          <cell r="AJ437">
            <v>0</v>
          </cell>
        </row>
        <row r="438">
          <cell r="AA438" t="str">
            <v>PARKER CREEKSockeye</v>
          </cell>
          <cell r="AB438">
            <v>0</v>
          </cell>
          <cell r="AC438">
            <v>0</v>
          </cell>
          <cell r="AH438" t="str">
            <v>PARKER CREEKSockeye</v>
          </cell>
          <cell r="AI438">
            <v>0</v>
          </cell>
          <cell r="AJ438">
            <v>0</v>
          </cell>
        </row>
        <row r="439">
          <cell r="AA439" t="str">
            <v>PARKER CREEKCoho</v>
          </cell>
          <cell r="AB439">
            <v>0</v>
          </cell>
          <cell r="AC439">
            <v>0</v>
          </cell>
          <cell r="AH439" t="str">
            <v>PARKER CREEKCoho</v>
          </cell>
          <cell r="AI439">
            <v>0</v>
          </cell>
          <cell r="AJ439">
            <v>0</v>
          </cell>
        </row>
        <row r="440">
          <cell r="AA440" t="str">
            <v>PARKER CREEKPink</v>
          </cell>
          <cell r="AB440">
            <v>0</v>
          </cell>
          <cell r="AC440">
            <v>0</v>
          </cell>
          <cell r="AH440" t="str">
            <v>PARKER CREEKPink</v>
          </cell>
          <cell r="AI440">
            <v>0</v>
          </cell>
          <cell r="AJ440">
            <v>0</v>
          </cell>
        </row>
        <row r="441">
          <cell r="AA441" t="str">
            <v>PARKER CREEKChum</v>
          </cell>
          <cell r="AB441">
            <v>0</v>
          </cell>
          <cell r="AC441">
            <v>0</v>
          </cell>
          <cell r="AH441" t="str">
            <v>PARKER CREEKChum</v>
          </cell>
          <cell r="AI441">
            <v>0</v>
          </cell>
          <cell r="AJ441">
            <v>0</v>
          </cell>
        </row>
        <row r="442">
          <cell r="AA442" t="str">
            <v>PARKER CREEKChinook</v>
          </cell>
          <cell r="AB442">
            <v>0</v>
          </cell>
          <cell r="AC442">
            <v>0</v>
          </cell>
          <cell r="AH442" t="str">
            <v>PARKER CREEKChinook</v>
          </cell>
          <cell r="AI442">
            <v>0</v>
          </cell>
          <cell r="AJ442">
            <v>0</v>
          </cell>
        </row>
        <row r="443">
          <cell r="AA443" t="str">
            <v>PARKER CREEKSteelhead</v>
          </cell>
          <cell r="AB443">
            <v>0</v>
          </cell>
          <cell r="AC443">
            <v>0</v>
          </cell>
          <cell r="AH443" t="str">
            <v>PARKER CREEKSteelhead</v>
          </cell>
          <cell r="AI443">
            <v>0</v>
          </cell>
          <cell r="AJ443">
            <v>0</v>
          </cell>
        </row>
        <row r="444">
          <cell r="AA444" t="str">
            <v>WORTHLESS CREEKSockeye</v>
          </cell>
          <cell r="AB444">
            <v>0</v>
          </cell>
          <cell r="AC444">
            <v>0</v>
          </cell>
          <cell r="AH444" t="str">
            <v>WORTHLESS CREEKSockeye</v>
          </cell>
          <cell r="AI444">
            <v>0</v>
          </cell>
          <cell r="AJ444">
            <v>0</v>
          </cell>
        </row>
        <row r="445">
          <cell r="AA445" t="str">
            <v>WORTHLESS CREEKCoho</v>
          </cell>
          <cell r="AB445">
            <v>0</v>
          </cell>
          <cell r="AC445">
            <v>0</v>
          </cell>
          <cell r="AH445" t="str">
            <v>WORTHLESS CREEKCoho</v>
          </cell>
          <cell r="AI445">
            <v>0</v>
          </cell>
          <cell r="AJ445">
            <v>0</v>
          </cell>
        </row>
        <row r="446">
          <cell r="AA446" t="str">
            <v>WORTHLESS CREEKPink</v>
          </cell>
          <cell r="AB446">
            <v>0</v>
          </cell>
          <cell r="AC446">
            <v>0</v>
          </cell>
          <cell r="AH446" t="str">
            <v>WORTHLESS CREEKPink</v>
          </cell>
          <cell r="AI446">
            <v>0</v>
          </cell>
          <cell r="AJ446">
            <v>0</v>
          </cell>
        </row>
        <row r="447">
          <cell r="AA447" t="str">
            <v>WORTHLESS CREEKChum</v>
          </cell>
          <cell r="AB447">
            <v>0</v>
          </cell>
          <cell r="AC447">
            <v>0</v>
          </cell>
          <cell r="AH447" t="str">
            <v>WORTHLESS CREEKChum</v>
          </cell>
          <cell r="AI447">
            <v>0</v>
          </cell>
          <cell r="AJ447">
            <v>0</v>
          </cell>
        </row>
        <row r="448">
          <cell r="AA448" t="str">
            <v>WORTHLESS CREEKChinook</v>
          </cell>
          <cell r="AB448">
            <v>0</v>
          </cell>
          <cell r="AC448">
            <v>0</v>
          </cell>
          <cell r="AH448" t="str">
            <v>WORTHLESS CREEKChinook</v>
          </cell>
          <cell r="AI448">
            <v>0</v>
          </cell>
          <cell r="AJ448">
            <v>0</v>
          </cell>
        </row>
        <row r="449">
          <cell r="AA449" t="str">
            <v>WORTHLESS CREEKSteelhead</v>
          </cell>
          <cell r="AB449">
            <v>0</v>
          </cell>
          <cell r="AC449">
            <v>0</v>
          </cell>
          <cell r="AH449" t="str">
            <v>WORTHLESS CREEKSteelhead</v>
          </cell>
          <cell r="AI449">
            <v>0</v>
          </cell>
          <cell r="AJ449">
            <v>0</v>
          </cell>
        </row>
        <row r="450">
          <cell r="AA450" t="str">
            <v>COEUR D'ALENE CREEKSockeye</v>
          </cell>
          <cell r="AB450">
            <v>0</v>
          </cell>
          <cell r="AC450">
            <v>0</v>
          </cell>
          <cell r="AH450" t="str">
            <v>COEUR D'ALENE CREEKSockeye</v>
          </cell>
          <cell r="AI450">
            <v>0</v>
          </cell>
          <cell r="AJ450">
            <v>0</v>
          </cell>
        </row>
        <row r="451">
          <cell r="AA451" t="str">
            <v>COEUR D'ALENE CREEKCoho</v>
          </cell>
          <cell r="AB451">
            <v>0</v>
          </cell>
          <cell r="AC451">
            <v>0</v>
          </cell>
          <cell r="AH451" t="str">
            <v>COEUR D'ALENE CREEKCoho</v>
          </cell>
          <cell r="AI451">
            <v>0</v>
          </cell>
          <cell r="AJ451">
            <v>0</v>
          </cell>
        </row>
        <row r="452">
          <cell r="AA452" t="str">
            <v>COEUR D'ALENE CREEKPink</v>
          </cell>
          <cell r="AB452">
            <v>0</v>
          </cell>
          <cell r="AC452">
            <v>0</v>
          </cell>
          <cell r="AH452" t="str">
            <v>COEUR D'ALENE CREEKPink</v>
          </cell>
          <cell r="AI452">
            <v>0</v>
          </cell>
          <cell r="AJ452">
            <v>0</v>
          </cell>
        </row>
        <row r="453">
          <cell r="AA453" t="str">
            <v>COEUR D'ALENE CREEKChum</v>
          </cell>
          <cell r="AB453">
            <v>0</v>
          </cell>
          <cell r="AC453">
            <v>0</v>
          </cell>
          <cell r="AH453" t="str">
            <v>COEUR D'ALENE CREEKChum</v>
          </cell>
          <cell r="AI453">
            <v>0</v>
          </cell>
          <cell r="AJ453">
            <v>0</v>
          </cell>
        </row>
        <row r="454">
          <cell r="AA454" t="str">
            <v>COEUR D'ALENE CREEKChinook</v>
          </cell>
          <cell r="AB454">
            <v>0</v>
          </cell>
          <cell r="AC454">
            <v>0</v>
          </cell>
          <cell r="AH454" t="str">
            <v>COEUR D'ALENE CREEKChinook</v>
          </cell>
          <cell r="AI454">
            <v>0</v>
          </cell>
          <cell r="AJ454">
            <v>0</v>
          </cell>
        </row>
        <row r="455">
          <cell r="AA455" t="str">
            <v>COEUR D'ALENE CREEKSteelhead</v>
          </cell>
          <cell r="AB455">
            <v>0</v>
          </cell>
          <cell r="AC455">
            <v>0</v>
          </cell>
          <cell r="AH455" t="str">
            <v>COEUR D'ALENE CREEKSteelhead</v>
          </cell>
          <cell r="AI455">
            <v>0</v>
          </cell>
          <cell r="AJ455">
            <v>0</v>
          </cell>
        </row>
        <row r="456">
          <cell r="AA456" t="str">
            <v>COLEMAN CREEKSockeye</v>
          </cell>
          <cell r="AB456">
            <v>0</v>
          </cell>
          <cell r="AC456">
            <v>0</v>
          </cell>
          <cell r="AH456" t="str">
            <v>COLEMAN CREEKSockeye</v>
          </cell>
          <cell r="AI456">
            <v>0</v>
          </cell>
          <cell r="AJ456">
            <v>0</v>
          </cell>
        </row>
        <row r="457">
          <cell r="AA457" t="str">
            <v>COLEMAN CREEKCoho</v>
          </cell>
          <cell r="AB457">
            <v>0</v>
          </cell>
          <cell r="AC457">
            <v>0</v>
          </cell>
          <cell r="AH457" t="str">
            <v>COLEMAN CREEKCoho</v>
          </cell>
          <cell r="AI457">
            <v>0</v>
          </cell>
          <cell r="AJ457">
            <v>0</v>
          </cell>
        </row>
        <row r="458">
          <cell r="AA458" t="str">
            <v>COLEMAN CREEKPink</v>
          </cell>
          <cell r="AB458">
            <v>0</v>
          </cell>
          <cell r="AC458">
            <v>0</v>
          </cell>
          <cell r="AH458" t="str">
            <v>COLEMAN CREEKPink</v>
          </cell>
          <cell r="AI458">
            <v>0</v>
          </cell>
          <cell r="AJ458">
            <v>0</v>
          </cell>
        </row>
        <row r="459">
          <cell r="AA459" t="str">
            <v>COLEMAN CREEKChum</v>
          </cell>
          <cell r="AB459">
            <v>0</v>
          </cell>
          <cell r="AC459">
            <v>0</v>
          </cell>
          <cell r="AH459" t="str">
            <v>COLEMAN CREEKChum</v>
          </cell>
          <cell r="AI459">
            <v>0</v>
          </cell>
          <cell r="AJ459">
            <v>0</v>
          </cell>
        </row>
        <row r="460">
          <cell r="AA460" t="str">
            <v>COLEMAN CREEKChinook</v>
          </cell>
          <cell r="AB460">
            <v>0</v>
          </cell>
          <cell r="AC460">
            <v>0</v>
          </cell>
          <cell r="AH460" t="str">
            <v>COLEMAN CREEKChinook</v>
          </cell>
          <cell r="AI460">
            <v>0</v>
          </cell>
          <cell r="AJ460">
            <v>0</v>
          </cell>
        </row>
        <row r="461">
          <cell r="AA461" t="str">
            <v>COLEMAN CREEKSteelhead</v>
          </cell>
          <cell r="AB461">
            <v>0</v>
          </cell>
          <cell r="AC461">
            <v>0</v>
          </cell>
          <cell r="AH461" t="str">
            <v>COLEMAN CREEKSteelhead</v>
          </cell>
          <cell r="AI461">
            <v>0</v>
          </cell>
          <cell r="AJ461">
            <v>0</v>
          </cell>
        </row>
        <row r="462">
          <cell r="AA462" t="str">
            <v>CONSINKA CREEKSockeye</v>
          </cell>
          <cell r="AB462">
            <v>0</v>
          </cell>
          <cell r="AC462">
            <v>0</v>
          </cell>
          <cell r="AH462" t="str">
            <v>CONSINKA CREEKSockeye</v>
          </cell>
          <cell r="AI462">
            <v>0</v>
          </cell>
          <cell r="AJ462">
            <v>0</v>
          </cell>
        </row>
        <row r="463">
          <cell r="AA463" t="str">
            <v>CONSINKA CREEKCoho</v>
          </cell>
          <cell r="AB463">
            <v>0</v>
          </cell>
          <cell r="AC463">
            <v>0</v>
          </cell>
          <cell r="AH463" t="str">
            <v>CONSINKA CREEKCoho</v>
          </cell>
          <cell r="AI463">
            <v>0</v>
          </cell>
          <cell r="AJ463">
            <v>0</v>
          </cell>
        </row>
        <row r="464">
          <cell r="AA464" t="str">
            <v>CONSINKA CREEKPink</v>
          </cell>
          <cell r="AB464">
            <v>0</v>
          </cell>
          <cell r="AC464">
            <v>0</v>
          </cell>
          <cell r="AH464" t="str">
            <v>CONSINKA CREEKPink</v>
          </cell>
          <cell r="AI464">
            <v>0</v>
          </cell>
          <cell r="AJ464">
            <v>0</v>
          </cell>
        </row>
        <row r="465">
          <cell r="AA465" t="str">
            <v>CONSINKA CREEKChum</v>
          </cell>
          <cell r="AB465">
            <v>0</v>
          </cell>
          <cell r="AC465">
            <v>0</v>
          </cell>
          <cell r="AH465" t="str">
            <v>CONSINKA CREEKChum</v>
          </cell>
          <cell r="AI465">
            <v>0</v>
          </cell>
          <cell r="AJ465">
            <v>0</v>
          </cell>
        </row>
        <row r="466">
          <cell r="AA466" t="str">
            <v>CONSINKA CREEKChinook</v>
          </cell>
          <cell r="AB466">
            <v>0</v>
          </cell>
          <cell r="AC466">
            <v>0</v>
          </cell>
          <cell r="AH466" t="str">
            <v>CONSINKA CREEKChinook</v>
          </cell>
          <cell r="AI466">
            <v>0</v>
          </cell>
          <cell r="AJ466">
            <v>0</v>
          </cell>
        </row>
        <row r="467">
          <cell r="AA467" t="str">
            <v>CONSINKA CREEKSteelhead</v>
          </cell>
          <cell r="AB467">
            <v>0</v>
          </cell>
          <cell r="AC467">
            <v>0</v>
          </cell>
          <cell r="AH467" t="str">
            <v>CONSINKA CREEKSteelhead</v>
          </cell>
          <cell r="AI467">
            <v>0</v>
          </cell>
          <cell r="AJ467">
            <v>0</v>
          </cell>
        </row>
        <row r="468">
          <cell r="AA468" t="str">
            <v>COUS CREEKSockeye</v>
          </cell>
          <cell r="AB468">
            <v>1</v>
          </cell>
          <cell r="AC468">
            <v>0</v>
          </cell>
          <cell r="AH468" t="str">
            <v>COUS CREEKSockeye</v>
          </cell>
          <cell r="AI468">
            <v>0</v>
          </cell>
          <cell r="AJ468">
            <v>0</v>
          </cell>
        </row>
        <row r="469">
          <cell r="AA469" t="str">
            <v>COUS CREEKCoho</v>
          </cell>
          <cell r="AB469">
            <v>1</v>
          </cell>
          <cell r="AC469">
            <v>0</v>
          </cell>
          <cell r="AH469" t="str">
            <v>COUS CREEKCoho</v>
          </cell>
          <cell r="AI469">
            <v>0</v>
          </cell>
          <cell r="AJ469" t="str">
            <v>NO</v>
          </cell>
        </row>
        <row r="470">
          <cell r="AA470" t="str">
            <v>COUS CREEKPink</v>
          </cell>
          <cell r="AB470">
            <v>1</v>
          </cell>
          <cell r="AC470">
            <v>0</v>
          </cell>
          <cell r="AH470" t="str">
            <v>COUS CREEKPink</v>
          </cell>
          <cell r="AI470">
            <v>0</v>
          </cell>
          <cell r="AJ470">
            <v>0</v>
          </cell>
        </row>
        <row r="471">
          <cell r="AA471" t="str">
            <v>COUS CREEKChum</v>
          </cell>
          <cell r="AB471">
            <v>1</v>
          </cell>
          <cell r="AC471">
            <v>81</v>
          </cell>
          <cell r="AH471" t="str">
            <v>COUS CREEKChum</v>
          </cell>
          <cell r="AI471">
            <v>0</v>
          </cell>
          <cell r="AJ471" t="str">
            <v>AP</v>
          </cell>
        </row>
        <row r="472">
          <cell r="AA472" t="str">
            <v>COUS CREEKChinook</v>
          </cell>
          <cell r="AB472">
            <v>1</v>
          </cell>
          <cell r="AC472">
            <v>0</v>
          </cell>
          <cell r="AH472" t="str">
            <v>COUS CREEKChinook</v>
          </cell>
          <cell r="AI472">
            <v>0</v>
          </cell>
          <cell r="AJ472" t="str">
            <v>NO</v>
          </cell>
        </row>
        <row r="473">
          <cell r="AA473" t="str">
            <v>COUS CREEKSteelhead</v>
          </cell>
          <cell r="AB473">
            <v>1</v>
          </cell>
          <cell r="AC473">
            <v>0</v>
          </cell>
          <cell r="AH473" t="str">
            <v>COUS CREEKSteelhead</v>
          </cell>
          <cell r="AI473">
            <v>0</v>
          </cell>
          <cell r="AJ473">
            <v>0</v>
          </cell>
        </row>
        <row r="474">
          <cell r="AA474" t="str">
            <v>DEER CREEKSockeye</v>
          </cell>
          <cell r="AB474">
            <v>0</v>
          </cell>
          <cell r="AC474">
            <v>0</v>
          </cell>
          <cell r="AH474" t="str">
            <v>DEER CREEKSockeye</v>
          </cell>
          <cell r="AI474">
            <v>0</v>
          </cell>
          <cell r="AJ474">
            <v>0</v>
          </cell>
        </row>
        <row r="475">
          <cell r="AA475" t="str">
            <v>DEER CREEKCoho</v>
          </cell>
          <cell r="AB475">
            <v>0</v>
          </cell>
          <cell r="AC475">
            <v>0</v>
          </cell>
          <cell r="AH475" t="str">
            <v>DEER CREEKCoho</v>
          </cell>
          <cell r="AI475">
            <v>0</v>
          </cell>
          <cell r="AJ475">
            <v>0</v>
          </cell>
        </row>
        <row r="476">
          <cell r="AA476" t="str">
            <v>DEER CREEKPink</v>
          </cell>
          <cell r="AB476">
            <v>0</v>
          </cell>
          <cell r="AC476">
            <v>0</v>
          </cell>
          <cell r="AH476" t="str">
            <v>DEER CREEKPink</v>
          </cell>
          <cell r="AI476">
            <v>0</v>
          </cell>
          <cell r="AJ476">
            <v>0</v>
          </cell>
        </row>
        <row r="477">
          <cell r="AA477" t="str">
            <v>DEER CREEKChum</v>
          </cell>
          <cell r="AB477">
            <v>0</v>
          </cell>
          <cell r="AC477">
            <v>0</v>
          </cell>
          <cell r="AH477" t="str">
            <v>DEER CREEKChum</v>
          </cell>
          <cell r="AI477">
            <v>0</v>
          </cell>
          <cell r="AJ477">
            <v>0</v>
          </cell>
        </row>
        <row r="478">
          <cell r="AA478" t="str">
            <v>DEER CREEKChinook</v>
          </cell>
          <cell r="AB478">
            <v>0</v>
          </cell>
          <cell r="AC478">
            <v>0</v>
          </cell>
          <cell r="AH478" t="str">
            <v>DEER CREEKChinook</v>
          </cell>
          <cell r="AI478">
            <v>0</v>
          </cell>
          <cell r="AJ478">
            <v>0</v>
          </cell>
        </row>
        <row r="479">
          <cell r="AA479" t="str">
            <v>DEER CREEKSteelhead</v>
          </cell>
          <cell r="AB479">
            <v>0</v>
          </cell>
          <cell r="AC479">
            <v>0</v>
          </cell>
          <cell r="AH479" t="str">
            <v>DEER CREEKSteelhead</v>
          </cell>
          <cell r="AI479">
            <v>0</v>
          </cell>
          <cell r="AJ479">
            <v>0</v>
          </cell>
        </row>
        <row r="480">
          <cell r="AA480" t="str">
            <v>DRAW CREEKSockeye</v>
          </cell>
          <cell r="AB480">
            <v>0</v>
          </cell>
          <cell r="AC480">
            <v>0</v>
          </cell>
          <cell r="AH480" t="str">
            <v>DRAW CREEKSockeye</v>
          </cell>
          <cell r="AI480">
            <v>0</v>
          </cell>
          <cell r="AJ480">
            <v>0</v>
          </cell>
        </row>
        <row r="481">
          <cell r="AA481" t="str">
            <v>DRAW CREEKCoho</v>
          </cell>
          <cell r="AB481">
            <v>0</v>
          </cell>
          <cell r="AC481">
            <v>0</v>
          </cell>
          <cell r="AH481" t="str">
            <v>DRAW CREEKCoho</v>
          </cell>
          <cell r="AI481">
            <v>0</v>
          </cell>
          <cell r="AJ481">
            <v>0</v>
          </cell>
        </row>
        <row r="482">
          <cell r="AA482" t="str">
            <v>DRAW CREEKPink</v>
          </cell>
          <cell r="AB482">
            <v>0</v>
          </cell>
          <cell r="AC482">
            <v>0</v>
          </cell>
          <cell r="AH482" t="str">
            <v>DRAW CREEKPink</v>
          </cell>
          <cell r="AI482">
            <v>0</v>
          </cell>
          <cell r="AJ482">
            <v>0</v>
          </cell>
        </row>
        <row r="483">
          <cell r="AA483" t="str">
            <v>DRAW CREEKChum</v>
          </cell>
          <cell r="AB483">
            <v>0</v>
          </cell>
          <cell r="AC483">
            <v>0</v>
          </cell>
          <cell r="AH483" t="str">
            <v>DRAW CREEKChum</v>
          </cell>
          <cell r="AI483">
            <v>0</v>
          </cell>
          <cell r="AJ483">
            <v>0</v>
          </cell>
        </row>
        <row r="484">
          <cell r="AA484" t="str">
            <v>DRAW CREEKChinook</v>
          </cell>
          <cell r="AB484">
            <v>0</v>
          </cell>
          <cell r="AC484">
            <v>0</v>
          </cell>
          <cell r="AH484" t="str">
            <v>DRAW CREEKChinook</v>
          </cell>
          <cell r="AI484">
            <v>0</v>
          </cell>
          <cell r="AJ484">
            <v>0</v>
          </cell>
        </row>
        <row r="485">
          <cell r="AA485" t="str">
            <v>DRAW CREEKSteelhead</v>
          </cell>
          <cell r="AB485">
            <v>0</v>
          </cell>
          <cell r="AC485">
            <v>0</v>
          </cell>
          <cell r="AH485" t="str">
            <v>DRAW CREEKSteelhead</v>
          </cell>
          <cell r="AI485">
            <v>0</v>
          </cell>
          <cell r="AJ485">
            <v>0</v>
          </cell>
        </row>
        <row r="486">
          <cell r="AA486" t="str">
            <v>DRINKWATER CREEKSockeye</v>
          </cell>
          <cell r="AB486">
            <v>0</v>
          </cell>
          <cell r="AC486">
            <v>0</v>
          </cell>
          <cell r="AH486" t="str">
            <v>DRINKWATER CREEKSockeye</v>
          </cell>
          <cell r="AI486">
            <v>0</v>
          </cell>
          <cell r="AJ486">
            <v>0</v>
          </cell>
        </row>
        <row r="487">
          <cell r="AA487" t="str">
            <v>DRINKWATER CREEKCoho</v>
          </cell>
          <cell r="AB487">
            <v>0</v>
          </cell>
          <cell r="AC487">
            <v>0</v>
          </cell>
          <cell r="AH487" t="str">
            <v>DRINKWATER CREEKCoho</v>
          </cell>
          <cell r="AI487">
            <v>0</v>
          </cell>
          <cell r="AJ487">
            <v>0</v>
          </cell>
        </row>
        <row r="488">
          <cell r="AA488" t="str">
            <v>DRINKWATER CREEKPink</v>
          </cell>
          <cell r="AB488">
            <v>0</v>
          </cell>
          <cell r="AC488">
            <v>0</v>
          </cell>
          <cell r="AH488" t="str">
            <v>DRINKWATER CREEKPink</v>
          </cell>
          <cell r="AI488">
            <v>0</v>
          </cell>
          <cell r="AJ488">
            <v>0</v>
          </cell>
        </row>
        <row r="489">
          <cell r="AA489" t="str">
            <v>DRINKWATER CREEKChum</v>
          </cell>
          <cell r="AB489">
            <v>0</v>
          </cell>
          <cell r="AC489">
            <v>0</v>
          </cell>
          <cell r="AH489" t="str">
            <v>DRINKWATER CREEKChum</v>
          </cell>
          <cell r="AI489">
            <v>0</v>
          </cell>
          <cell r="AJ489">
            <v>0</v>
          </cell>
        </row>
        <row r="490">
          <cell r="AA490" t="str">
            <v>DRINKWATER CREEKChinook</v>
          </cell>
          <cell r="AB490">
            <v>0</v>
          </cell>
          <cell r="AC490">
            <v>0</v>
          </cell>
          <cell r="AH490" t="str">
            <v>DRINKWATER CREEKChinook</v>
          </cell>
          <cell r="AI490">
            <v>0</v>
          </cell>
          <cell r="AJ490">
            <v>0</v>
          </cell>
        </row>
        <row r="491">
          <cell r="AA491" t="str">
            <v>DRINKWATER CREEKSteelhead</v>
          </cell>
          <cell r="AB491">
            <v>0</v>
          </cell>
          <cell r="AC491">
            <v>0</v>
          </cell>
          <cell r="AH491" t="str">
            <v>DRINKWATER CREEKSteelhead</v>
          </cell>
          <cell r="AI491">
            <v>0</v>
          </cell>
          <cell r="AJ491">
            <v>0</v>
          </cell>
        </row>
        <row r="492">
          <cell r="AA492" t="str">
            <v>DUTCH HARBOUR CREEK EASTSockeye</v>
          </cell>
          <cell r="AB492">
            <v>0</v>
          </cell>
          <cell r="AC492">
            <v>0</v>
          </cell>
          <cell r="AH492" t="str">
            <v>DUTCH HARBOUR CREEK EASTSockeye</v>
          </cell>
          <cell r="AI492">
            <v>0</v>
          </cell>
          <cell r="AJ492">
            <v>0</v>
          </cell>
        </row>
        <row r="493">
          <cell r="AA493" t="str">
            <v>DUTCH HARBOUR CREEK EASTCoho</v>
          </cell>
          <cell r="AB493">
            <v>0</v>
          </cell>
          <cell r="AC493">
            <v>0</v>
          </cell>
          <cell r="AH493" t="str">
            <v>DUTCH HARBOUR CREEK EASTCoho</v>
          </cell>
          <cell r="AI493">
            <v>0</v>
          </cell>
          <cell r="AJ493">
            <v>0</v>
          </cell>
        </row>
        <row r="494">
          <cell r="AA494" t="str">
            <v>DUTCH HARBOUR CREEK EASTPink</v>
          </cell>
          <cell r="AB494">
            <v>0</v>
          </cell>
          <cell r="AC494">
            <v>0</v>
          </cell>
          <cell r="AH494" t="str">
            <v>DUTCH HARBOUR CREEK EASTPink</v>
          </cell>
          <cell r="AI494">
            <v>0</v>
          </cell>
          <cell r="AJ494">
            <v>0</v>
          </cell>
        </row>
        <row r="495">
          <cell r="AA495" t="str">
            <v>DUTCH HARBOUR CREEK EASTChum</v>
          </cell>
          <cell r="AB495">
            <v>0</v>
          </cell>
          <cell r="AC495">
            <v>0</v>
          </cell>
          <cell r="AH495" t="str">
            <v>DUTCH HARBOUR CREEK EASTChum</v>
          </cell>
          <cell r="AI495">
            <v>0</v>
          </cell>
          <cell r="AJ495">
            <v>0</v>
          </cell>
        </row>
        <row r="496">
          <cell r="AA496" t="str">
            <v>DUTCH HARBOUR CREEK EASTChinook</v>
          </cell>
          <cell r="AB496">
            <v>0</v>
          </cell>
          <cell r="AC496">
            <v>0</v>
          </cell>
          <cell r="AH496" t="str">
            <v>DUTCH HARBOUR CREEK EASTChinook</v>
          </cell>
          <cell r="AI496">
            <v>0</v>
          </cell>
          <cell r="AJ496">
            <v>0</v>
          </cell>
        </row>
        <row r="497">
          <cell r="AA497" t="str">
            <v>DUTCH HARBOUR CREEK EASTSteelhead</v>
          </cell>
          <cell r="AB497">
            <v>0</v>
          </cell>
          <cell r="AC497">
            <v>0</v>
          </cell>
          <cell r="AH497" t="str">
            <v>DUTCH HARBOUR CREEK EASTSteelhead</v>
          </cell>
          <cell r="AI497">
            <v>0</v>
          </cell>
          <cell r="AJ497">
            <v>0</v>
          </cell>
        </row>
        <row r="498">
          <cell r="AA498" t="str">
            <v>DUTCH HARBOUR CREEK WESTSockeye</v>
          </cell>
          <cell r="AB498">
            <v>0</v>
          </cell>
          <cell r="AC498">
            <v>0</v>
          </cell>
          <cell r="AH498" t="str">
            <v>DUTCH HARBOUR CREEK WESTSockeye</v>
          </cell>
          <cell r="AI498">
            <v>0</v>
          </cell>
          <cell r="AJ498">
            <v>0</v>
          </cell>
        </row>
        <row r="499">
          <cell r="AA499" t="str">
            <v>DUTCH HARBOUR CREEK WESTCoho</v>
          </cell>
          <cell r="AB499">
            <v>0</v>
          </cell>
          <cell r="AC499">
            <v>0</v>
          </cell>
          <cell r="AH499" t="str">
            <v>DUTCH HARBOUR CREEK WESTCoho</v>
          </cell>
          <cell r="AI499">
            <v>0</v>
          </cell>
          <cell r="AJ499">
            <v>0</v>
          </cell>
        </row>
        <row r="500">
          <cell r="AA500" t="str">
            <v>DUTCH HARBOUR CREEK WESTPink</v>
          </cell>
          <cell r="AB500">
            <v>0</v>
          </cell>
          <cell r="AC500">
            <v>0</v>
          </cell>
          <cell r="AH500" t="str">
            <v>DUTCH HARBOUR CREEK WESTPink</v>
          </cell>
          <cell r="AI500">
            <v>0</v>
          </cell>
          <cell r="AJ500">
            <v>0</v>
          </cell>
        </row>
        <row r="501">
          <cell r="AA501" t="str">
            <v>DUTCH HARBOUR CREEK WESTChum</v>
          </cell>
          <cell r="AB501">
            <v>0</v>
          </cell>
          <cell r="AC501">
            <v>0</v>
          </cell>
          <cell r="AH501" t="str">
            <v>DUTCH HARBOUR CREEK WESTChum</v>
          </cell>
          <cell r="AI501">
            <v>0</v>
          </cell>
          <cell r="AJ501">
            <v>0</v>
          </cell>
        </row>
        <row r="502">
          <cell r="AA502" t="str">
            <v>DUTCH HARBOUR CREEK WESTChinook</v>
          </cell>
          <cell r="AB502">
            <v>0</v>
          </cell>
          <cell r="AC502">
            <v>0</v>
          </cell>
          <cell r="AH502" t="str">
            <v>DUTCH HARBOUR CREEK WESTChinook</v>
          </cell>
          <cell r="AI502">
            <v>0</v>
          </cell>
          <cell r="AJ502">
            <v>0</v>
          </cell>
        </row>
        <row r="503">
          <cell r="AA503" t="str">
            <v>DUTCH HARBOUR CREEK WESTSteelhead</v>
          </cell>
          <cell r="AB503">
            <v>0</v>
          </cell>
          <cell r="AC503">
            <v>0</v>
          </cell>
          <cell r="AH503" t="str">
            <v>DUTCH HARBOUR CREEK WESTSteelhead</v>
          </cell>
          <cell r="AI503">
            <v>0</v>
          </cell>
          <cell r="AJ503">
            <v>0</v>
          </cell>
        </row>
        <row r="504">
          <cell r="AA504" t="str">
            <v>EFFINGHAM RIVERSockeye</v>
          </cell>
          <cell r="AB504">
            <v>0</v>
          </cell>
          <cell r="AC504">
            <v>0</v>
          </cell>
          <cell r="AH504" t="str">
            <v>EFFINGHAM RIVERSockeye</v>
          </cell>
          <cell r="AI504">
            <v>0</v>
          </cell>
          <cell r="AJ504">
            <v>0</v>
          </cell>
        </row>
        <row r="505">
          <cell r="AA505" t="str">
            <v>EFFINGHAM RIVERCoho</v>
          </cell>
          <cell r="AB505">
            <v>0</v>
          </cell>
          <cell r="AC505">
            <v>0</v>
          </cell>
          <cell r="AH505" t="str">
            <v>EFFINGHAM RIVERCoho</v>
          </cell>
          <cell r="AI505">
            <v>0</v>
          </cell>
          <cell r="AJ505">
            <v>0</v>
          </cell>
        </row>
        <row r="506">
          <cell r="AA506" t="str">
            <v>EFFINGHAM RIVERPink</v>
          </cell>
          <cell r="AB506">
            <v>0</v>
          </cell>
          <cell r="AC506">
            <v>0</v>
          </cell>
          <cell r="AH506" t="str">
            <v>EFFINGHAM RIVERPink</v>
          </cell>
          <cell r="AI506">
            <v>0</v>
          </cell>
          <cell r="AJ506">
            <v>0</v>
          </cell>
        </row>
        <row r="507">
          <cell r="AA507" t="str">
            <v>EFFINGHAM RIVERChum</v>
          </cell>
          <cell r="AB507">
            <v>0</v>
          </cell>
          <cell r="AC507">
            <v>0</v>
          </cell>
          <cell r="AH507" t="str">
            <v>EFFINGHAM RIVERChum</v>
          </cell>
          <cell r="AI507">
            <v>0</v>
          </cell>
          <cell r="AJ507">
            <v>0</v>
          </cell>
        </row>
        <row r="508">
          <cell r="AA508" t="str">
            <v>EFFINGHAM RIVERChinook</v>
          </cell>
          <cell r="AB508">
            <v>0</v>
          </cell>
          <cell r="AC508">
            <v>0</v>
          </cell>
          <cell r="AH508" t="str">
            <v>EFFINGHAM RIVERChinook</v>
          </cell>
          <cell r="AI508">
            <v>0</v>
          </cell>
          <cell r="AJ508">
            <v>0</v>
          </cell>
        </row>
        <row r="509">
          <cell r="AA509" t="str">
            <v>EFFINGHAM RIVERSteelhead</v>
          </cell>
          <cell r="AB509">
            <v>0</v>
          </cell>
          <cell r="AC509">
            <v>0</v>
          </cell>
          <cell r="AH509" t="str">
            <v>EFFINGHAM RIVERSteelhead</v>
          </cell>
          <cell r="AI509">
            <v>0</v>
          </cell>
          <cell r="AJ509">
            <v>0</v>
          </cell>
        </row>
        <row r="510">
          <cell r="AA510" t="str">
            <v>FORESTRY CAMP CREEKSockeye</v>
          </cell>
          <cell r="AB510">
            <v>0</v>
          </cell>
          <cell r="AC510">
            <v>0</v>
          </cell>
          <cell r="AH510" t="str">
            <v>FORESTRY CAMP CREEKSockeye</v>
          </cell>
          <cell r="AI510">
            <v>0</v>
          </cell>
          <cell r="AJ510">
            <v>0</v>
          </cell>
        </row>
        <row r="511">
          <cell r="AA511" t="str">
            <v>FORESTRY CAMP CREEKCoho</v>
          </cell>
          <cell r="AB511">
            <v>0</v>
          </cell>
          <cell r="AC511">
            <v>0</v>
          </cell>
          <cell r="AH511" t="str">
            <v>FORESTRY CAMP CREEKCoho</v>
          </cell>
          <cell r="AI511">
            <v>0</v>
          </cell>
          <cell r="AJ511">
            <v>0</v>
          </cell>
        </row>
        <row r="512">
          <cell r="AA512" t="str">
            <v>FORESTRY CAMP CREEKPink</v>
          </cell>
          <cell r="AB512">
            <v>0</v>
          </cell>
          <cell r="AC512">
            <v>0</v>
          </cell>
          <cell r="AH512" t="str">
            <v>FORESTRY CAMP CREEKPink</v>
          </cell>
          <cell r="AI512">
            <v>0</v>
          </cell>
          <cell r="AJ512">
            <v>0</v>
          </cell>
        </row>
        <row r="513">
          <cell r="AA513" t="str">
            <v>FORESTRY CAMP CREEKChum</v>
          </cell>
          <cell r="AB513">
            <v>0</v>
          </cell>
          <cell r="AC513">
            <v>0</v>
          </cell>
          <cell r="AH513" t="str">
            <v>FORESTRY CAMP CREEKChum</v>
          </cell>
          <cell r="AI513">
            <v>0</v>
          </cell>
          <cell r="AJ513">
            <v>0</v>
          </cell>
        </row>
        <row r="514">
          <cell r="AA514" t="str">
            <v>FORESTRY CAMP CREEKChinook</v>
          </cell>
          <cell r="AB514">
            <v>0</v>
          </cell>
          <cell r="AC514">
            <v>0</v>
          </cell>
          <cell r="AH514" t="str">
            <v>FORESTRY CAMP CREEKChinook</v>
          </cell>
          <cell r="AI514">
            <v>0</v>
          </cell>
          <cell r="AJ514">
            <v>0</v>
          </cell>
        </row>
        <row r="515">
          <cell r="AA515" t="str">
            <v>FORESTRY CAMP CREEKSteelhead</v>
          </cell>
          <cell r="AB515">
            <v>0</v>
          </cell>
          <cell r="AC515">
            <v>0</v>
          </cell>
          <cell r="AH515" t="str">
            <v>FORESTRY CAMP CREEKSteelhead</v>
          </cell>
          <cell r="AI515">
            <v>0</v>
          </cell>
          <cell r="AJ515">
            <v>0</v>
          </cell>
        </row>
        <row r="516">
          <cell r="AA516" t="str">
            <v>FRANKLIN RIVERSockeye</v>
          </cell>
          <cell r="AB516">
            <v>2</v>
          </cell>
          <cell r="AC516">
            <v>0</v>
          </cell>
          <cell r="AH516" t="str">
            <v>FRANKLIN RIVERSockeye</v>
          </cell>
          <cell r="AI516">
            <v>0</v>
          </cell>
          <cell r="AJ516">
            <v>0</v>
          </cell>
        </row>
        <row r="517">
          <cell r="AA517" t="str">
            <v>FRANKLIN RIVERCoho</v>
          </cell>
          <cell r="AB517">
            <v>2</v>
          </cell>
          <cell r="AC517">
            <v>12</v>
          </cell>
          <cell r="AH517" t="str">
            <v>FRANKLIN RIVERCoho</v>
          </cell>
          <cell r="AI517" t="str">
            <v>PL+D</v>
          </cell>
          <cell r="AJ517">
            <v>12</v>
          </cell>
        </row>
        <row r="518">
          <cell r="AA518" t="str">
            <v>FRANKLIN RIVERPink</v>
          </cell>
          <cell r="AB518">
            <v>2</v>
          </cell>
          <cell r="AC518">
            <v>0</v>
          </cell>
          <cell r="AH518" t="str">
            <v>FRANKLIN RIVERPink</v>
          </cell>
          <cell r="AI518">
            <v>0</v>
          </cell>
          <cell r="AJ518">
            <v>0</v>
          </cell>
        </row>
        <row r="519">
          <cell r="AA519" t="str">
            <v>FRANKLIN RIVERChum</v>
          </cell>
          <cell r="AB519">
            <v>2</v>
          </cell>
          <cell r="AC519">
            <v>12</v>
          </cell>
          <cell r="AH519" t="str">
            <v>FRANKLIN RIVERChum</v>
          </cell>
          <cell r="AI519" t="str">
            <v>PL+D</v>
          </cell>
          <cell r="AJ519">
            <v>12</v>
          </cell>
        </row>
        <row r="520">
          <cell r="AA520" t="str">
            <v>FRANKLIN RIVERChinook</v>
          </cell>
          <cell r="AB520">
            <v>2</v>
          </cell>
          <cell r="AC520">
            <v>0</v>
          </cell>
          <cell r="AH520" t="str">
            <v>FRANKLIN RIVERChinook</v>
          </cell>
          <cell r="AI520">
            <v>0</v>
          </cell>
          <cell r="AJ520" t="str">
            <v>NO</v>
          </cell>
        </row>
        <row r="521">
          <cell r="AA521" t="str">
            <v>FRANKLIN RIVERSteelhead</v>
          </cell>
          <cell r="AB521">
            <v>2</v>
          </cell>
          <cell r="AC521">
            <v>0</v>
          </cell>
          <cell r="AH521" t="str">
            <v>FRANKLIN RIVERSteelhead</v>
          </cell>
          <cell r="AI521">
            <v>0</v>
          </cell>
          <cell r="AJ521">
            <v>0</v>
          </cell>
        </row>
        <row r="522">
          <cell r="AA522" t="str">
            <v>FREDERICK CREEKSockeye</v>
          </cell>
          <cell r="AB522">
            <v>0</v>
          </cell>
          <cell r="AC522">
            <v>0</v>
          </cell>
          <cell r="AH522" t="str">
            <v>FREDERICK CREEKSockeye</v>
          </cell>
          <cell r="AI522">
            <v>0</v>
          </cell>
          <cell r="AJ522">
            <v>0</v>
          </cell>
        </row>
        <row r="523">
          <cell r="AA523" t="str">
            <v>FREDERICK CREEKCoho</v>
          </cell>
          <cell r="AB523">
            <v>0</v>
          </cell>
          <cell r="AC523">
            <v>0</v>
          </cell>
          <cell r="AH523" t="str">
            <v>FREDERICK CREEKCoho</v>
          </cell>
          <cell r="AI523">
            <v>0</v>
          </cell>
          <cell r="AJ523">
            <v>0</v>
          </cell>
        </row>
        <row r="524">
          <cell r="AA524" t="str">
            <v>FREDERICK CREEKPink</v>
          </cell>
          <cell r="AB524">
            <v>0</v>
          </cell>
          <cell r="AC524">
            <v>0</v>
          </cell>
          <cell r="AH524" t="str">
            <v>FREDERICK CREEKPink</v>
          </cell>
          <cell r="AI524">
            <v>0</v>
          </cell>
          <cell r="AJ524">
            <v>0</v>
          </cell>
        </row>
        <row r="525">
          <cell r="AA525" t="str">
            <v>FREDERICK CREEKChum</v>
          </cell>
          <cell r="AB525">
            <v>0</v>
          </cell>
          <cell r="AC525">
            <v>0</v>
          </cell>
          <cell r="AH525" t="str">
            <v>FREDERICK CREEKChum</v>
          </cell>
          <cell r="AI525">
            <v>0</v>
          </cell>
          <cell r="AJ525">
            <v>0</v>
          </cell>
        </row>
        <row r="526">
          <cell r="AA526" t="str">
            <v>FREDERICK CREEKChinook</v>
          </cell>
          <cell r="AB526">
            <v>0</v>
          </cell>
          <cell r="AC526">
            <v>0</v>
          </cell>
          <cell r="AH526" t="str">
            <v>FREDERICK CREEKChinook</v>
          </cell>
          <cell r="AI526">
            <v>0</v>
          </cell>
          <cell r="AJ526">
            <v>0</v>
          </cell>
        </row>
        <row r="527">
          <cell r="AA527" t="str">
            <v>FREDERICK CREEKSteelhead</v>
          </cell>
          <cell r="AB527">
            <v>0</v>
          </cell>
          <cell r="AC527">
            <v>0</v>
          </cell>
          <cell r="AH527" t="str">
            <v>FREDERICK CREEKSteelhead</v>
          </cell>
          <cell r="AI527">
            <v>0</v>
          </cell>
          <cell r="AJ527">
            <v>0</v>
          </cell>
        </row>
        <row r="528">
          <cell r="AA528" t="str">
            <v>HENDERSON LAKESockeye</v>
          </cell>
          <cell r="AB528">
            <v>0</v>
          </cell>
          <cell r="AC528">
            <v>0</v>
          </cell>
          <cell r="AH528" t="str">
            <v>HENDERSON LAKESockeye</v>
          </cell>
          <cell r="AI528">
            <v>0</v>
          </cell>
          <cell r="AJ528">
            <v>0</v>
          </cell>
        </row>
        <row r="529">
          <cell r="AA529" t="str">
            <v>HENDERSON LAKECoho</v>
          </cell>
          <cell r="AB529">
            <v>0</v>
          </cell>
          <cell r="AC529">
            <v>0</v>
          </cell>
          <cell r="AH529" t="str">
            <v>HENDERSON LAKECoho</v>
          </cell>
          <cell r="AI529">
            <v>0</v>
          </cell>
          <cell r="AJ529">
            <v>0</v>
          </cell>
        </row>
        <row r="530">
          <cell r="AA530" t="str">
            <v>HENDERSON LAKEPink</v>
          </cell>
          <cell r="AB530">
            <v>0</v>
          </cell>
          <cell r="AC530">
            <v>0</v>
          </cell>
          <cell r="AH530" t="str">
            <v>HENDERSON LAKEPink</v>
          </cell>
          <cell r="AI530">
            <v>0</v>
          </cell>
          <cell r="AJ530">
            <v>0</v>
          </cell>
        </row>
        <row r="531">
          <cell r="AA531" t="str">
            <v>HENDERSON LAKEChum</v>
          </cell>
          <cell r="AB531">
            <v>0</v>
          </cell>
          <cell r="AC531">
            <v>0</v>
          </cell>
          <cell r="AH531" t="str">
            <v>HENDERSON LAKEChum</v>
          </cell>
          <cell r="AI531">
            <v>0</v>
          </cell>
          <cell r="AJ531">
            <v>0</v>
          </cell>
        </row>
        <row r="532">
          <cell r="AA532" t="str">
            <v>HENDERSON LAKEChinook</v>
          </cell>
          <cell r="AB532">
            <v>0</v>
          </cell>
          <cell r="AC532">
            <v>0</v>
          </cell>
          <cell r="AH532" t="str">
            <v>HENDERSON LAKEChinook</v>
          </cell>
          <cell r="AI532">
            <v>0</v>
          </cell>
          <cell r="AJ532">
            <v>0</v>
          </cell>
        </row>
        <row r="533">
          <cell r="AA533" t="str">
            <v>HENDERSON LAKESteelhead</v>
          </cell>
          <cell r="AB533">
            <v>0</v>
          </cell>
          <cell r="AC533">
            <v>0</v>
          </cell>
          <cell r="AH533" t="str">
            <v>HENDERSON LAKESteelhead</v>
          </cell>
          <cell r="AI533">
            <v>0</v>
          </cell>
          <cell r="AJ533">
            <v>0</v>
          </cell>
        </row>
        <row r="534">
          <cell r="AA534" t="str">
            <v>HILLIER CREEKSockeye</v>
          </cell>
          <cell r="AB534">
            <v>0</v>
          </cell>
          <cell r="AC534">
            <v>0</v>
          </cell>
          <cell r="AH534" t="str">
            <v>HILLIER CREEKSockeye</v>
          </cell>
          <cell r="AI534">
            <v>0</v>
          </cell>
          <cell r="AJ534">
            <v>0</v>
          </cell>
        </row>
        <row r="535">
          <cell r="AA535" t="str">
            <v>HILLIER CREEKCoho</v>
          </cell>
          <cell r="AB535">
            <v>0</v>
          </cell>
          <cell r="AC535">
            <v>0</v>
          </cell>
          <cell r="AH535" t="str">
            <v>HILLIER CREEKCoho</v>
          </cell>
          <cell r="AI535">
            <v>0</v>
          </cell>
          <cell r="AJ535">
            <v>0</v>
          </cell>
        </row>
        <row r="536">
          <cell r="AA536" t="str">
            <v>HILLIER CREEKPink</v>
          </cell>
          <cell r="AB536">
            <v>0</v>
          </cell>
          <cell r="AC536">
            <v>0</v>
          </cell>
          <cell r="AH536" t="str">
            <v>HILLIER CREEKPink</v>
          </cell>
          <cell r="AI536">
            <v>0</v>
          </cell>
          <cell r="AJ536">
            <v>0</v>
          </cell>
        </row>
        <row r="537">
          <cell r="AA537" t="str">
            <v>HILLIER CREEKChum</v>
          </cell>
          <cell r="AB537">
            <v>0</v>
          </cell>
          <cell r="AC537">
            <v>0</v>
          </cell>
          <cell r="AH537" t="str">
            <v>HILLIER CREEKChum</v>
          </cell>
          <cell r="AI537">
            <v>0</v>
          </cell>
          <cell r="AJ537">
            <v>0</v>
          </cell>
        </row>
        <row r="538">
          <cell r="AA538" t="str">
            <v>HILLIER CREEKChinook</v>
          </cell>
          <cell r="AB538">
            <v>0</v>
          </cell>
          <cell r="AC538">
            <v>0</v>
          </cell>
          <cell r="AH538" t="str">
            <v>HILLIER CREEKChinook</v>
          </cell>
          <cell r="AI538">
            <v>0</v>
          </cell>
          <cell r="AJ538">
            <v>0</v>
          </cell>
        </row>
        <row r="539">
          <cell r="AA539" t="str">
            <v>HILLIER CREEKSteelhead</v>
          </cell>
          <cell r="AB539">
            <v>0</v>
          </cell>
          <cell r="AC539">
            <v>0</v>
          </cell>
          <cell r="AH539" t="str">
            <v>HILLIER CREEKSteelhead</v>
          </cell>
          <cell r="AI539">
            <v>0</v>
          </cell>
          <cell r="AJ539">
            <v>0</v>
          </cell>
        </row>
        <row r="540">
          <cell r="AA540" t="str">
            <v>HOLFORD CREEKSockeye</v>
          </cell>
          <cell r="AB540">
            <v>0</v>
          </cell>
          <cell r="AC540">
            <v>0</v>
          </cell>
          <cell r="AH540" t="str">
            <v>HOLFORD CREEKSockeye</v>
          </cell>
          <cell r="AI540">
            <v>0</v>
          </cell>
          <cell r="AJ540">
            <v>0</v>
          </cell>
        </row>
        <row r="541">
          <cell r="AA541" t="str">
            <v>HOLFORD CREEKCoho</v>
          </cell>
          <cell r="AB541">
            <v>0</v>
          </cell>
          <cell r="AC541">
            <v>0</v>
          </cell>
          <cell r="AH541" t="str">
            <v>HOLFORD CREEKCoho</v>
          </cell>
          <cell r="AI541">
            <v>0</v>
          </cell>
          <cell r="AJ541">
            <v>0</v>
          </cell>
        </row>
        <row r="542">
          <cell r="AA542" t="str">
            <v>HOLFORD CREEKPink</v>
          </cell>
          <cell r="AB542">
            <v>0</v>
          </cell>
          <cell r="AC542">
            <v>0</v>
          </cell>
          <cell r="AH542" t="str">
            <v>HOLFORD CREEKPink</v>
          </cell>
          <cell r="AI542">
            <v>0</v>
          </cell>
          <cell r="AJ542">
            <v>0</v>
          </cell>
        </row>
        <row r="543">
          <cell r="AA543" t="str">
            <v>HOLFORD CREEKChum</v>
          </cell>
          <cell r="AB543">
            <v>0</v>
          </cell>
          <cell r="AC543">
            <v>0</v>
          </cell>
          <cell r="AH543" t="str">
            <v>HOLFORD CREEKChum</v>
          </cell>
          <cell r="AI543">
            <v>0</v>
          </cell>
          <cell r="AJ543">
            <v>0</v>
          </cell>
        </row>
        <row r="544">
          <cell r="AA544" t="str">
            <v>HOLFORD CREEKChinook</v>
          </cell>
          <cell r="AB544">
            <v>0</v>
          </cell>
          <cell r="AC544">
            <v>0</v>
          </cell>
          <cell r="AH544" t="str">
            <v>HOLFORD CREEKChinook</v>
          </cell>
          <cell r="AI544">
            <v>0</v>
          </cell>
          <cell r="AJ544">
            <v>0</v>
          </cell>
        </row>
        <row r="545">
          <cell r="AA545" t="str">
            <v>HOLFORD CREEKSteelhead</v>
          </cell>
          <cell r="AB545">
            <v>0</v>
          </cell>
          <cell r="AC545">
            <v>0</v>
          </cell>
          <cell r="AH545" t="str">
            <v>HOLFORD CREEKSteelhead</v>
          </cell>
          <cell r="AI545">
            <v>0</v>
          </cell>
          <cell r="AJ545">
            <v>0</v>
          </cell>
        </row>
        <row r="546">
          <cell r="AA546" t="str">
            <v>ITATSOO CREEKSockeye</v>
          </cell>
          <cell r="AB546">
            <v>0</v>
          </cell>
          <cell r="AC546">
            <v>0</v>
          </cell>
          <cell r="AH546" t="str">
            <v>ITATSOO CREEKSockeye</v>
          </cell>
          <cell r="AI546">
            <v>0</v>
          </cell>
          <cell r="AJ546">
            <v>0</v>
          </cell>
        </row>
        <row r="547">
          <cell r="AA547" t="str">
            <v>ITATSOO CREEKCoho</v>
          </cell>
          <cell r="AB547">
            <v>0</v>
          </cell>
          <cell r="AC547">
            <v>0</v>
          </cell>
          <cell r="AH547" t="str">
            <v>ITATSOO CREEKCoho</v>
          </cell>
          <cell r="AI547">
            <v>0</v>
          </cell>
          <cell r="AJ547">
            <v>0</v>
          </cell>
        </row>
        <row r="548">
          <cell r="AA548" t="str">
            <v>ITATSOO CREEKPink</v>
          </cell>
          <cell r="AB548">
            <v>0</v>
          </cell>
          <cell r="AC548">
            <v>0</v>
          </cell>
          <cell r="AH548" t="str">
            <v>ITATSOO CREEKPink</v>
          </cell>
          <cell r="AI548">
            <v>0</v>
          </cell>
          <cell r="AJ548">
            <v>0</v>
          </cell>
        </row>
        <row r="549">
          <cell r="AA549" t="str">
            <v>ITATSOO CREEKChum</v>
          </cell>
          <cell r="AB549">
            <v>0</v>
          </cell>
          <cell r="AC549">
            <v>0</v>
          </cell>
          <cell r="AH549" t="str">
            <v>ITATSOO CREEKChum</v>
          </cell>
          <cell r="AI549">
            <v>0</v>
          </cell>
          <cell r="AJ549">
            <v>0</v>
          </cell>
        </row>
        <row r="550">
          <cell r="AA550" t="str">
            <v>ITATSOO CREEKChinook</v>
          </cell>
          <cell r="AB550">
            <v>0</v>
          </cell>
          <cell r="AC550">
            <v>0</v>
          </cell>
          <cell r="AH550" t="str">
            <v>ITATSOO CREEKChinook</v>
          </cell>
          <cell r="AI550">
            <v>0</v>
          </cell>
          <cell r="AJ550">
            <v>0</v>
          </cell>
        </row>
        <row r="551">
          <cell r="AA551" t="str">
            <v>ITATSOO CREEKSteelhead</v>
          </cell>
          <cell r="AB551">
            <v>0</v>
          </cell>
          <cell r="AC551">
            <v>0</v>
          </cell>
          <cell r="AH551" t="str">
            <v>ITATSOO CREEKSteelhead</v>
          </cell>
          <cell r="AI551">
            <v>0</v>
          </cell>
          <cell r="AJ551">
            <v>0</v>
          </cell>
        </row>
        <row r="552">
          <cell r="AA552" t="str">
            <v>KITSUCKSUS CREEKSockeye</v>
          </cell>
          <cell r="AB552">
            <v>0</v>
          </cell>
          <cell r="AC552">
            <v>0</v>
          </cell>
          <cell r="AH552" t="str">
            <v>KITSUCKSUS CREEKSockeye</v>
          </cell>
          <cell r="AI552">
            <v>0</v>
          </cell>
          <cell r="AJ552">
            <v>0</v>
          </cell>
        </row>
        <row r="553">
          <cell r="AA553" t="str">
            <v>KITSUCKSUS CREEKCoho</v>
          </cell>
          <cell r="AB553">
            <v>0</v>
          </cell>
          <cell r="AC553">
            <v>0</v>
          </cell>
          <cell r="AH553" t="str">
            <v>KITSUCKSUS CREEKCoho</v>
          </cell>
          <cell r="AI553">
            <v>0</v>
          </cell>
          <cell r="AJ553">
            <v>0</v>
          </cell>
        </row>
        <row r="554">
          <cell r="AA554" t="str">
            <v>KITSUCKSUS CREEKPink</v>
          </cell>
          <cell r="AB554">
            <v>0</v>
          </cell>
          <cell r="AC554">
            <v>0</v>
          </cell>
          <cell r="AH554" t="str">
            <v>KITSUCKSUS CREEKPink</v>
          </cell>
          <cell r="AI554">
            <v>0</v>
          </cell>
          <cell r="AJ554">
            <v>0</v>
          </cell>
        </row>
        <row r="555">
          <cell r="AA555" t="str">
            <v>KITSUCKSUS CREEKChum</v>
          </cell>
          <cell r="AB555">
            <v>0</v>
          </cell>
          <cell r="AC555">
            <v>0</v>
          </cell>
          <cell r="AH555" t="str">
            <v>KITSUCKSUS CREEKChum</v>
          </cell>
          <cell r="AI555">
            <v>0</v>
          </cell>
          <cell r="AJ555">
            <v>0</v>
          </cell>
        </row>
        <row r="556">
          <cell r="AA556" t="str">
            <v>KITSUCKSUS CREEKChinook</v>
          </cell>
          <cell r="AB556">
            <v>0</v>
          </cell>
          <cell r="AC556">
            <v>0</v>
          </cell>
          <cell r="AH556" t="str">
            <v>KITSUCKSUS CREEKChinook</v>
          </cell>
          <cell r="AI556">
            <v>0</v>
          </cell>
          <cell r="AJ556">
            <v>0</v>
          </cell>
        </row>
        <row r="557">
          <cell r="AA557" t="str">
            <v>KITSUCKSUS CREEKSteelhead</v>
          </cell>
          <cell r="AB557">
            <v>0</v>
          </cell>
          <cell r="AC557">
            <v>0</v>
          </cell>
          <cell r="AH557" t="str">
            <v>KITSUCKSUS CREEKSteelhead</v>
          </cell>
          <cell r="AI557">
            <v>0</v>
          </cell>
          <cell r="AJ557">
            <v>0</v>
          </cell>
        </row>
        <row r="558">
          <cell r="AA558" t="str">
            <v>LITTLE MAGGIE RIVERSockeye</v>
          </cell>
          <cell r="AB558">
            <v>0</v>
          </cell>
          <cell r="AC558">
            <v>0</v>
          </cell>
          <cell r="AH558" t="str">
            <v>LITTLE MAGGIE RIVERSockeye</v>
          </cell>
          <cell r="AI558">
            <v>0</v>
          </cell>
          <cell r="AJ558">
            <v>0</v>
          </cell>
        </row>
        <row r="559">
          <cell r="AA559" t="str">
            <v>LITTLE MAGGIE RIVERCoho</v>
          </cell>
          <cell r="AB559">
            <v>0</v>
          </cell>
          <cell r="AC559">
            <v>0</v>
          </cell>
          <cell r="AH559" t="str">
            <v>LITTLE MAGGIE RIVERCoho</v>
          </cell>
          <cell r="AI559">
            <v>0</v>
          </cell>
          <cell r="AJ559">
            <v>0</v>
          </cell>
        </row>
        <row r="560">
          <cell r="AA560" t="str">
            <v>LITTLE MAGGIE RIVERPink</v>
          </cell>
          <cell r="AB560">
            <v>0</v>
          </cell>
          <cell r="AC560">
            <v>0</v>
          </cell>
          <cell r="AH560" t="str">
            <v>LITTLE MAGGIE RIVERPink</v>
          </cell>
          <cell r="AI560">
            <v>0</v>
          </cell>
          <cell r="AJ560">
            <v>0</v>
          </cell>
        </row>
        <row r="561">
          <cell r="AA561" t="str">
            <v>LITTLE MAGGIE RIVERChum</v>
          </cell>
          <cell r="AB561">
            <v>0</v>
          </cell>
          <cell r="AC561">
            <v>0</v>
          </cell>
          <cell r="AH561" t="str">
            <v>LITTLE MAGGIE RIVERChum</v>
          </cell>
          <cell r="AI561">
            <v>0</v>
          </cell>
          <cell r="AJ561">
            <v>0</v>
          </cell>
        </row>
        <row r="562">
          <cell r="AA562" t="str">
            <v>LITTLE MAGGIE RIVERChinook</v>
          </cell>
          <cell r="AB562">
            <v>0</v>
          </cell>
          <cell r="AC562">
            <v>0</v>
          </cell>
          <cell r="AH562" t="str">
            <v>LITTLE MAGGIE RIVERChinook</v>
          </cell>
          <cell r="AI562">
            <v>0</v>
          </cell>
          <cell r="AJ562">
            <v>0</v>
          </cell>
        </row>
        <row r="563">
          <cell r="AA563" t="str">
            <v>LITTLE MAGGIE RIVERSteelhead</v>
          </cell>
          <cell r="AB563">
            <v>0</v>
          </cell>
          <cell r="AC563">
            <v>0</v>
          </cell>
          <cell r="AH563" t="str">
            <v>LITTLE MAGGIE RIVERSteelhead</v>
          </cell>
          <cell r="AI563">
            <v>0</v>
          </cell>
          <cell r="AJ563">
            <v>0</v>
          </cell>
        </row>
        <row r="564">
          <cell r="AA564" t="str">
            <v>LITTLE TOQUART CREEKSockeye</v>
          </cell>
          <cell r="AB564">
            <v>2</v>
          </cell>
          <cell r="AC564">
            <v>0</v>
          </cell>
          <cell r="AH564" t="str">
            <v>LITTLE TOQUART CREEKSockeye</v>
          </cell>
          <cell r="AI564">
            <v>0</v>
          </cell>
          <cell r="AJ564">
            <v>0</v>
          </cell>
        </row>
        <row r="565">
          <cell r="AA565" t="str">
            <v>LITTLE TOQUART CREEKCoho</v>
          </cell>
          <cell r="AB565">
            <v>2</v>
          </cell>
          <cell r="AC565">
            <v>14</v>
          </cell>
          <cell r="AH565" t="str">
            <v>LITTLE TOQUART CREEKCoho</v>
          </cell>
          <cell r="AI565" t="str">
            <v>PL+D</v>
          </cell>
          <cell r="AJ565">
            <v>15</v>
          </cell>
        </row>
        <row r="566">
          <cell r="AA566" t="str">
            <v>LITTLE TOQUART CREEKPink</v>
          </cell>
          <cell r="AB566">
            <v>2</v>
          </cell>
          <cell r="AC566">
            <v>0</v>
          </cell>
          <cell r="AH566" t="str">
            <v>LITTLE TOQUART CREEKPink</v>
          </cell>
          <cell r="AI566">
            <v>0</v>
          </cell>
          <cell r="AJ566">
            <v>0</v>
          </cell>
        </row>
        <row r="567">
          <cell r="AA567" t="str">
            <v>LITTLE TOQUART CREEKChum</v>
          </cell>
          <cell r="AB567">
            <v>2</v>
          </cell>
          <cell r="AC567">
            <v>1161</v>
          </cell>
          <cell r="AH567" t="str">
            <v>LITTLE TOQUART CREEKChum</v>
          </cell>
          <cell r="AI567" t="str">
            <v>PL+D</v>
          </cell>
          <cell r="AJ567">
            <v>1337</v>
          </cell>
        </row>
        <row r="568">
          <cell r="AA568" t="str">
            <v>LITTLE TOQUART CREEKChinook</v>
          </cell>
          <cell r="AB568">
            <v>2</v>
          </cell>
          <cell r="AC568">
            <v>0</v>
          </cell>
          <cell r="AH568" t="str">
            <v>LITTLE TOQUART CREEKChinook</v>
          </cell>
          <cell r="AI568">
            <v>0</v>
          </cell>
          <cell r="AJ568">
            <v>0</v>
          </cell>
        </row>
        <row r="569">
          <cell r="AA569" t="str">
            <v>LITTLE TOQUART CREEKSteelhead</v>
          </cell>
          <cell r="AB569">
            <v>2</v>
          </cell>
          <cell r="AC569">
            <v>0</v>
          </cell>
          <cell r="AH569" t="str">
            <v>LITTLE TOQUART CREEKSteelhead</v>
          </cell>
          <cell r="AI569">
            <v>0</v>
          </cell>
          <cell r="AJ569">
            <v>0</v>
          </cell>
        </row>
        <row r="570">
          <cell r="AA570" t="str">
            <v>LUCKY CREEKSockeye</v>
          </cell>
          <cell r="AB570">
            <v>0</v>
          </cell>
          <cell r="AC570">
            <v>0</v>
          </cell>
          <cell r="AH570" t="str">
            <v>LUCKY CREEKSockeye</v>
          </cell>
          <cell r="AI570">
            <v>0</v>
          </cell>
          <cell r="AJ570">
            <v>0</v>
          </cell>
        </row>
        <row r="571">
          <cell r="AA571" t="str">
            <v>LUCKY CREEKCoho</v>
          </cell>
          <cell r="AB571">
            <v>0</v>
          </cell>
          <cell r="AC571">
            <v>0</v>
          </cell>
          <cell r="AH571" t="str">
            <v>LUCKY CREEKCoho</v>
          </cell>
          <cell r="AI571">
            <v>0</v>
          </cell>
          <cell r="AJ571">
            <v>0</v>
          </cell>
        </row>
        <row r="572">
          <cell r="AA572" t="str">
            <v>LUCKY CREEKPink</v>
          </cell>
          <cell r="AB572">
            <v>0</v>
          </cell>
          <cell r="AC572">
            <v>0</v>
          </cell>
          <cell r="AH572" t="str">
            <v>LUCKY CREEKPink</v>
          </cell>
          <cell r="AI572">
            <v>0</v>
          </cell>
          <cell r="AJ572">
            <v>0</v>
          </cell>
        </row>
        <row r="573">
          <cell r="AA573" t="str">
            <v>LUCKY CREEKChum</v>
          </cell>
          <cell r="AB573">
            <v>0</v>
          </cell>
          <cell r="AC573">
            <v>0</v>
          </cell>
          <cell r="AH573" t="str">
            <v>LUCKY CREEKChum</v>
          </cell>
          <cell r="AI573">
            <v>0</v>
          </cell>
          <cell r="AJ573">
            <v>0</v>
          </cell>
        </row>
        <row r="574">
          <cell r="AA574" t="str">
            <v>LUCKY CREEKChinook</v>
          </cell>
          <cell r="AB574">
            <v>0</v>
          </cell>
          <cell r="AC574">
            <v>0</v>
          </cell>
          <cell r="AH574" t="str">
            <v>LUCKY CREEKChinook</v>
          </cell>
          <cell r="AI574">
            <v>0</v>
          </cell>
          <cell r="AJ574">
            <v>0</v>
          </cell>
        </row>
        <row r="575">
          <cell r="AA575" t="str">
            <v>LUCKY CREEKSteelhead</v>
          </cell>
          <cell r="AB575">
            <v>0</v>
          </cell>
          <cell r="AC575">
            <v>0</v>
          </cell>
          <cell r="AH575" t="str">
            <v>LUCKY CREEKSteelhead</v>
          </cell>
          <cell r="AI575">
            <v>0</v>
          </cell>
          <cell r="AJ575">
            <v>0</v>
          </cell>
        </row>
        <row r="576">
          <cell r="AA576" t="str">
            <v>MACKTUSH CREEKSockeye</v>
          </cell>
          <cell r="AB576">
            <v>3</v>
          </cell>
          <cell r="AC576">
            <v>0</v>
          </cell>
          <cell r="AH576" t="str">
            <v>MACKTUSH CREEKSockeye</v>
          </cell>
          <cell r="AI576">
            <v>0</v>
          </cell>
          <cell r="AJ576">
            <v>0</v>
          </cell>
        </row>
        <row r="577">
          <cell r="AA577" t="str">
            <v>MACKTUSH CREEKCoho</v>
          </cell>
          <cell r="AB577">
            <v>3</v>
          </cell>
          <cell r="AC577">
            <v>0</v>
          </cell>
          <cell r="AH577" t="str">
            <v>MACKTUSH CREEKCoho</v>
          </cell>
          <cell r="AI577">
            <v>0</v>
          </cell>
          <cell r="AJ577" t="str">
            <v>NO</v>
          </cell>
        </row>
        <row r="578">
          <cell r="AA578" t="str">
            <v>MACKTUSH CREEKPink</v>
          </cell>
          <cell r="AB578">
            <v>3</v>
          </cell>
          <cell r="AC578">
            <v>0</v>
          </cell>
          <cell r="AH578" t="str">
            <v>MACKTUSH CREEKPink</v>
          </cell>
          <cell r="AI578">
            <v>0</v>
          </cell>
          <cell r="AJ578">
            <v>0</v>
          </cell>
        </row>
        <row r="579">
          <cell r="AA579" t="str">
            <v>MACKTUSH CREEKChum</v>
          </cell>
          <cell r="AB579">
            <v>3</v>
          </cell>
          <cell r="AC579">
            <v>1</v>
          </cell>
          <cell r="AH579" t="str">
            <v>MACKTUSH CREEKChum</v>
          </cell>
          <cell r="AI579">
            <v>0</v>
          </cell>
          <cell r="AJ579" t="str">
            <v>AP</v>
          </cell>
        </row>
        <row r="580">
          <cell r="AA580" t="str">
            <v>MACKTUSH CREEKChinook</v>
          </cell>
          <cell r="AB580">
            <v>3</v>
          </cell>
          <cell r="AC580">
            <v>0</v>
          </cell>
          <cell r="AH580" t="str">
            <v>MACKTUSH CREEKChinook</v>
          </cell>
          <cell r="AI580">
            <v>0</v>
          </cell>
          <cell r="AJ580" t="str">
            <v>NO</v>
          </cell>
        </row>
        <row r="581">
          <cell r="AA581" t="str">
            <v>MACKTUSH CREEKSteelhead</v>
          </cell>
          <cell r="AB581">
            <v>3</v>
          </cell>
          <cell r="AC581">
            <v>0</v>
          </cell>
          <cell r="AH581" t="str">
            <v>MACKTUSH CREEKSteelhead</v>
          </cell>
          <cell r="AI581">
            <v>0</v>
          </cell>
          <cell r="AJ581">
            <v>0</v>
          </cell>
        </row>
        <row r="582">
          <cell r="AA582" t="str">
            <v>MAGGIE RIVERSockeye</v>
          </cell>
          <cell r="AB582">
            <v>2</v>
          </cell>
          <cell r="AC582">
            <v>0</v>
          </cell>
          <cell r="AH582" t="str">
            <v>MAGGIE RIVERSockeye</v>
          </cell>
          <cell r="AI582">
            <v>0</v>
          </cell>
          <cell r="AJ582">
            <v>0</v>
          </cell>
        </row>
        <row r="583">
          <cell r="AA583" t="str">
            <v>MAGGIE RIVERCoho</v>
          </cell>
          <cell r="AB583">
            <v>2</v>
          </cell>
          <cell r="AC583">
            <v>9</v>
          </cell>
          <cell r="AH583" t="str">
            <v>MAGGIE RIVERCoho</v>
          </cell>
          <cell r="AI583">
            <v>0</v>
          </cell>
          <cell r="AJ583" t="str">
            <v>AP</v>
          </cell>
        </row>
        <row r="584">
          <cell r="AA584" t="str">
            <v>MAGGIE RIVERPink</v>
          </cell>
          <cell r="AB584">
            <v>2</v>
          </cell>
          <cell r="AC584">
            <v>0</v>
          </cell>
          <cell r="AH584" t="str">
            <v>MAGGIE RIVERPink</v>
          </cell>
          <cell r="AI584">
            <v>0</v>
          </cell>
          <cell r="AJ584">
            <v>0</v>
          </cell>
        </row>
        <row r="585">
          <cell r="AA585" t="str">
            <v>MAGGIE RIVERChum</v>
          </cell>
          <cell r="AB585">
            <v>2</v>
          </cell>
          <cell r="AC585">
            <v>0</v>
          </cell>
          <cell r="AH585" t="str">
            <v>MAGGIE RIVERChum</v>
          </cell>
          <cell r="AI585">
            <v>0</v>
          </cell>
          <cell r="AJ585" t="str">
            <v>NO</v>
          </cell>
        </row>
        <row r="586">
          <cell r="AA586" t="str">
            <v>MAGGIE RIVERChinook</v>
          </cell>
          <cell r="AB586">
            <v>2</v>
          </cell>
          <cell r="AC586">
            <v>0</v>
          </cell>
          <cell r="AH586" t="str">
            <v>MAGGIE RIVERChinook</v>
          </cell>
          <cell r="AI586">
            <v>0</v>
          </cell>
          <cell r="AJ586">
            <v>0</v>
          </cell>
        </row>
        <row r="587">
          <cell r="AA587" t="str">
            <v>MAGGIE RIVERSteelhead</v>
          </cell>
          <cell r="AB587">
            <v>2</v>
          </cell>
          <cell r="AC587">
            <v>0</v>
          </cell>
          <cell r="AH587" t="str">
            <v>MAGGIE RIVERSteelhead</v>
          </cell>
          <cell r="AI587">
            <v>0</v>
          </cell>
          <cell r="AJ587">
            <v>0</v>
          </cell>
        </row>
        <row r="588">
          <cell r="AA588" t="str">
            <v>MCBRIDE CREEKSockeye</v>
          </cell>
          <cell r="AB588">
            <v>0</v>
          </cell>
          <cell r="AC588">
            <v>0</v>
          </cell>
          <cell r="AH588" t="str">
            <v>MCBRIDE CREEKSockeye</v>
          </cell>
          <cell r="AI588">
            <v>0</v>
          </cell>
          <cell r="AJ588">
            <v>0</v>
          </cell>
        </row>
        <row r="589">
          <cell r="AA589" t="str">
            <v>MCBRIDE CREEKCoho</v>
          </cell>
          <cell r="AB589">
            <v>0</v>
          </cell>
          <cell r="AC589">
            <v>0</v>
          </cell>
          <cell r="AH589" t="str">
            <v>MCBRIDE CREEKCoho</v>
          </cell>
          <cell r="AI589">
            <v>0</v>
          </cell>
          <cell r="AJ589">
            <v>0</v>
          </cell>
        </row>
        <row r="590">
          <cell r="AA590" t="str">
            <v>MCBRIDE CREEKPink</v>
          </cell>
          <cell r="AB590">
            <v>0</v>
          </cell>
          <cell r="AC590">
            <v>0</v>
          </cell>
          <cell r="AH590" t="str">
            <v>MCBRIDE CREEKPink</v>
          </cell>
          <cell r="AI590">
            <v>0</v>
          </cell>
          <cell r="AJ590">
            <v>0</v>
          </cell>
        </row>
        <row r="591">
          <cell r="AA591" t="str">
            <v>MCBRIDE CREEKChum</v>
          </cell>
          <cell r="AB591">
            <v>0</v>
          </cell>
          <cell r="AC591">
            <v>0</v>
          </cell>
          <cell r="AH591" t="str">
            <v>MCBRIDE CREEKChum</v>
          </cell>
          <cell r="AI591">
            <v>0</v>
          </cell>
          <cell r="AJ591">
            <v>0</v>
          </cell>
        </row>
        <row r="592">
          <cell r="AA592" t="str">
            <v>MCBRIDE CREEKChinook</v>
          </cell>
          <cell r="AB592">
            <v>0</v>
          </cell>
          <cell r="AC592">
            <v>0</v>
          </cell>
          <cell r="AH592" t="str">
            <v>MCBRIDE CREEKChinook</v>
          </cell>
          <cell r="AI592">
            <v>0</v>
          </cell>
          <cell r="AJ592">
            <v>0</v>
          </cell>
        </row>
        <row r="593">
          <cell r="AA593" t="str">
            <v>MCBRIDE CREEKSteelhead</v>
          </cell>
          <cell r="AB593">
            <v>0</v>
          </cell>
          <cell r="AC593">
            <v>0</v>
          </cell>
          <cell r="AH593" t="str">
            <v>MCBRIDE CREEKSteelhead</v>
          </cell>
          <cell r="AI593">
            <v>0</v>
          </cell>
          <cell r="AJ593">
            <v>0</v>
          </cell>
        </row>
        <row r="594">
          <cell r="AA594" t="str">
            <v>MERCANTILE CREEKSockeye</v>
          </cell>
          <cell r="AB594">
            <v>2</v>
          </cell>
          <cell r="AC594">
            <v>0</v>
          </cell>
          <cell r="AH594" t="str">
            <v>MERCANTILE CREEKSockeye</v>
          </cell>
          <cell r="AI594">
            <v>0</v>
          </cell>
          <cell r="AJ594">
            <v>0</v>
          </cell>
        </row>
        <row r="595">
          <cell r="AA595" t="str">
            <v>MERCANTILE CREEKCoho</v>
          </cell>
          <cell r="AB595">
            <v>2</v>
          </cell>
          <cell r="AC595">
            <v>0</v>
          </cell>
          <cell r="AH595" t="str">
            <v>MERCANTILE CREEKCoho</v>
          </cell>
          <cell r="AI595">
            <v>0</v>
          </cell>
          <cell r="AJ595" t="str">
            <v>NO</v>
          </cell>
        </row>
        <row r="596">
          <cell r="AA596" t="str">
            <v>MERCANTILE CREEKPink</v>
          </cell>
          <cell r="AB596">
            <v>2</v>
          </cell>
          <cell r="AC596">
            <v>0</v>
          </cell>
          <cell r="AH596" t="str">
            <v>MERCANTILE CREEKPink</v>
          </cell>
          <cell r="AI596">
            <v>0</v>
          </cell>
          <cell r="AJ596">
            <v>0</v>
          </cell>
        </row>
        <row r="597">
          <cell r="AA597" t="str">
            <v>MERCANTILE CREEKChum</v>
          </cell>
          <cell r="AB597">
            <v>2</v>
          </cell>
          <cell r="AC597">
            <v>59</v>
          </cell>
          <cell r="AH597" t="str">
            <v>MERCANTILE CREEKChum</v>
          </cell>
          <cell r="AI597" t="str">
            <v>PL+D</v>
          </cell>
          <cell r="AJ597">
            <v>62</v>
          </cell>
        </row>
        <row r="598">
          <cell r="AA598" t="str">
            <v>MERCANTILE CREEKChinook</v>
          </cell>
          <cell r="AB598">
            <v>2</v>
          </cell>
          <cell r="AC598">
            <v>20</v>
          </cell>
          <cell r="AH598" t="str">
            <v>MERCANTILE CREEKChinook</v>
          </cell>
          <cell r="AI598" t="str">
            <v>PL+D</v>
          </cell>
          <cell r="AJ598">
            <v>25</v>
          </cell>
        </row>
        <row r="599">
          <cell r="AA599" t="str">
            <v>MERCANTILE CREEKSteelhead</v>
          </cell>
          <cell r="AB599">
            <v>2</v>
          </cell>
          <cell r="AC599">
            <v>0</v>
          </cell>
          <cell r="AH599" t="str">
            <v>MERCANTILE CREEKSteelhead</v>
          </cell>
          <cell r="AI599">
            <v>0</v>
          </cell>
          <cell r="AJ599">
            <v>0</v>
          </cell>
        </row>
        <row r="600">
          <cell r="AA600" t="str">
            <v>NAHMINT RIVERSockeye</v>
          </cell>
          <cell r="AB600">
            <v>6</v>
          </cell>
          <cell r="AC600">
            <v>78</v>
          </cell>
          <cell r="AH600" t="str">
            <v>NAHMINT RIVERSockeye</v>
          </cell>
          <cell r="AI600" t="str">
            <v>AUC</v>
          </cell>
          <cell r="AJ600">
            <v>181</v>
          </cell>
        </row>
        <row r="601">
          <cell r="AA601" t="str">
            <v>NAHMINT RIVERCoho</v>
          </cell>
          <cell r="AB601">
            <v>6</v>
          </cell>
          <cell r="AC601">
            <v>413</v>
          </cell>
          <cell r="AH601" t="str">
            <v>NAHMINT RIVERCoho</v>
          </cell>
          <cell r="AI601" t="str">
            <v>AUC</v>
          </cell>
          <cell r="AJ601">
            <v>902</v>
          </cell>
        </row>
        <row r="602">
          <cell r="AA602" t="str">
            <v>NAHMINT RIVERPink</v>
          </cell>
          <cell r="AB602">
            <v>6</v>
          </cell>
          <cell r="AC602">
            <v>1</v>
          </cell>
          <cell r="AH602" t="str">
            <v>NAHMINT RIVERPink</v>
          </cell>
          <cell r="AI602">
            <v>0</v>
          </cell>
          <cell r="AJ602" t="str">
            <v>AP</v>
          </cell>
        </row>
        <row r="603">
          <cell r="AA603" t="str">
            <v>NAHMINT RIVERChum</v>
          </cell>
          <cell r="AB603">
            <v>6</v>
          </cell>
          <cell r="AC603">
            <v>4228</v>
          </cell>
          <cell r="AH603" t="str">
            <v>NAHMINT RIVERChum</v>
          </cell>
          <cell r="AI603" t="str">
            <v>AUC</v>
          </cell>
          <cell r="AJ603">
            <v>6465</v>
          </cell>
        </row>
        <row r="604">
          <cell r="AA604" t="str">
            <v>NAHMINT RIVERChinook</v>
          </cell>
          <cell r="AB604">
            <v>6</v>
          </cell>
          <cell r="AC604">
            <v>67</v>
          </cell>
          <cell r="AH604" t="str">
            <v>NAHMINT RIVERChinook</v>
          </cell>
          <cell r="AI604" t="str">
            <v>AUC</v>
          </cell>
          <cell r="AJ604">
            <v>192</v>
          </cell>
        </row>
        <row r="605">
          <cell r="AA605" t="str">
            <v>NAHMINT RIVERSteelhead</v>
          </cell>
          <cell r="AB605">
            <v>6</v>
          </cell>
          <cell r="AC605">
            <v>0</v>
          </cell>
          <cell r="AH605" t="str">
            <v>NAHMINT RIVERSteelhead</v>
          </cell>
          <cell r="AI605">
            <v>0</v>
          </cell>
          <cell r="AJ605" t="str">
            <v>NO</v>
          </cell>
        </row>
        <row r="606">
          <cell r="AA606" t="str">
            <v>OWATCHET CREEKSockeye</v>
          </cell>
          <cell r="AB606">
            <v>0</v>
          </cell>
          <cell r="AC606">
            <v>0</v>
          </cell>
          <cell r="AH606" t="str">
            <v>OWATCHET CREEKSockeye</v>
          </cell>
          <cell r="AI606">
            <v>0</v>
          </cell>
          <cell r="AJ606">
            <v>0</v>
          </cell>
        </row>
        <row r="607">
          <cell r="AA607" t="str">
            <v>OWATCHET CREEKCoho</v>
          </cell>
          <cell r="AB607">
            <v>0</v>
          </cell>
          <cell r="AC607">
            <v>0</v>
          </cell>
          <cell r="AH607" t="str">
            <v>OWATCHET CREEKCoho</v>
          </cell>
          <cell r="AI607">
            <v>0</v>
          </cell>
          <cell r="AJ607">
            <v>0</v>
          </cell>
        </row>
        <row r="608">
          <cell r="AA608" t="str">
            <v>OWATCHET CREEKPink</v>
          </cell>
          <cell r="AB608">
            <v>0</v>
          </cell>
          <cell r="AC608">
            <v>0</v>
          </cell>
          <cell r="AH608" t="str">
            <v>OWATCHET CREEKPink</v>
          </cell>
          <cell r="AI608">
            <v>0</v>
          </cell>
          <cell r="AJ608">
            <v>0</v>
          </cell>
        </row>
        <row r="609">
          <cell r="AA609" t="str">
            <v>OWATCHET CREEKChum</v>
          </cell>
          <cell r="AB609">
            <v>0</v>
          </cell>
          <cell r="AC609">
            <v>0</v>
          </cell>
          <cell r="AH609" t="str">
            <v>OWATCHET CREEKChum</v>
          </cell>
          <cell r="AI609">
            <v>0</v>
          </cell>
          <cell r="AJ609">
            <v>0</v>
          </cell>
        </row>
        <row r="610">
          <cell r="AA610" t="str">
            <v>OWATCHET CREEKChinook</v>
          </cell>
          <cell r="AB610">
            <v>0</v>
          </cell>
          <cell r="AC610">
            <v>0</v>
          </cell>
          <cell r="AH610" t="str">
            <v>OWATCHET CREEKChinook</v>
          </cell>
          <cell r="AI610">
            <v>0</v>
          </cell>
          <cell r="AJ610">
            <v>0</v>
          </cell>
        </row>
        <row r="611">
          <cell r="AA611" t="str">
            <v>OWATCHET CREEKSteelhead</v>
          </cell>
          <cell r="AB611">
            <v>0</v>
          </cell>
          <cell r="AC611">
            <v>0</v>
          </cell>
          <cell r="AH611" t="str">
            <v>OWATCHET CREEKSteelhead</v>
          </cell>
          <cell r="AI611">
            <v>0</v>
          </cell>
          <cell r="AJ611">
            <v>0</v>
          </cell>
        </row>
        <row r="612">
          <cell r="AA612" t="str">
            <v>PACHENA RIVERSockeye</v>
          </cell>
          <cell r="AB612">
            <v>0</v>
          </cell>
          <cell r="AC612">
            <v>0</v>
          </cell>
          <cell r="AH612" t="str">
            <v>PACHENA RIVERSockeye</v>
          </cell>
          <cell r="AI612">
            <v>0</v>
          </cell>
          <cell r="AJ612">
            <v>0</v>
          </cell>
        </row>
        <row r="613">
          <cell r="AA613" t="str">
            <v>PACHENA RIVERCoho</v>
          </cell>
          <cell r="AB613">
            <v>0</v>
          </cell>
          <cell r="AC613">
            <v>0</v>
          </cell>
          <cell r="AH613" t="str">
            <v>PACHENA RIVERCoho</v>
          </cell>
          <cell r="AI613">
            <v>0</v>
          </cell>
          <cell r="AJ613">
            <v>0</v>
          </cell>
        </row>
        <row r="614">
          <cell r="AA614" t="str">
            <v>PACHENA RIVERPink</v>
          </cell>
          <cell r="AB614">
            <v>0</v>
          </cell>
          <cell r="AC614">
            <v>0</v>
          </cell>
          <cell r="AH614" t="str">
            <v>PACHENA RIVERPink</v>
          </cell>
          <cell r="AI614">
            <v>0</v>
          </cell>
          <cell r="AJ614">
            <v>0</v>
          </cell>
        </row>
        <row r="615">
          <cell r="AA615" t="str">
            <v>PACHENA RIVERChum</v>
          </cell>
          <cell r="AB615">
            <v>0</v>
          </cell>
          <cell r="AC615">
            <v>0</v>
          </cell>
          <cell r="AH615" t="str">
            <v>PACHENA RIVERChum</v>
          </cell>
          <cell r="AI615">
            <v>0</v>
          </cell>
          <cell r="AJ615">
            <v>0</v>
          </cell>
        </row>
        <row r="616">
          <cell r="AA616" t="str">
            <v>PACHENA RIVERChinook</v>
          </cell>
          <cell r="AB616">
            <v>0</v>
          </cell>
          <cell r="AC616">
            <v>0</v>
          </cell>
          <cell r="AH616" t="str">
            <v>PACHENA RIVERChinook</v>
          </cell>
          <cell r="AI616">
            <v>0</v>
          </cell>
          <cell r="AJ616">
            <v>0</v>
          </cell>
        </row>
        <row r="617">
          <cell r="AA617" t="str">
            <v>PACHENA RIVERSteelhead</v>
          </cell>
          <cell r="AB617">
            <v>0</v>
          </cell>
          <cell r="AC617">
            <v>0</v>
          </cell>
          <cell r="AH617" t="str">
            <v>PACHENA RIVERSteelhead</v>
          </cell>
          <cell r="AI617">
            <v>0</v>
          </cell>
          <cell r="AJ617">
            <v>0</v>
          </cell>
        </row>
        <row r="618">
          <cell r="AA618" t="str">
            <v>PIPESTEAM CREEKSockeye</v>
          </cell>
          <cell r="AB618">
            <v>0</v>
          </cell>
          <cell r="AC618">
            <v>0</v>
          </cell>
          <cell r="AH618" t="str">
            <v>PIPESTEAM CREEKSockeye</v>
          </cell>
          <cell r="AI618">
            <v>0</v>
          </cell>
          <cell r="AJ618">
            <v>0</v>
          </cell>
        </row>
        <row r="619">
          <cell r="AA619" t="str">
            <v>PIPESTEAM CREEKCoho</v>
          </cell>
          <cell r="AB619">
            <v>0</v>
          </cell>
          <cell r="AC619">
            <v>0</v>
          </cell>
          <cell r="AH619" t="str">
            <v>PIPESTEAM CREEKCoho</v>
          </cell>
          <cell r="AI619">
            <v>0</v>
          </cell>
          <cell r="AJ619">
            <v>0</v>
          </cell>
        </row>
        <row r="620">
          <cell r="AA620" t="str">
            <v>PIPESTEAM CREEKPink</v>
          </cell>
          <cell r="AB620">
            <v>0</v>
          </cell>
          <cell r="AC620">
            <v>0</v>
          </cell>
          <cell r="AH620" t="str">
            <v>PIPESTEAM CREEKPink</v>
          </cell>
          <cell r="AI620">
            <v>0</v>
          </cell>
          <cell r="AJ620">
            <v>0</v>
          </cell>
        </row>
        <row r="621">
          <cell r="AA621" t="str">
            <v>PIPESTEAM CREEKChum</v>
          </cell>
          <cell r="AB621">
            <v>0</v>
          </cell>
          <cell r="AC621">
            <v>0</v>
          </cell>
          <cell r="AH621" t="str">
            <v>PIPESTEAM CREEKChum</v>
          </cell>
          <cell r="AI621">
            <v>0</v>
          </cell>
          <cell r="AJ621">
            <v>0</v>
          </cell>
        </row>
        <row r="622">
          <cell r="AA622" t="str">
            <v>PIPESTEAM CREEKChinook</v>
          </cell>
          <cell r="AB622">
            <v>0</v>
          </cell>
          <cell r="AC622">
            <v>0</v>
          </cell>
          <cell r="AH622" t="str">
            <v>PIPESTEAM CREEKChinook</v>
          </cell>
          <cell r="AI622">
            <v>0</v>
          </cell>
          <cell r="AJ622">
            <v>0</v>
          </cell>
        </row>
        <row r="623">
          <cell r="AA623" t="str">
            <v>PIPESTEAM CREEKSteelhead</v>
          </cell>
          <cell r="AB623">
            <v>0</v>
          </cell>
          <cell r="AC623">
            <v>0</v>
          </cell>
          <cell r="AH623" t="str">
            <v>PIPESTEAM CREEKSteelhead</v>
          </cell>
          <cell r="AI623">
            <v>0</v>
          </cell>
          <cell r="AJ623">
            <v>0</v>
          </cell>
        </row>
        <row r="624">
          <cell r="AA624" t="str">
            <v>POETT NOOK CREEKSockeye</v>
          </cell>
          <cell r="AB624">
            <v>0</v>
          </cell>
          <cell r="AC624">
            <v>0</v>
          </cell>
          <cell r="AH624" t="str">
            <v>POETT NOOK CREEKSockeye</v>
          </cell>
          <cell r="AI624">
            <v>0</v>
          </cell>
          <cell r="AJ624">
            <v>0</v>
          </cell>
        </row>
        <row r="625">
          <cell r="AA625" t="str">
            <v>POETT NOOK CREEKCoho</v>
          </cell>
          <cell r="AB625">
            <v>0</v>
          </cell>
          <cell r="AC625">
            <v>0</v>
          </cell>
          <cell r="AH625" t="str">
            <v>POETT NOOK CREEKCoho</v>
          </cell>
          <cell r="AI625">
            <v>0</v>
          </cell>
          <cell r="AJ625">
            <v>0</v>
          </cell>
        </row>
        <row r="626">
          <cell r="AA626" t="str">
            <v>POETT NOOK CREEKPink</v>
          </cell>
          <cell r="AB626">
            <v>0</v>
          </cell>
          <cell r="AC626">
            <v>0</v>
          </cell>
          <cell r="AH626" t="str">
            <v>POETT NOOK CREEKPink</v>
          </cell>
          <cell r="AI626">
            <v>0</v>
          </cell>
          <cell r="AJ626">
            <v>0</v>
          </cell>
        </row>
        <row r="627">
          <cell r="AA627" t="str">
            <v>POETT NOOK CREEKChum</v>
          </cell>
          <cell r="AB627">
            <v>0</v>
          </cell>
          <cell r="AC627">
            <v>0</v>
          </cell>
          <cell r="AH627" t="str">
            <v>POETT NOOK CREEKChum</v>
          </cell>
          <cell r="AI627">
            <v>0</v>
          </cell>
          <cell r="AJ627">
            <v>0</v>
          </cell>
        </row>
        <row r="628">
          <cell r="AA628" t="str">
            <v>POETT NOOK CREEKChinook</v>
          </cell>
          <cell r="AB628">
            <v>0</v>
          </cell>
          <cell r="AC628">
            <v>0</v>
          </cell>
          <cell r="AH628" t="str">
            <v>POETT NOOK CREEKChinook</v>
          </cell>
          <cell r="AI628">
            <v>0</v>
          </cell>
          <cell r="AJ628">
            <v>0</v>
          </cell>
        </row>
        <row r="629">
          <cell r="AA629" t="str">
            <v>POETT NOOK CREEKSteelhead</v>
          </cell>
          <cell r="AB629">
            <v>0</v>
          </cell>
          <cell r="AC629">
            <v>0</v>
          </cell>
          <cell r="AH629" t="str">
            <v>POETT NOOK CREEKSteelhead</v>
          </cell>
          <cell r="AI629">
            <v>0</v>
          </cell>
          <cell r="AJ629">
            <v>0</v>
          </cell>
        </row>
        <row r="630">
          <cell r="AA630" t="str">
            <v>RITHERDON CREEKSockeye</v>
          </cell>
          <cell r="AB630">
            <v>0</v>
          </cell>
          <cell r="AC630">
            <v>0</v>
          </cell>
          <cell r="AH630" t="str">
            <v>RITHERDON CREEKSockeye</v>
          </cell>
          <cell r="AI630">
            <v>0</v>
          </cell>
          <cell r="AJ630">
            <v>0</v>
          </cell>
        </row>
        <row r="631">
          <cell r="AA631" t="str">
            <v>RITHERDON CREEKCoho</v>
          </cell>
          <cell r="AB631">
            <v>0</v>
          </cell>
          <cell r="AC631">
            <v>0</v>
          </cell>
          <cell r="AH631" t="str">
            <v>RITHERDON CREEKCoho</v>
          </cell>
          <cell r="AI631">
            <v>0</v>
          </cell>
          <cell r="AJ631">
            <v>0</v>
          </cell>
        </row>
        <row r="632">
          <cell r="AA632" t="str">
            <v>RITHERDON CREEKPink</v>
          </cell>
          <cell r="AB632">
            <v>0</v>
          </cell>
          <cell r="AC632">
            <v>0</v>
          </cell>
          <cell r="AH632" t="str">
            <v>RITHERDON CREEKPink</v>
          </cell>
          <cell r="AI632">
            <v>0</v>
          </cell>
          <cell r="AJ632">
            <v>0</v>
          </cell>
        </row>
        <row r="633">
          <cell r="AA633" t="str">
            <v>RITHERDON CREEKChum</v>
          </cell>
          <cell r="AB633">
            <v>0</v>
          </cell>
          <cell r="AC633">
            <v>0</v>
          </cell>
          <cell r="AH633" t="str">
            <v>RITHERDON CREEKChum</v>
          </cell>
          <cell r="AI633">
            <v>0</v>
          </cell>
          <cell r="AJ633">
            <v>0</v>
          </cell>
        </row>
        <row r="634">
          <cell r="AA634" t="str">
            <v>RITHERDON CREEKChinook</v>
          </cell>
          <cell r="AB634">
            <v>0</v>
          </cell>
          <cell r="AC634">
            <v>0</v>
          </cell>
          <cell r="AH634" t="str">
            <v>RITHERDON CREEKChinook</v>
          </cell>
          <cell r="AI634">
            <v>0</v>
          </cell>
          <cell r="AJ634">
            <v>0</v>
          </cell>
        </row>
        <row r="635">
          <cell r="AA635" t="str">
            <v>RITHERDON CREEKSteelhead</v>
          </cell>
          <cell r="AB635">
            <v>0</v>
          </cell>
          <cell r="AC635">
            <v>0</v>
          </cell>
          <cell r="AH635" t="str">
            <v>RITHERDON CREEKSteelhead</v>
          </cell>
          <cell r="AI635">
            <v>0</v>
          </cell>
          <cell r="AJ635">
            <v>0</v>
          </cell>
        </row>
        <row r="636">
          <cell r="AA636" t="str">
            <v>SARITA RIVERSockeye</v>
          </cell>
          <cell r="AB636">
            <v>7</v>
          </cell>
          <cell r="AC636">
            <v>0</v>
          </cell>
          <cell r="AH636" t="str">
            <v>SARITA RIVERSockeye</v>
          </cell>
          <cell r="AI636">
            <v>0</v>
          </cell>
          <cell r="AJ636" t="str">
            <v>NO</v>
          </cell>
        </row>
        <row r="637">
          <cell r="AA637" t="str">
            <v>SARITA RIVERCoho</v>
          </cell>
          <cell r="AB637">
            <v>7</v>
          </cell>
          <cell r="AC637">
            <v>822</v>
          </cell>
          <cell r="AH637" t="str">
            <v>SARITA RIVERCoho</v>
          </cell>
          <cell r="AI637" t="str">
            <v>AUC</v>
          </cell>
          <cell r="AJ637">
            <v>1251</v>
          </cell>
        </row>
        <row r="638">
          <cell r="AA638" t="str">
            <v>SARITA RIVERPink</v>
          </cell>
          <cell r="AB638">
            <v>7</v>
          </cell>
          <cell r="AC638">
            <v>2</v>
          </cell>
          <cell r="AH638" t="str">
            <v>SARITA RIVERPink</v>
          </cell>
          <cell r="AI638">
            <v>0</v>
          </cell>
          <cell r="AJ638" t="str">
            <v>AP</v>
          </cell>
        </row>
        <row r="639">
          <cell r="AA639" t="str">
            <v>SARITA RIVERChum</v>
          </cell>
          <cell r="AB639">
            <v>7</v>
          </cell>
          <cell r="AC639">
            <v>6580</v>
          </cell>
          <cell r="AH639" t="str">
            <v>SARITA RIVERChum</v>
          </cell>
          <cell r="AI639" t="str">
            <v>AUC</v>
          </cell>
          <cell r="AJ639">
            <v>10036</v>
          </cell>
        </row>
        <row r="640">
          <cell r="AA640" t="str">
            <v>SARITA RIVERChinook</v>
          </cell>
          <cell r="AB640">
            <v>7</v>
          </cell>
          <cell r="AC640">
            <v>704</v>
          </cell>
          <cell r="AH640" t="str">
            <v>SARITA RIVERChinook</v>
          </cell>
          <cell r="AI640" t="str">
            <v>AUC</v>
          </cell>
          <cell r="AJ640">
            <v>1171</v>
          </cell>
        </row>
        <row r="641">
          <cell r="AA641" t="str">
            <v>SARITA RIVERSteelhead</v>
          </cell>
          <cell r="AB641">
            <v>7</v>
          </cell>
          <cell r="AC641">
            <v>0</v>
          </cell>
          <cell r="AH641" t="str">
            <v>SARITA RIVERSteelhead</v>
          </cell>
          <cell r="AI641">
            <v>0</v>
          </cell>
          <cell r="AJ641" t="str">
            <v>NO</v>
          </cell>
        </row>
        <row r="642">
          <cell r="AA642" t="str">
            <v>SECHART CREEKSockeye</v>
          </cell>
          <cell r="AB642">
            <v>0</v>
          </cell>
          <cell r="AC642">
            <v>0</v>
          </cell>
          <cell r="AH642" t="str">
            <v>SECHART CREEKSockeye</v>
          </cell>
          <cell r="AI642">
            <v>0</v>
          </cell>
          <cell r="AJ642">
            <v>0</v>
          </cell>
        </row>
        <row r="643">
          <cell r="AA643" t="str">
            <v>SECHART CREEKCoho</v>
          </cell>
          <cell r="AB643">
            <v>0</v>
          </cell>
          <cell r="AC643">
            <v>0</v>
          </cell>
          <cell r="AH643" t="str">
            <v>SECHART CREEKCoho</v>
          </cell>
          <cell r="AI643">
            <v>0</v>
          </cell>
          <cell r="AJ643">
            <v>0</v>
          </cell>
        </row>
        <row r="644">
          <cell r="AA644" t="str">
            <v>SECHART CREEKPink</v>
          </cell>
          <cell r="AB644">
            <v>0</v>
          </cell>
          <cell r="AC644">
            <v>0</v>
          </cell>
          <cell r="AH644" t="str">
            <v>SECHART CREEKPink</v>
          </cell>
          <cell r="AI644">
            <v>0</v>
          </cell>
          <cell r="AJ644">
            <v>0</v>
          </cell>
        </row>
        <row r="645">
          <cell r="AA645" t="str">
            <v>SECHART CREEKChum</v>
          </cell>
          <cell r="AB645">
            <v>0</v>
          </cell>
          <cell r="AC645">
            <v>0</v>
          </cell>
          <cell r="AH645" t="str">
            <v>SECHART CREEKChum</v>
          </cell>
          <cell r="AI645">
            <v>0</v>
          </cell>
          <cell r="AJ645">
            <v>0</v>
          </cell>
        </row>
        <row r="646">
          <cell r="AA646" t="str">
            <v>SECHART CREEKChinook</v>
          </cell>
          <cell r="AB646">
            <v>0</v>
          </cell>
          <cell r="AC646">
            <v>0</v>
          </cell>
          <cell r="AH646" t="str">
            <v>SECHART CREEKChinook</v>
          </cell>
          <cell r="AI646">
            <v>0</v>
          </cell>
          <cell r="AJ646">
            <v>0</v>
          </cell>
        </row>
        <row r="647">
          <cell r="AA647" t="str">
            <v>SECHART CREEKSteelhead</v>
          </cell>
          <cell r="AB647">
            <v>0</v>
          </cell>
          <cell r="AC647">
            <v>0</v>
          </cell>
          <cell r="AH647" t="str">
            <v>SECHART CREEKSteelhead</v>
          </cell>
          <cell r="AI647">
            <v>0</v>
          </cell>
          <cell r="AJ647">
            <v>0</v>
          </cell>
        </row>
        <row r="648">
          <cell r="AA648" t="str">
            <v>SMITH CREEKSockeye</v>
          </cell>
          <cell r="AB648">
            <v>1</v>
          </cell>
          <cell r="AC648">
            <v>0</v>
          </cell>
          <cell r="AH648" t="str">
            <v>SMITH CREEKSockeye</v>
          </cell>
          <cell r="AI648">
            <v>0</v>
          </cell>
          <cell r="AJ648">
            <v>0</v>
          </cell>
        </row>
        <row r="649">
          <cell r="AA649" t="str">
            <v>SMITH CREEKCoho</v>
          </cell>
          <cell r="AB649">
            <v>1</v>
          </cell>
          <cell r="AC649">
            <v>52</v>
          </cell>
          <cell r="AH649" t="str">
            <v>SMITH CREEKCoho</v>
          </cell>
          <cell r="AI649" t="str">
            <v>PL+D</v>
          </cell>
          <cell r="AJ649">
            <v>130</v>
          </cell>
        </row>
        <row r="650">
          <cell r="AA650" t="str">
            <v>SMITH CREEKPink</v>
          </cell>
          <cell r="AB650">
            <v>1</v>
          </cell>
          <cell r="AC650">
            <v>0</v>
          </cell>
          <cell r="AH650" t="str">
            <v>SMITH CREEKPink</v>
          </cell>
          <cell r="AI650">
            <v>0</v>
          </cell>
          <cell r="AJ650">
            <v>0</v>
          </cell>
        </row>
        <row r="651">
          <cell r="AA651" t="str">
            <v>SMITH CREEKChum</v>
          </cell>
          <cell r="AB651">
            <v>1</v>
          </cell>
          <cell r="AC651">
            <v>2514</v>
          </cell>
          <cell r="AH651" t="str">
            <v>SMITH CREEKChum</v>
          </cell>
          <cell r="AI651" t="str">
            <v>PL+D</v>
          </cell>
          <cell r="AJ651">
            <v>3269</v>
          </cell>
        </row>
        <row r="652">
          <cell r="AA652" t="str">
            <v>SMITH CREEKChinook</v>
          </cell>
          <cell r="AB652">
            <v>1</v>
          </cell>
          <cell r="AC652">
            <v>0</v>
          </cell>
          <cell r="AH652" t="str">
            <v>SMITH CREEKChinook</v>
          </cell>
          <cell r="AI652">
            <v>0</v>
          </cell>
          <cell r="AJ652" t="str">
            <v>NO</v>
          </cell>
        </row>
        <row r="653">
          <cell r="AA653" t="str">
            <v>SMITH CREEKSteelhead</v>
          </cell>
          <cell r="AB653">
            <v>1</v>
          </cell>
          <cell r="AC653">
            <v>0</v>
          </cell>
          <cell r="AH653" t="str">
            <v>SMITH CREEKSteelhead</v>
          </cell>
          <cell r="AI653">
            <v>0</v>
          </cell>
          <cell r="AJ653">
            <v>0</v>
          </cell>
        </row>
        <row r="654">
          <cell r="AA654" t="str">
            <v>SNUG BASIN CREEKSockeye</v>
          </cell>
          <cell r="AB654">
            <v>2</v>
          </cell>
          <cell r="AC654">
            <v>0</v>
          </cell>
          <cell r="AH654" t="str">
            <v>SNUG BASIN CREEKSockeye</v>
          </cell>
          <cell r="AI654">
            <v>0</v>
          </cell>
          <cell r="AJ654">
            <v>0</v>
          </cell>
        </row>
        <row r="655">
          <cell r="AA655" t="str">
            <v>SNUG BASIN CREEKCoho</v>
          </cell>
          <cell r="AB655">
            <v>2</v>
          </cell>
          <cell r="AC655">
            <v>0</v>
          </cell>
          <cell r="AH655" t="str">
            <v>SNUG BASIN CREEKCoho</v>
          </cell>
          <cell r="AI655">
            <v>0</v>
          </cell>
          <cell r="AJ655" t="str">
            <v>NO</v>
          </cell>
        </row>
        <row r="656">
          <cell r="AA656" t="str">
            <v>SNUG BASIN CREEKPink</v>
          </cell>
          <cell r="AB656">
            <v>2</v>
          </cell>
          <cell r="AC656">
            <v>0</v>
          </cell>
          <cell r="AH656" t="str">
            <v>SNUG BASIN CREEKPink</v>
          </cell>
          <cell r="AI656">
            <v>0</v>
          </cell>
          <cell r="AJ656">
            <v>0</v>
          </cell>
        </row>
        <row r="657">
          <cell r="AA657" t="str">
            <v>SNUG BASIN CREEKChum</v>
          </cell>
          <cell r="AB657">
            <v>2</v>
          </cell>
          <cell r="AC657">
            <v>0</v>
          </cell>
          <cell r="AH657" t="str">
            <v>SNUG BASIN CREEKChum</v>
          </cell>
          <cell r="AI657">
            <v>0</v>
          </cell>
          <cell r="AJ657" t="str">
            <v>NO</v>
          </cell>
        </row>
        <row r="658">
          <cell r="AA658" t="str">
            <v>SNUG BASIN CREEKChinook</v>
          </cell>
          <cell r="AB658">
            <v>2</v>
          </cell>
          <cell r="AC658">
            <v>0</v>
          </cell>
          <cell r="AH658" t="str">
            <v>SNUG BASIN CREEKChinook</v>
          </cell>
          <cell r="AI658">
            <v>0</v>
          </cell>
          <cell r="AJ658">
            <v>0</v>
          </cell>
        </row>
        <row r="659">
          <cell r="AA659" t="str">
            <v>SNUG BASIN CREEKSteelhead</v>
          </cell>
          <cell r="AB659">
            <v>2</v>
          </cell>
          <cell r="AC659">
            <v>0</v>
          </cell>
          <cell r="AH659" t="str">
            <v>SNUG BASIN CREEKSteelhead</v>
          </cell>
          <cell r="AI659">
            <v>0</v>
          </cell>
          <cell r="AJ659">
            <v>0</v>
          </cell>
        </row>
        <row r="660">
          <cell r="AA660" t="str">
            <v>SOMASS RIVER (Lower)Sockeye</v>
          </cell>
          <cell r="AB660">
            <v>2</v>
          </cell>
          <cell r="AC660">
            <v>0</v>
          </cell>
          <cell r="AH660" t="str">
            <v>SOMASS RIVER (Lower)Sockeye</v>
          </cell>
          <cell r="AI660">
            <v>0</v>
          </cell>
          <cell r="AJ660">
            <v>0</v>
          </cell>
        </row>
        <row r="661">
          <cell r="AA661" t="str">
            <v>SOMASS RIVER (Lower)Coho</v>
          </cell>
          <cell r="AB661">
            <v>2</v>
          </cell>
          <cell r="AC661">
            <v>13</v>
          </cell>
          <cell r="AH661" t="str">
            <v>SOMASS RIVER (Lower)Coho</v>
          </cell>
          <cell r="AI661">
            <v>0</v>
          </cell>
          <cell r="AJ661">
            <v>0</v>
          </cell>
        </row>
        <row r="662">
          <cell r="AA662" t="str">
            <v>SOMASS RIVER (Lower)Pink</v>
          </cell>
          <cell r="AB662">
            <v>2</v>
          </cell>
          <cell r="AC662">
            <v>0</v>
          </cell>
          <cell r="AH662" t="str">
            <v>SOMASS RIVER (Lower)Pink</v>
          </cell>
          <cell r="AI662">
            <v>0</v>
          </cell>
          <cell r="AJ662">
            <v>0</v>
          </cell>
        </row>
        <row r="663">
          <cell r="AA663" t="str">
            <v>SOMASS RIVER (Lower)Chum</v>
          </cell>
          <cell r="AB663">
            <v>2</v>
          </cell>
          <cell r="AC663">
            <v>616</v>
          </cell>
          <cell r="AH663" t="str">
            <v>SOMASS RIVER (Lower)Chum</v>
          </cell>
          <cell r="AI663" t="str">
            <v>PL+D</v>
          </cell>
          <cell r="AJ663">
            <v>616</v>
          </cell>
        </row>
        <row r="664">
          <cell r="AA664" t="str">
            <v>SOMASS RIVER (Lower)Chinook</v>
          </cell>
          <cell r="AB664">
            <v>2</v>
          </cell>
          <cell r="AC664">
            <v>0</v>
          </cell>
          <cell r="AH664" t="str">
            <v>SOMASS RIVER (Lower)Chinook</v>
          </cell>
          <cell r="AI664">
            <v>0</v>
          </cell>
          <cell r="AJ664">
            <v>0</v>
          </cell>
        </row>
        <row r="665">
          <cell r="AA665" t="str">
            <v>SOMASS RIVER (Lower)Steelhead</v>
          </cell>
          <cell r="AB665">
            <v>2</v>
          </cell>
          <cell r="AC665">
            <v>0</v>
          </cell>
          <cell r="AH665" t="str">
            <v>SOMASS RIVER (Lower)Steelhead</v>
          </cell>
          <cell r="AI665">
            <v>0</v>
          </cell>
          <cell r="AJ665">
            <v>0</v>
          </cell>
        </row>
        <row r="666">
          <cell r="AA666" t="str">
            <v>SPROAT RIVERSockeye</v>
          </cell>
          <cell r="AC666">
            <v>5785.5</v>
          </cell>
          <cell r="AH666" t="str">
            <v>SPROAT RIVERSockeye</v>
          </cell>
          <cell r="AI666">
            <v>0</v>
          </cell>
          <cell r="AJ666">
            <v>0</v>
          </cell>
        </row>
        <row r="667">
          <cell r="AA667" t="str">
            <v>SPROAT RIVERCoho</v>
          </cell>
          <cell r="AC667">
            <v>13732</v>
          </cell>
          <cell r="AH667" t="str">
            <v>SPROAT RIVERCoho</v>
          </cell>
          <cell r="AI667">
            <v>0</v>
          </cell>
          <cell r="AJ667">
            <v>0</v>
          </cell>
        </row>
        <row r="668">
          <cell r="AA668" t="str">
            <v>SPROAT RIVERPink</v>
          </cell>
          <cell r="AC668">
            <v>0</v>
          </cell>
          <cell r="AH668" t="str">
            <v>SPROAT RIVERPink</v>
          </cell>
          <cell r="AI668">
            <v>0</v>
          </cell>
          <cell r="AJ668">
            <v>0</v>
          </cell>
        </row>
        <row r="669">
          <cell r="AA669" t="str">
            <v>SPROAT RIVERChum</v>
          </cell>
          <cell r="AC669">
            <v>442.5</v>
          </cell>
          <cell r="AH669" t="str">
            <v>SPROAT RIVERChum</v>
          </cell>
          <cell r="AI669">
            <v>0</v>
          </cell>
          <cell r="AJ669">
            <v>0</v>
          </cell>
        </row>
        <row r="670">
          <cell r="AA670" t="str">
            <v>SPROAT RIVERChinook</v>
          </cell>
          <cell r="AC670">
            <v>452</v>
          </cell>
          <cell r="AH670" t="str">
            <v>SPROAT RIVERChinook</v>
          </cell>
          <cell r="AI670">
            <v>0</v>
          </cell>
          <cell r="AJ670">
            <v>0</v>
          </cell>
        </row>
        <row r="671">
          <cell r="AA671" t="str">
            <v>SPROAT RIVERSteelhead</v>
          </cell>
          <cell r="AC671">
            <v>209</v>
          </cell>
          <cell r="AH671" t="str">
            <v>SPROAT RIVERSteelhead</v>
          </cell>
          <cell r="AI671">
            <v>0</v>
          </cell>
          <cell r="AJ671">
            <v>0</v>
          </cell>
        </row>
        <row r="672">
          <cell r="AA672" t="str">
            <v>STAMP RIVERSockeye</v>
          </cell>
          <cell r="AC672">
            <v>367.03846153846155</v>
          </cell>
          <cell r="AH672" t="str">
            <v>STAMP RIVERSockeye</v>
          </cell>
          <cell r="AI672" t="str">
            <v>Fence</v>
          </cell>
          <cell r="AJ672">
            <v>76964</v>
          </cell>
        </row>
        <row r="673">
          <cell r="AA673" t="str">
            <v>STAMP RIVERCoho</v>
          </cell>
          <cell r="AC673">
            <v>49525.623826350333</v>
          </cell>
          <cell r="AH673" t="str">
            <v>STAMP RIVERCoho</v>
          </cell>
          <cell r="AI673" t="str">
            <v>Fence</v>
          </cell>
          <cell r="AJ673">
            <v>51890</v>
          </cell>
        </row>
        <row r="674">
          <cell r="AA674" t="str">
            <v>STAMP RIVERPink</v>
          </cell>
          <cell r="AC674">
            <v>44</v>
          </cell>
          <cell r="AH674" t="str">
            <v>STAMP RIVERPink</v>
          </cell>
          <cell r="AI674" t="str">
            <v>Fence</v>
          </cell>
          <cell r="AJ674">
            <v>46</v>
          </cell>
        </row>
        <row r="675">
          <cell r="AA675" t="str">
            <v>STAMP RIVERChum</v>
          </cell>
          <cell r="AC675">
            <v>35</v>
          </cell>
          <cell r="AH675" t="str">
            <v>STAMP RIVERChum</v>
          </cell>
          <cell r="AI675" t="str">
            <v>Fence</v>
          </cell>
          <cell r="AJ675">
            <v>37</v>
          </cell>
        </row>
        <row r="676">
          <cell r="AA676" t="str">
            <v>STAMP RIVERChinook</v>
          </cell>
          <cell r="AC676">
            <v>28989.355123674912</v>
          </cell>
          <cell r="AH676" t="str">
            <v>STAMP RIVERChinook</v>
          </cell>
          <cell r="AI676" t="str">
            <v>Fence</v>
          </cell>
          <cell r="AJ676">
            <v>28572</v>
          </cell>
        </row>
        <row r="677">
          <cell r="AA677" t="str">
            <v>STAMP RIVERSteelhead</v>
          </cell>
          <cell r="AC677">
            <v>787.22222222222217</v>
          </cell>
          <cell r="AH677" t="str">
            <v>STAMP RIVERSteelhead</v>
          </cell>
          <cell r="AI677" t="str">
            <v>Fence</v>
          </cell>
          <cell r="AJ677">
            <v>1963</v>
          </cell>
        </row>
        <row r="678">
          <cell r="AA678" t="str">
            <v>SUGSAW CREEKSockeye</v>
          </cell>
          <cell r="AB678">
            <v>1</v>
          </cell>
          <cell r="AC678">
            <v>0</v>
          </cell>
          <cell r="AH678" t="str">
            <v>SUGSAW CREEKSockeye</v>
          </cell>
          <cell r="AI678">
            <v>0</v>
          </cell>
          <cell r="AJ678">
            <v>0</v>
          </cell>
        </row>
        <row r="679">
          <cell r="AA679" t="str">
            <v>SUGSAW CREEKCoho</v>
          </cell>
          <cell r="AB679">
            <v>1</v>
          </cell>
          <cell r="AC679">
            <v>0</v>
          </cell>
          <cell r="AH679" t="str">
            <v>SUGSAW CREEKCoho</v>
          </cell>
          <cell r="AI679">
            <v>0</v>
          </cell>
          <cell r="AJ679">
            <v>0</v>
          </cell>
        </row>
        <row r="680">
          <cell r="AA680" t="str">
            <v>SUGSAW CREEKPink</v>
          </cell>
          <cell r="AB680">
            <v>1</v>
          </cell>
          <cell r="AC680">
            <v>0</v>
          </cell>
          <cell r="AH680" t="str">
            <v>SUGSAW CREEKPink</v>
          </cell>
          <cell r="AI680">
            <v>0</v>
          </cell>
          <cell r="AJ680">
            <v>0</v>
          </cell>
        </row>
        <row r="681">
          <cell r="AA681" t="str">
            <v>SUGSAW CREEKChum</v>
          </cell>
          <cell r="AB681">
            <v>1</v>
          </cell>
          <cell r="AC681">
            <v>500</v>
          </cell>
          <cell r="AH681" t="str">
            <v>SUGSAW CREEKChum</v>
          </cell>
          <cell r="AI681" t="str">
            <v>PL+D</v>
          </cell>
          <cell r="AJ681">
            <v>500</v>
          </cell>
        </row>
        <row r="682">
          <cell r="AA682" t="str">
            <v>SUGSAW CREEKChinook</v>
          </cell>
          <cell r="AB682">
            <v>1</v>
          </cell>
          <cell r="AC682">
            <v>0</v>
          </cell>
          <cell r="AH682" t="str">
            <v>SUGSAW CREEKChinook</v>
          </cell>
          <cell r="AI682">
            <v>0</v>
          </cell>
          <cell r="AJ682">
            <v>0</v>
          </cell>
        </row>
        <row r="683">
          <cell r="AA683" t="str">
            <v>SUGSAW CREEKSteelhead</v>
          </cell>
          <cell r="AB683">
            <v>1</v>
          </cell>
          <cell r="AC683">
            <v>0</v>
          </cell>
          <cell r="AH683" t="str">
            <v>SUGSAW CREEKSteelhead</v>
          </cell>
          <cell r="AI683">
            <v>0</v>
          </cell>
          <cell r="AJ683">
            <v>0</v>
          </cell>
        </row>
        <row r="684">
          <cell r="AA684" t="str">
            <v>TAYLOR RIVERSockeye</v>
          </cell>
          <cell r="AB684">
            <v>0</v>
          </cell>
          <cell r="AC684">
            <v>0</v>
          </cell>
          <cell r="AH684" t="str">
            <v>TAYLOR RIVERSockeye</v>
          </cell>
          <cell r="AI684">
            <v>0</v>
          </cell>
          <cell r="AJ684">
            <v>0</v>
          </cell>
        </row>
        <row r="685">
          <cell r="AA685" t="str">
            <v>TAYLOR RIVERCoho</v>
          </cell>
          <cell r="AB685">
            <v>0</v>
          </cell>
          <cell r="AC685">
            <v>0</v>
          </cell>
          <cell r="AH685" t="str">
            <v>TAYLOR RIVERCoho</v>
          </cell>
          <cell r="AI685">
            <v>0</v>
          </cell>
          <cell r="AJ685">
            <v>0</v>
          </cell>
        </row>
        <row r="686">
          <cell r="AA686" t="str">
            <v>TAYLOR RIVERPink</v>
          </cell>
          <cell r="AB686">
            <v>0</v>
          </cell>
          <cell r="AC686">
            <v>0</v>
          </cell>
          <cell r="AH686" t="str">
            <v>TAYLOR RIVERPink</v>
          </cell>
          <cell r="AI686">
            <v>0</v>
          </cell>
          <cell r="AJ686">
            <v>0</v>
          </cell>
        </row>
        <row r="687">
          <cell r="AA687" t="str">
            <v>TAYLOR RIVERChum</v>
          </cell>
          <cell r="AB687">
            <v>0</v>
          </cell>
          <cell r="AC687">
            <v>0</v>
          </cell>
          <cell r="AH687" t="str">
            <v>TAYLOR RIVERChum</v>
          </cell>
          <cell r="AI687">
            <v>0</v>
          </cell>
          <cell r="AJ687">
            <v>0</v>
          </cell>
        </row>
        <row r="688">
          <cell r="AA688" t="str">
            <v>TAYLOR RIVERChinook</v>
          </cell>
          <cell r="AB688">
            <v>0</v>
          </cell>
          <cell r="AC688">
            <v>0</v>
          </cell>
          <cell r="AH688" t="str">
            <v>TAYLOR RIVERChinook</v>
          </cell>
          <cell r="AI688">
            <v>0</v>
          </cell>
          <cell r="AJ688">
            <v>0</v>
          </cell>
        </row>
        <row r="689">
          <cell r="AA689" t="str">
            <v>TAYLOR RIVERSteelhead</v>
          </cell>
          <cell r="AB689">
            <v>0</v>
          </cell>
          <cell r="AC689">
            <v>0</v>
          </cell>
          <cell r="AH689" t="str">
            <v>TAYLOR RIVERSteelhead</v>
          </cell>
          <cell r="AI689">
            <v>0</v>
          </cell>
          <cell r="AJ689">
            <v>0</v>
          </cell>
        </row>
        <row r="690">
          <cell r="AA690" t="str">
            <v>THORNTON CREEKSockeye</v>
          </cell>
          <cell r="AB690">
            <v>1</v>
          </cell>
          <cell r="AC690">
            <v>0</v>
          </cell>
          <cell r="AH690" t="str">
            <v>THORNTON CREEKSockeye</v>
          </cell>
          <cell r="AI690">
            <v>0</v>
          </cell>
          <cell r="AJ690">
            <v>0</v>
          </cell>
        </row>
        <row r="691">
          <cell r="AA691" t="str">
            <v>THORNTON CREEKCoho</v>
          </cell>
          <cell r="AB691">
            <v>1</v>
          </cell>
          <cell r="AC691">
            <v>350</v>
          </cell>
          <cell r="AH691" t="str">
            <v>THORNTON CREEKCoho</v>
          </cell>
          <cell r="AI691" t="str">
            <v>PL+D</v>
          </cell>
          <cell r="AJ691">
            <v>389</v>
          </cell>
        </row>
        <row r="692">
          <cell r="AA692" t="str">
            <v>THORNTON CREEKPink</v>
          </cell>
          <cell r="AB692">
            <v>1</v>
          </cell>
          <cell r="AC692">
            <v>0</v>
          </cell>
          <cell r="AH692" t="str">
            <v>THORNTON CREEKPink</v>
          </cell>
          <cell r="AI692">
            <v>0</v>
          </cell>
          <cell r="AJ692" t="str">
            <v>NO</v>
          </cell>
        </row>
        <row r="693">
          <cell r="AA693" t="str">
            <v>THORNTON CREEKChum</v>
          </cell>
          <cell r="AB693">
            <v>1</v>
          </cell>
          <cell r="AC693">
            <v>4</v>
          </cell>
          <cell r="AH693" t="str">
            <v>THORNTON CREEKChum</v>
          </cell>
          <cell r="AI693" t="str">
            <v>PL+D</v>
          </cell>
          <cell r="AJ693">
            <v>20</v>
          </cell>
        </row>
        <row r="694">
          <cell r="AA694" t="str">
            <v>THORNTON CREEKChinook</v>
          </cell>
          <cell r="AB694">
            <v>1</v>
          </cell>
          <cell r="AC694">
            <v>1600</v>
          </cell>
          <cell r="AH694" t="str">
            <v>THORNTON CREEKChinook</v>
          </cell>
          <cell r="AI694" t="str">
            <v>PL+D</v>
          </cell>
          <cell r="AJ694">
            <v>1777</v>
          </cell>
        </row>
        <row r="695">
          <cell r="AA695" t="str">
            <v>THORNTON CREEKSteelhead</v>
          </cell>
          <cell r="AB695">
            <v>1</v>
          </cell>
          <cell r="AC695">
            <v>0</v>
          </cell>
          <cell r="AH695" t="str">
            <v>THORNTON CREEKSteelhead</v>
          </cell>
          <cell r="AI695">
            <v>0</v>
          </cell>
          <cell r="AJ695">
            <v>0</v>
          </cell>
        </row>
        <row r="696">
          <cell r="AA696" t="str">
            <v>TOQUART RIVERSockeye</v>
          </cell>
          <cell r="AB696">
            <v>4</v>
          </cell>
          <cell r="AC696">
            <v>13</v>
          </cell>
          <cell r="AH696" t="str">
            <v>TOQUART RIVERSockeye</v>
          </cell>
          <cell r="AI696" t="str">
            <v>PL+D</v>
          </cell>
          <cell r="AJ696">
            <v>15</v>
          </cell>
        </row>
        <row r="697">
          <cell r="AA697" t="str">
            <v>TOQUART RIVERCoho</v>
          </cell>
          <cell r="AB697">
            <v>4</v>
          </cell>
          <cell r="AC697">
            <v>1256</v>
          </cell>
          <cell r="AH697" t="str">
            <v>TOQUART RIVERCoho</v>
          </cell>
          <cell r="AI697" t="str">
            <v>PL+D</v>
          </cell>
          <cell r="AJ697">
            <v>1282</v>
          </cell>
        </row>
        <row r="698">
          <cell r="AA698" t="str">
            <v>TOQUART RIVERPink</v>
          </cell>
          <cell r="AB698">
            <v>4</v>
          </cell>
          <cell r="AC698">
            <v>27</v>
          </cell>
          <cell r="AH698" t="str">
            <v>TOQUART RIVERPink</v>
          </cell>
          <cell r="AI698" t="str">
            <v>PL+D</v>
          </cell>
          <cell r="AJ698">
            <v>32</v>
          </cell>
        </row>
        <row r="699">
          <cell r="AA699" t="str">
            <v>TOQUART RIVERChum</v>
          </cell>
          <cell r="AB699">
            <v>4</v>
          </cell>
          <cell r="AC699">
            <v>3554</v>
          </cell>
          <cell r="AH699" t="str">
            <v>TOQUART RIVERChum</v>
          </cell>
          <cell r="AI699" t="str">
            <v>PL+D</v>
          </cell>
          <cell r="AJ699">
            <v>3949</v>
          </cell>
        </row>
        <row r="700">
          <cell r="AA700" t="str">
            <v>TOQUART RIVERChinook</v>
          </cell>
          <cell r="AB700">
            <v>4</v>
          </cell>
          <cell r="AC700">
            <v>224</v>
          </cell>
          <cell r="AH700" t="str">
            <v>TOQUART RIVERChinook</v>
          </cell>
          <cell r="AI700" t="str">
            <v>PL+D</v>
          </cell>
          <cell r="AJ700">
            <v>249</v>
          </cell>
        </row>
        <row r="701">
          <cell r="AA701" t="str">
            <v>TOQUART RIVERSteelhead</v>
          </cell>
          <cell r="AB701">
            <v>4</v>
          </cell>
          <cell r="AC701">
            <v>28</v>
          </cell>
          <cell r="AH701" t="str">
            <v>TOQUART RIVERSteelhead</v>
          </cell>
          <cell r="AI701" t="str">
            <v>PL+D</v>
          </cell>
          <cell r="AJ701">
            <v>28</v>
          </cell>
        </row>
        <row r="702">
          <cell r="AA702" t="str">
            <v>TWIN RIVERS EAST CREEKSockeye</v>
          </cell>
          <cell r="AB702">
            <v>2</v>
          </cell>
          <cell r="AC702">
            <v>0</v>
          </cell>
          <cell r="AH702" t="str">
            <v>TWIN RIVERS EAST CREEKSockeye</v>
          </cell>
          <cell r="AI702">
            <v>0</v>
          </cell>
          <cell r="AJ702">
            <v>0</v>
          </cell>
        </row>
        <row r="703">
          <cell r="AA703" t="str">
            <v>TWIN RIVERS EAST CREEKCoho</v>
          </cell>
          <cell r="AB703">
            <v>2</v>
          </cell>
          <cell r="AC703">
            <v>10</v>
          </cell>
          <cell r="AH703" t="str">
            <v>TWIN RIVERS EAST CREEKCoho</v>
          </cell>
          <cell r="AI703">
            <v>0</v>
          </cell>
          <cell r="AJ703" t="str">
            <v>AP</v>
          </cell>
        </row>
        <row r="704">
          <cell r="AA704" t="str">
            <v>TWIN RIVERS EAST CREEKPink</v>
          </cell>
          <cell r="AB704">
            <v>2</v>
          </cell>
          <cell r="AC704">
            <v>0</v>
          </cell>
          <cell r="AH704" t="str">
            <v>TWIN RIVERS EAST CREEKPink</v>
          </cell>
          <cell r="AI704">
            <v>0</v>
          </cell>
          <cell r="AJ704">
            <v>0</v>
          </cell>
        </row>
        <row r="705">
          <cell r="AA705" t="str">
            <v>TWIN RIVERS EAST CREEKChum</v>
          </cell>
          <cell r="AB705">
            <v>2</v>
          </cell>
          <cell r="AC705">
            <v>7</v>
          </cell>
          <cell r="AH705" t="str">
            <v>TWIN RIVERS EAST CREEKChum</v>
          </cell>
          <cell r="AI705">
            <v>0</v>
          </cell>
          <cell r="AJ705" t="str">
            <v>AP</v>
          </cell>
        </row>
        <row r="706">
          <cell r="AA706" t="str">
            <v>TWIN RIVERS EAST CREEKChinook</v>
          </cell>
          <cell r="AB706">
            <v>2</v>
          </cell>
          <cell r="AC706">
            <v>0</v>
          </cell>
          <cell r="AH706" t="str">
            <v>TWIN RIVERS EAST CREEKChinook</v>
          </cell>
          <cell r="AI706">
            <v>0</v>
          </cell>
          <cell r="AJ706">
            <v>0</v>
          </cell>
        </row>
        <row r="707">
          <cell r="AA707" t="str">
            <v>TWIN RIVERS EAST CREEKSteelhead</v>
          </cell>
          <cell r="AB707">
            <v>2</v>
          </cell>
          <cell r="AC707">
            <v>0</v>
          </cell>
          <cell r="AH707" t="str">
            <v>TWIN RIVERS EAST CREEKSteelhead</v>
          </cell>
          <cell r="AI707">
            <v>0</v>
          </cell>
          <cell r="AJ707">
            <v>0</v>
          </cell>
        </row>
        <row r="708">
          <cell r="AA708" t="str">
            <v>TWIN RIVERS WEST CREEKSockeye</v>
          </cell>
          <cell r="AB708">
            <v>1</v>
          </cell>
          <cell r="AC708">
            <v>0</v>
          </cell>
          <cell r="AH708" t="str">
            <v>TWIN RIVERS WEST CREEKSockeye</v>
          </cell>
          <cell r="AI708">
            <v>0</v>
          </cell>
          <cell r="AJ708">
            <v>0</v>
          </cell>
        </row>
        <row r="709">
          <cell r="AA709" t="str">
            <v>TWIN RIVERS WEST CREEKCoho</v>
          </cell>
          <cell r="AB709">
            <v>1</v>
          </cell>
          <cell r="AC709">
            <v>19</v>
          </cell>
          <cell r="AH709" t="str">
            <v>TWIN RIVERS WEST CREEKCoho</v>
          </cell>
          <cell r="AI709">
            <v>0</v>
          </cell>
          <cell r="AJ709" t="str">
            <v>AP</v>
          </cell>
        </row>
        <row r="710">
          <cell r="AA710" t="str">
            <v>TWIN RIVERS WEST CREEKPink</v>
          </cell>
          <cell r="AB710">
            <v>1</v>
          </cell>
          <cell r="AC710">
            <v>0</v>
          </cell>
          <cell r="AH710" t="str">
            <v>TWIN RIVERS WEST CREEKPink</v>
          </cell>
          <cell r="AI710">
            <v>0</v>
          </cell>
          <cell r="AJ710">
            <v>0</v>
          </cell>
        </row>
        <row r="711">
          <cell r="AA711" t="str">
            <v>TWIN RIVERS WEST CREEKChum</v>
          </cell>
          <cell r="AB711">
            <v>1</v>
          </cell>
          <cell r="AC711">
            <v>14</v>
          </cell>
          <cell r="AH711" t="str">
            <v>TWIN RIVERS WEST CREEKChum</v>
          </cell>
          <cell r="AI711">
            <v>0</v>
          </cell>
          <cell r="AJ711" t="str">
            <v>AP</v>
          </cell>
        </row>
        <row r="712">
          <cell r="AA712" t="str">
            <v>TWIN RIVERS WEST CREEKChinook</v>
          </cell>
          <cell r="AB712">
            <v>1</v>
          </cell>
          <cell r="AC712">
            <v>0</v>
          </cell>
          <cell r="AH712" t="str">
            <v>TWIN RIVERS WEST CREEKChinook</v>
          </cell>
          <cell r="AI712">
            <v>0</v>
          </cell>
          <cell r="AJ712">
            <v>0</v>
          </cell>
        </row>
        <row r="713">
          <cell r="AA713" t="str">
            <v>TWIN RIVERS WEST CREEKSteelhead</v>
          </cell>
          <cell r="AB713">
            <v>1</v>
          </cell>
          <cell r="AC713">
            <v>0</v>
          </cell>
          <cell r="AH713" t="str">
            <v>TWIN RIVERS WEST CREEKSteelhead</v>
          </cell>
          <cell r="AI713">
            <v>0</v>
          </cell>
          <cell r="AJ713">
            <v>0</v>
          </cell>
        </row>
        <row r="714">
          <cell r="AA714" t="str">
            <v>UCHUCK CREEKSockeye</v>
          </cell>
          <cell r="AB714">
            <v>2</v>
          </cell>
          <cell r="AC714">
            <v>0</v>
          </cell>
          <cell r="AH714" t="str">
            <v>UCHUCK CREEKSockeye</v>
          </cell>
          <cell r="AI714">
            <v>0</v>
          </cell>
          <cell r="AJ714">
            <v>0</v>
          </cell>
        </row>
        <row r="715">
          <cell r="AA715" t="str">
            <v>UCHUCK CREEKCoho</v>
          </cell>
          <cell r="AB715">
            <v>2</v>
          </cell>
          <cell r="AC715">
            <v>35</v>
          </cell>
          <cell r="AH715" t="str">
            <v>UCHUCK CREEKCoho</v>
          </cell>
          <cell r="AI715" t="str">
            <v>PL+D</v>
          </cell>
          <cell r="AJ715">
            <v>36</v>
          </cell>
        </row>
        <row r="716">
          <cell r="AA716" t="str">
            <v>UCHUCK CREEKPink</v>
          </cell>
          <cell r="AB716">
            <v>2</v>
          </cell>
          <cell r="AC716">
            <v>0</v>
          </cell>
          <cell r="AH716" t="str">
            <v>UCHUCK CREEKPink</v>
          </cell>
          <cell r="AI716">
            <v>0</v>
          </cell>
          <cell r="AJ716">
            <v>0</v>
          </cell>
        </row>
        <row r="717">
          <cell r="AA717" t="str">
            <v>UCHUCK CREEKChum</v>
          </cell>
          <cell r="AB717">
            <v>2</v>
          </cell>
          <cell r="AC717">
            <v>200</v>
          </cell>
          <cell r="AH717" t="str">
            <v>UCHUCK CREEKChum</v>
          </cell>
          <cell r="AI717" t="str">
            <v>PL+D</v>
          </cell>
          <cell r="AJ717">
            <v>204</v>
          </cell>
        </row>
        <row r="718">
          <cell r="AA718" t="str">
            <v>UCHUCK CREEKChinook</v>
          </cell>
          <cell r="AB718">
            <v>2</v>
          </cell>
          <cell r="AC718">
            <v>6</v>
          </cell>
          <cell r="AH718" t="str">
            <v>UCHUCK CREEKChinook</v>
          </cell>
          <cell r="AI718">
            <v>0</v>
          </cell>
          <cell r="AJ718" t="str">
            <v>AP</v>
          </cell>
        </row>
        <row r="719">
          <cell r="AA719" t="str">
            <v>UCHUCK CREEKSteelhead</v>
          </cell>
          <cell r="AB719">
            <v>2</v>
          </cell>
          <cell r="AC719">
            <v>0</v>
          </cell>
          <cell r="AH719" t="str">
            <v>UCHUCK CREEKSteelhead</v>
          </cell>
          <cell r="AI719">
            <v>0</v>
          </cell>
          <cell r="AJ719">
            <v>0</v>
          </cell>
        </row>
        <row r="720">
          <cell r="AA720" t="str">
            <v>USELESS CREEKSockeye</v>
          </cell>
          <cell r="AB720">
            <v>0</v>
          </cell>
          <cell r="AC720">
            <v>0</v>
          </cell>
          <cell r="AH720" t="str">
            <v>USELESS CREEKSockeye</v>
          </cell>
          <cell r="AI720">
            <v>0</v>
          </cell>
          <cell r="AJ720">
            <v>0</v>
          </cell>
        </row>
        <row r="721">
          <cell r="AA721" t="str">
            <v>USELESS CREEKCoho</v>
          </cell>
          <cell r="AB721">
            <v>0</v>
          </cell>
          <cell r="AC721">
            <v>0</v>
          </cell>
          <cell r="AH721" t="str">
            <v>USELESS CREEKCoho</v>
          </cell>
          <cell r="AI721">
            <v>0</v>
          </cell>
          <cell r="AJ721">
            <v>0</v>
          </cell>
        </row>
        <row r="722">
          <cell r="AA722" t="str">
            <v>USELESS CREEKPink</v>
          </cell>
          <cell r="AB722">
            <v>0</v>
          </cell>
          <cell r="AC722">
            <v>0</v>
          </cell>
          <cell r="AH722" t="str">
            <v>USELESS CREEKPink</v>
          </cell>
          <cell r="AI722">
            <v>0</v>
          </cell>
          <cell r="AJ722">
            <v>0</v>
          </cell>
        </row>
        <row r="723">
          <cell r="AA723" t="str">
            <v>USELESS CREEKChum</v>
          </cell>
          <cell r="AB723">
            <v>0</v>
          </cell>
          <cell r="AC723">
            <v>0</v>
          </cell>
          <cell r="AH723" t="str">
            <v>USELESS CREEKChum</v>
          </cell>
          <cell r="AI723">
            <v>0</v>
          </cell>
          <cell r="AJ723">
            <v>0</v>
          </cell>
        </row>
        <row r="724">
          <cell r="AA724" t="str">
            <v>USELESS CREEKChinook</v>
          </cell>
          <cell r="AB724">
            <v>0</v>
          </cell>
          <cell r="AC724">
            <v>0</v>
          </cell>
          <cell r="AH724" t="str">
            <v>USELESS CREEKChinook</v>
          </cell>
          <cell r="AI724">
            <v>0</v>
          </cell>
          <cell r="AJ724">
            <v>0</v>
          </cell>
        </row>
        <row r="725">
          <cell r="AA725" t="str">
            <v>USELESS CREEKSteelhead</v>
          </cell>
          <cell r="AB725">
            <v>0</v>
          </cell>
          <cell r="AC725">
            <v>0</v>
          </cell>
          <cell r="AH725" t="str">
            <v>USELESS CREEKSteelhead</v>
          </cell>
          <cell r="AI725">
            <v>0</v>
          </cell>
          <cell r="AJ725">
            <v>0</v>
          </cell>
        </row>
        <row r="726">
          <cell r="AA726" t="str">
            <v>VERNON BAY CREEKSockeye</v>
          </cell>
          <cell r="AB726">
            <v>0</v>
          </cell>
          <cell r="AC726">
            <v>0</v>
          </cell>
          <cell r="AH726" t="str">
            <v>VERNON BAY CREEKSockeye</v>
          </cell>
          <cell r="AI726">
            <v>0</v>
          </cell>
          <cell r="AJ726">
            <v>0</v>
          </cell>
        </row>
        <row r="727">
          <cell r="AA727" t="str">
            <v>VERNON BAY CREEKCoho</v>
          </cell>
          <cell r="AB727">
            <v>0</v>
          </cell>
          <cell r="AC727">
            <v>0</v>
          </cell>
          <cell r="AH727" t="str">
            <v>VERNON BAY CREEKCoho</v>
          </cell>
          <cell r="AI727">
            <v>0</v>
          </cell>
          <cell r="AJ727">
            <v>0</v>
          </cell>
        </row>
        <row r="728">
          <cell r="AA728" t="str">
            <v>VERNON BAY CREEKPink</v>
          </cell>
          <cell r="AB728">
            <v>0</v>
          </cell>
          <cell r="AC728">
            <v>0</v>
          </cell>
          <cell r="AH728" t="str">
            <v>VERNON BAY CREEKPink</v>
          </cell>
          <cell r="AI728">
            <v>0</v>
          </cell>
          <cell r="AJ728">
            <v>0</v>
          </cell>
        </row>
        <row r="729">
          <cell r="AA729" t="str">
            <v>VERNON BAY CREEKChum</v>
          </cell>
          <cell r="AB729">
            <v>0</v>
          </cell>
          <cell r="AC729">
            <v>0</v>
          </cell>
          <cell r="AH729" t="str">
            <v>VERNON BAY CREEKChum</v>
          </cell>
          <cell r="AI729">
            <v>0</v>
          </cell>
          <cell r="AJ729">
            <v>0</v>
          </cell>
        </row>
        <row r="730">
          <cell r="AA730" t="str">
            <v>VERNON BAY CREEKChinook</v>
          </cell>
          <cell r="AB730">
            <v>0</v>
          </cell>
          <cell r="AC730">
            <v>0</v>
          </cell>
          <cell r="AH730" t="str">
            <v>VERNON BAY CREEKChinook</v>
          </cell>
          <cell r="AI730">
            <v>0</v>
          </cell>
          <cell r="AJ730">
            <v>0</v>
          </cell>
        </row>
        <row r="731">
          <cell r="AA731" t="str">
            <v>VERNON BAY CREEKSteelhead</v>
          </cell>
          <cell r="AB731">
            <v>0</v>
          </cell>
          <cell r="AC731">
            <v>0</v>
          </cell>
          <cell r="AH731" t="str">
            <v>VERNON BAY CREEKSteelhead</v>
          </cell>
          <cell r="AI731">
            <v>0</v>
          </cell>
          <cell r="AJ731">
            <v>0</v>
          </cell>
        </row>
        <row r="732">
          <cell r="AA732" t="str">
            <v>WALLACE CREEKSockeye</v>
          </cell>
          <cell r="AB732">
            <v>0</v>
          </cell>
          <cell r="AC732">
            <v>0</v>
          </cell>
          <cell r="AH732" t="str">
            <v>WALLACE CREEKSockeye</v>
          </cell>
          <cell r="AI732">
            <v>0</v>
          </cell>
          <cell r="AJ732">
            <v>0</v>
          </cell>
        </row>
        <row r="733">
          <cell r="AA733" t="str">
            <v>WALLACE CREEKCoho</v>
          </cell>
          <cell r="AB733">
            <v>0</v>
          </cell>
          <cell r="AC733">
            <v>0</v>
          </cell>
          <cell r="AH733" t="str">
            <v>WALLACE CREEKCoho</v>
          </cell>
          <cell r="AI733">
            <v>0</v>
          </cell>
          <cell r="AJ733">
            <v>0</v>
          </cell>
        </row>
        <row r="734">
          <cell r="AA734" t="str">
            <v>WALLACE CREEKPink</v>
          </cell>
          <cell r="AB734">
            <v>0</v>
          </cell>
          <cell r="AC734">
            <v>0</v>
          </cell>
          <cell r="AH734" t="str">
            <v>WALLACE CREEKPink</v>
          </cell>
          <cell r="AI734">
            <v>0</v>
          </cell>
          <cell r="AJ734">
            <v>0</v>
          </cell>
        </row>
        <row r="735">
          <cell r="AA735" t="str">
            <v>WALLACE CREEKChum</v>
          </cell>
          <cell r="AB735">
            <v>0</v>
          </cell>
          <cell r="AC735">
            <v>0</v>
          </cell>
          <cell r="AH735" t="str">
            <v>WALLACE CREEKChum</v>
          </cell>
          <cell r="AI735">
            <v>0</v>
          </cell>
          <cell r="AJ735">
            <v>0</v>
          </cell>
        </row>
        <row r="736">
          <cell r="AA736" t="str">
            <v>WALLACE CREEKChinook</v>
          </cell>
          <cell r="AB736">
            <v>0</v>
          </cell>
          <cell r="AC736">
            <v>0</v>
          </cell>
          <cell r="AH736" t="str">
            <v>WALLACE CREEKChinook</v>
          </cell>
          <cell r="AI736">
            <v>0</v>
          </cell>
          <cell r="AJ736">
            <v>0</v>
          </cell>
        </row>
        <row r="737">
          <cell r="AA737" t="str">
            <v>WALLACE CREEKSteelhead</v>
          </cell>
          <cell r="AB737">
            <v>0</v>
          </cell>
          <cell r="AC737">
            <v>0</v>
          </cell>
          <cell r="AH737" t="str">
            <v>WALLACE CREEKSteelhead</v>
          </cell>
          <cell r="AI737">
            <v>0</v>
          </cell>
          <cell r="AJ737">
            <v>0</v>
          </cell>
        </row>
        <row r="738">
          <cell r="AA738" t="str">
            <v>BULSON CREEKSockeye</v>
          </cell>
          <cell r="AB738">
            <v>0</v>
          </cell>
          <cell r="AC738">
            <v>0</v>
          </cell>
          <cell r="AH738" t="str">
            <v>BULSON CREEKSockeye</v>
          </cell>
          <cell r="AI738">
            <v>0</v>
          </cell>
          <cell r="AJ738">
            <v>0</v>
          </cell>
        </row>
        <row r="739">
          <cell r="AA739" t="str">
            <v>BULSON CREEKCoho</v>
          </cell>
          <cell r="AB739">
            <v>0</v>
          </cell>
          <cell r="AC739">
            <v>0</v>
          </cell>
          <cell r="AH739" t="str">
            <v>BULSON CREEKCoho</v>
          </cell>
          <cell r="AI739">
            <v>0</v>
          </cell>
          <cell r="AJ739">
            <v>0</v>
          </cell>
        </row>
        <row r="740">
          <cell r="AA740" t="str">
            <v>BULSON CREEKPink</v>
          </cell>
          <cell r="AB740">
            <v>0</v>
          </cell>
          <cell r="AC740">
            <v>0</v>
          </cell>
          <cell r="AH740" t="str">
            <v>BULSON CREEKPink</v>
          </cell>
          <cell r="AI740">
            <v>0</v>
          </cell>
          <cell r="AJ740">
            <v>0</v>
          </cell>
        </row>
        <row r="741">
          <cell r="AA741" t="str">
            <v>BULSON CREEKChum</v>
          </cell>
          <cell r="AB741">
            <v>0</v>
          </cell>
          <cell r="AC741">
            <v>0</v>
          </cell>
          <cell r="AH741" t="str">
            <v>BULSON CREEKChum</v>
          </cell>
          <cell r="AI741">
            <v>0</v>
          </cell>
          <cell r="AJ741">
            <v>0</v>
          </cell>
        </row>
        <row r="742">
          <cell r="AA742" t="str">
            <v>BULSON CREEKChinook</v>
          </cell>
          <cell r="AB742">
            <v>0</v>
          </cell>
          <cell r="AC742">
            <v>0</v>
          </cell>
          <cell r="AH742" t="str">
            <v>BULSON CREEKChinook</v>
          </cell>
          <cell r="AI742">
            <v>0</v>
          </cell>
          <cell r="AJ742">
            <v>0</v>
          </cell>
        </row>
        <row r="743">
          <cell r="AA743" t="str">
            <v>BULSON CREEKSteelhead</v>
          </cell>
          <cell r="AB743">
            <v>0</v>
          </cell>
          <cell r="AC743">
            <v>0</v>
          </cell>
          <cell r="AH743" t="str">
            <v>BULSON CREEKSteelhead</v>
          </cell>
          <cell r="AI743">
            <v>0</v>
          </cell>
          <cell r="AJ743">
            <v>0</v>
          </cell>
        </row>
        <row r="744">
          <cell r="AA744" t="str">
            <v>CECILIA CREEKSockeye</v>
          </cell>
          <cell r="AB744">
            <v>0</v>
          </cell>
          <cell r="AC744">
            <v>0</v>
          </cell>
          <cell r="AH744" t="str">
            <v>CECILIA CREEKSockeye</v>
          </cell>
          <cell r="AI744">
            <v>0</v>
          </cell>
          <cell r="AJ744">
            <v>0</v>
          </cell>
        </row>
        <row r="745">
          <cell r="AA745" t="str">
            <v>CECILIA CREEKCoho</v>
          </cell>
          <cell r="AB745">
            <v>0</v>
          </cell>
          <cell r="AC745">
            <v>0</v>
          </cell>
          <cell r="AH745" t="str">
            <v>CECILIA CREEKCoho</v>
          </cell>
          <cell r="AI745">
            <v>0</v>
          </cell>
          <cell r="AJ745">
            <v>0</v>
          </cell>
        </row>
        <row r="746">
          <cell r="AA746" t="str">
            <v>CECILIA CREEKPink</v>
          </cell>
          <cell r="AB746">
            <v>0</v>
          </cell>
          <cell r="AC746">
            <v>0</v>
          </cell>
          <cell r="AH746" t="str">
            <v>CECILIA CREEKPink</v>
          </cell>
          <cell r="AI746">
            <v>0</v>
          </cell>
          <cell r="AJ746">
            <v>0</v>
          </cell>
        </row>
        <row r="747">
          <cell r="AA747" t="str">
            <v>CECILIA CREEKChum</v>
          </cell>
          <cell r="AB747">
            <v>0</v>
          </cell>
          <cell r="AC747">
            <v>0</v>
          </cell>
          <cell r="AH747" t="str">
            <v>CECILIA CREEKChum</v>
          </cell>
          <cell r="AI747">
            <v>0</v>
          </cell>
          <cell r="AJ747">
            <v>0</v>
          </cell>
        </row>
        <row r="748">
          <cell r="AA748" t="str">
            <v>CECILIA CREEKChinook</v>
          </cell>
          <cell r="AB748">
            <v>0</v>
          </cell>
          <cell r="AC748">
            <v>0</v>
          </cell>
          <cell r="AH748" t="str">
            <v>CECILIA CREEKChinook</v>
          </cell>
          <cell r="AI748">
            <v>0</v>
          </cell>
          <cell r="AJ748">
            <v>0</v>
          </cell>
        </row>
        <row r="749">
          <cell r="AA749" t="str">
            <v>CECILIA CREEKSteelhead</v>
          </cell>
          <cell r="AB749">
            <v>0</v>
          </cell>
          <cell r="AC749">
            <v>0</v>
          </cell>
          <cell r="AH749" t="str">
            <v>CECILIA CREEKSteelhead</v>
          </cell>
          <cell r="AI749">
            <v>0</v>
          </cell>
          <cell r="AJ749">
            <v>0</v>
          </cell>
        </row>
        <row r="750">
          <cell r="AA750" t="str">
            <v>CLAYOQUOT ARM BEACHESSockeye</v>
          </cell>
          <cell r="AB750">
            <v>1</v>
          </cell>
          <cell r="AC750">
            <v>199</v>
          </cell>
          <cell r="AH750" t="str">
            <v>CLAYOQUOT ARM BEACHESSockeye</v>
          </cell>
          <cell r="AI750">
            <v>0</v>
          </cell>
          <cell r="AJ750">
            <v>0</v>
          </cell>
        </row>
        <row r="751">
          <cell r="AA751" t="str">
            <v>CLAYOQUOT ARM BEACHESCoho</v>
          </cell>
          <cell r="AB751">
            <v>1</v>
          </cell>
          <cell r="AC751">
            <v>0</v>
          </cell>
          <cell r="AH751" t="str">
            <v>CLAYOQUOT ARM BEACHESCoho</v>
          </cell>
          <cell r="AI751">
            <v>0</v>
          </cell>
          <cell r="AJ751">
            <v>0</v>
          </cell>
        </row>
        <row r="752">
          <cell r="AA752" t="str">
            <v>CLAYOQUOT ARM BEACHESPink</v>
          </cell>
          <cell r="AB752">
            <v>1</v>
          </cell>
          <cell r="AC752">
            <v>0</v>
          </cell>
          <cell r="AH752" t="str">
            <v>CLAYOQUOT ARM BEACHESPink</v>
          </cell>
          <cell r="AI752">
            <v>0</v>
          </cell>
          <cell r="AJ752">
            <v>0</v>
          </cell>
        </row>
        <row r="753">
          <cell r="AA753" t="str">
            <v>CLAYOQUOT ARM BEACHESChum</v>
          </cell>
          <cell r="AB753">
            <v>1</v>
          </cell>
          <cell r="AC753">
            <v>0</v>
          </cell>
          <cell r="AH753" t="str">
            <v>CLAYOQUOT ARM BEACHESChum</v>
          </cell>
          <cell r="AI753">
            <v>0</v>
          </cell>
          <cell r="AJ753">
            <v>0</v>
          </cell>
        </row>
        <row r="754">
          <cell r="AA754" t="str">
            <v>CLAYOQUOT ARM BEACHESChinook</v>
          </cell>
          <cell r="AB754">
            <v>1</v>
          </cell>
          <cell r="AC754">
            <v>0</v>
          </cell>
          <cell r="AH754" t="str">
            <v>CLAYOQUOT ARM BEACHESChinook</v>
          </cell>
          <cell r="AI754">
            <v>0</v>
          </cell>
          <cell r="AJ754">
            <v>0</v>
          </cell>
        </row>
        <row r="755">
          <cell r="AA755" t="str">
            <v>CLAYOQUOT ARM BEACHESSteelhead</v>
          </cell>
          <cell r="AB755">
            <v>1</v>
          </cell>
          <cell r="AC755">
            <v>0</v>
          </cell>
          <cell r="AH755" t="str">
            <v>CLAYOQUOT ARM BEACHESSteelhead</v>
          </cell>
          <cell r="AI755">
            <v>0</v>
          </cell>
          <cell r="AJ755">
            <v>0</v>
          </cell>
        </row>
        <row r="756">
          <cell r="AA756" t="str">
            <v>CLAYOQUOT RIVERSockeye</v>
          </cell>
          <cell r="AB756">
            <v>0</v>
          </cell>
          <cell r="AC756">
            <v>0</v>
          </cell>
          <cell r="AH756" t="str">
            <v>CLAYOQUOT RIVERSockeye</v>
          </cell>
          <cell r="AI756">
            <v>0</v>
          </cell>
          <cell r="AJ756">
            <v>0</v>
          </cell>
        </row>
        <row r="757">
          <cell r="AA757" t="str">
            <v>CLAYOQUOT RIVERCoho</v>
          </cell>
          <cell r="AB757">
            <v>0</v>
          </cell>
          <cell r="AC757">
            <v>0</v>
          </cell>
          <cell r="AH757" t="str">
            <v>CLAYOQUOT RIVERCoho</v>
          </cell>
          <cell r="AI757">
            <v>0</v>
          </cell>
          <cell r="AJ757">
            <v>0</v>
          </cell>
        </row>
        <row r="758">
          <cell r="AA758" t="str">
            <v>CLAYOQUOT RIVERPink</v>
          </cell>
          <cell r="AB758">
            <v>0</v>
          </cell>
          <cell r="AC758">
            <v>0</v>
          </cell>
          <cell r="AH758" t="str">
            <v>CLAYOQUOT RIVERPink</v>
          </cell>
          <cell r="AI758">
            <v>0</v>
          </cell>
          <cell r="AJ758">
            <v>0</v>
          </cell>
        </row>
        <row r="759">
          <cell r="AA759" t="str">
            <v>CLAYOQUOT RIVERChum</v>
          </cell>
          <cell r="AB759">
            <v>0</v>
          </cell>
          <cell r="AC759">
            <v>0</v>
          </cell>
          <cell r="AH759" t="str">
            <v>CLAYOQUOT RIVERChum</v>
          </cell>
          <cell r="AI759">
            <v>0</v>
          </cell>
          <cell r="AJ759">
            <v>0</v>
          </cell>
        </row>
        <row r="760">
          <cell r="AA760" t="str">
            <v>CLAYOQUOT RIVERChinook</v>
          </cell>
          <cell r="AB760">
            <v>0</v>
          </cell>
          <cell r="AC760">
            <v>0</v>
          </cell>
          <cell r="AH760" t="str">
            <v>CLAYOQUOT RIVERChinook</v>
          </cell>
          <cell r="AI760">
            <v>0</v>
          </cell>
          <cell r="AJ760">
            <v>0</v>
          </cell>
        </row>
        <row r="761">
          <cell r="AA761" t="str">
            <v>CLAYOQUOT RIVERSteelhead</v>
          </cell>
          <cell r="AB761">
            <v>0</v>
          </cell>
          <cell r="AC761">
            <v>0</v>
          </cell>
          <cell r="AH761" t="str">
            <v>CLAYOQUOT RIVERSteelhead</v>
          </cell>
          <cell r="AI761">
            <v>0</v>
          </cell>
          <cell r="AJ761">
            <v>0</v>
          </cell>
        </row>
        <row r="762">
          <cell r="AA762" t="str">
            <v>CLAYOQUOT RIVER (LOWER)Sockeye</v>
          </cell>
          <cell r="AB762">
            <v>0</v>
          </cell>
          <cell r="AC762">
            <v>0</v>
          </cell>
          <cell r="AH762" t="str">
            <v>CLAYOQUOT RIVER (LOWER)Sockeye</v>
          </cell>
          <cell r="AI762">
            <v>0</v>
          </cell>
          <cell r="AJ762">
            <v>0</v>
          </cell>
        </row>
        <row r="763">
          <cell r="AA763" t="str">
            <v>CLAYOQUOT RIVER (LOWER)Coho</v>
          </cell>
          <cell r="AB763">
            <v>0</v>
          </cell>
          <cell r="AC763">
            <v>0</v>
          </cell>
          <cell r="AH763" t="str">
            <v>CLAYOQUOT RIVER (LOWER)Coho</v>
          </cell>
          <cell r="AI763">
            <v>0</v>
          </cell>
          <cell r="AJ763">
            <v>0</v>
          </cell>
        </row>
        <row r="764">
          <cell r="AA764" t="str">
            <v>CLAYOQUOT RIVER (LOWER)Pink</v>
          </cell>
          <cell r="AB764">
            <v>0</v>
          </cell>
          <cell r="AC764">
            <v>0</v>
          </cell>
          <cell r="AH764" t="str">
            <v>CLAYOQUOT RIVER (LOWER)Pink</v>
          </cell>
          <cell r="AI764">
            <v>0</v>
          </cell>
          <cell r="AJ764">
            <v>0</v>
          </cell>
        </row>
        <row r="765">
          <cell r="AA765" t="str">
            <v>CLAYOQUOT RIVER (LOWER)Chum</v>
          </cell>
          <cell r="AB765">
            <v>0</v>
          </cell>
          <cell r="AC765">
            <v>0</v>
          </cell>
          <cell r="AH765" t="str">
            <v>CLAYOQUOT RIVER (LOWER)Chum</v>
          </cell>
          <cell r="AI765">
            <v>0</v>
          </cell>
          <cell r="AJ765">
            <v>0</v>
          </cell>
        </row>
        <row r="766">
          <cell r="AA766" t="str">
            <v>CLAYOQUOT RIVER (LOWER)Chinook</v>
          </cell>
          <cell r="AB766">
            <v>0</v>
          </cell>
          <cell r="AC766">
            <v>0</v>
          </cell>
          <cell r="AH766" t="str">
            <v>CLAYOQUOT RIVER (LOWER)Chinook</v>
          </cell>
          <cell r="AI766">
            <v>0</v>
          </cell>
          <cell r="AJ766">
            <v>0</v>
          </cell>
        </row>
        <row r="767">
          <cell r="AA767" t="str">
            <v>CLAYOQUOT RIVER (LOWER)Steelhead</v>
          </cell>
          <cell r="AB767">
            <v>0</v>
          </cell>
          <cell r="AC767">
            <v>0</v>
          </cell>
          <cell r="AH767" t="str">
            <v>CLAYOQUOT RIVER (LOWER)Steelhead</v>
          </cell>
          <cell r="AI767">
            <v>0</v>
          </cell>
          <cell r="AJ767">
            <v>0</v>
          </cell>
        </row>
        <row r="768">
          <cell r="AA768" t="str">
            <v>CLAYOQUOT RIVER (UPPER)Sockeye</v>
          </cell>
          <cell r="AB768">
            <v>0</v>
          </cell>
          <cell r="AC768">
            <v>0</v>
          </cell>
          <cell r="AH768" t="str">
            <v>CLAYOQUOT RIVER (UPPER)Sockeye</v>
          </cell>
          <cell r="AI768">
            <v>0</v>
          </cell>
          <cell r="AJ768">
            <v>0</v>
          </cell>
        </row>
        <row r="769">
          <cell r="AA769" t="str">
            <v>CLAYOQUOT RIVER (UPPER)Coho</v>
          </cell>
          <cell r="AB769">
            <v>0</v>
          </cell>
          <cell r="AC769">
            <v>0</v>
          </cell>
          <cell r="AH769" t="str">
            <v>CLAYOQUOT RIVER (UPPER)Coho</v>
          </cell>
          <cell r="AI769">
            <v>0</v>
          </cell>
          <cell r="AJ769">
            <v>0</v>
          </cell>
        </row>
        <row r="770">
          <cell r="AA770" t="str">
            <v>CLAYOQUOT RIVER (UPPER)Pink</v>
          </cell>
          <cell r="AB770">
            <v>0</v>
          </cell>
          <cell r="AC770">
            <v>0</v>
          </cell>
          <cell r="AH770" t="str">
            <v>CLAYOQUOT RIVER (UPPER)Pink</v>
          </cell>
          <cell r="AI770">
            <v>0</v>
          </cell>
          <cell r="AJ770">
            <v>0</v>
          </cell>
        </row>
        <row r="771">
          <cell r="AA771" t="str">
            <v>CLAYOQUOT RIVER (UPPER)Chum</v>
          </cell>
          <cell r="AB771">
            <v>0</v>
          </cell>
          <cell r="AC771">
            <v>0</v>
          </cell>
          <cell r="AH771" t="str">
            <v>CLAYOQUOT RIVER (UPPER)Chum</v>
          </cell>
          <cell r="AI771">
            <v>0</v>
          </cell>
          <cell r="AJ771">
            <v>0</v>
          </cell>
        </row>
        <row r="772">
          <cell r="AA772" t="str">
            <v>CLAYOQUOT RIVER (UPPER)Chinook</v>
          </cell>
          <cell r="AB772">
            <v>0</v>
          </cell>
          <cell r="AC772">
            <v>0</v>
          </cell>
          <cell r="AH772" t="str">
            <v>CLAYOQUOT RIVER (UPPER)Chinook</v>
          </cell>
          <cell r="AI772">
            <v>0</v>
          </cell>
          <cell r="AJ772">
            <v>0</v>
          </cell>
        </row>
        <row r="773">
          <cell r="AA773" t="str">
            <v>CLAYOQUOT RIVER (UPPER)Steelhead</v>
          </cell>
          <cell r="AB773">
            <v>0</v>
          </cell>
          <cell r="AC773">
            <v>0</v>
          </cell>
          <cell r="AH773" t="str">
            <v>CLAYOQUOT RIVER (UPPER)Steelhead</v>
          </cell>
          <cell r="AI773">
            <v>0</v>
          </cell>
          <cell r="AJ773">
            <v>0</v>
          </cell>
        </row>
        <row r="774">
          <cell r="AA774" t="str">
            <v>CLOSE CREEKS (2)Sockeye</v>
          </cell>
          <cell r="AB774">
            <v>0</v>
          </cell>
          <cell r="AC774">
            <v>0</v>
          </cell>
          <cell r="AH774" t="str">
            <v>CLOSE CREEKS (2)Sockeye</v>
          </cell>
          <cell r="AI774">
            <v>0</v>
          </cell>
          <cell r="AJ774">
            <v>0</v>
          </cell>
        </row>
        <row r="775">
          <cell r="AA775" t="str">
            <v>CLOSE CREEKS (2)Coho</v>
          </cell>
          <cell r="AB775">
            <v>0</v>
          </cell>
          <cell r="AC775">
            <v>0</v>
          </cell>
          <cell r="AH775" t="str">
            <v>CLOSE CREEKS (2)Coho</v>
          </cell>
          <cell r="AI775">
            <v>0</v>
          </cell>
          <cell r="AJ775">
            <v>0</v>
          </cell>
        </row>
        <row r="776">
          <cell r="AA776" t="str">
            <v>CLOSE CREEKS (2)Pink</v>
          </cell>
          <cell r="AB776">
            <v>0</v>
          </cell>
          <cell r="AC776">
            <v>0</v>
          </cell>
          <cell r="AH776" t="str">
            <v>CLOSE CREEKS (2)Pink</v>
          </cell>
          <cell r="AI776">
            <v>0</v>
          </cell>
          <cell r="AJ776">
            <v>0</v>
          </cell>
        </row>
        <row r="777">
          <cell r="AA777" t="str">
            <v>CLOSE CREEKS (2)Chum</v>
          </cell>
          <cell r="AB777">
            <v>0</v>
          </cell>
          <cell r="AC777">
            <v>0</v>
          </cell>
          <cell r="AH777" t="str">
            <v>CLOSE CREEKS (2)Chum</v>
          </cell>
          <cell r="AI777">
            <v>0</v>
          </cell>
          <cell r="AJ777">
            <v>0</v>
          </cell>
        </row>
        <row r="778">
          <cell r="AA778" t="str">
            <v>CLOSE CREEKS (2)Chinook</v>
          </cell>
          <cell r="AB778">
            <v>0</v>
          </cell>
          <cell r="AC778">
            <v>0</v>
          </cell>
          <cell r="AH778" t="str">
            <v>CLOSE CREEKS (2)Chinook</v>
          </cell>
          <cell r="AI778">
            <v>0</v>
          </cell>
          <cell r="AJ778">
            <v>0</v>
          </cell>
        </row>
        <row r="779">
          <cell r="AA779" t="str">
            <v>CLOSE CREEKS (2)Steelhead</v>
          </cell>
          <cell r="AB779">
            <v>0</v>
          </cell>
          <cell r="AC779">
            <v>0</v>
          </cell>
          <cell r="AH779" t="str">
            <v>CLOSE CREEKS (2)Steelhead</v>
          </cell>
          <cell r="AI779">
            <v>0</v>
          </cell>
          <cell r="AJ779">
            <v>0</v>
          </cell>
        </row>
        <row r="780">
          <cell r="AA780" t="str">
            <v>COLD CREEKSockeye</v>
          </cell>
          <cell r="AB780">
            <v>1</v>
          </cell>
          <cell r="AC780">
            <v>0</v>
          </cell>
          <cell r="AH780" t="str">
            <v>COLD CREEKSockeye</v>
          </cell>
          <cell r="AI780">
            <v>0</v>
          </cell>
          <cell r="AJ780" t="str">
            <v>NO</v>
          </cell>
        </row>
        <row r="781">
          <cell r="AA781" t="str">
            <v>COLD CREEKCoho</v>
          </cell>
          <cell r="AB781">
            <v>1</v>
          </cell>
          <cell r="AC781">
            <v>22</v>
          </cell>
          <cell r="AH781" t="str">
            <v>COLD CREEKCoho</v>
          </cell>
          <cell r="AI781" t="str">
            <v>PL+D</v>
          </cell>
          <cell r="AJ781">
            <v>23</v>
          </cell>
        </row>
        <row r="782">
          <cell r="AA782" t="str">
            <v>COLD CREEKPink</v>
          </cell>
          <cell r="AB782">
            <v>1</v>
          </cell>
          <cell r="AC782">
            <v>0</v>
          </cell>
          <cell r="AH782" t="str">
            <v>COLD CREEKPink</v>
          </cell>
          <cell r="AI782">
            <v>0</v>
          </cell>
          <cell r="AJ782">
            <v>0</v>
          </cell>
        </row>
        <row r="783">
          <cell r="AA783" t="str">
            <v>COLD CREEKChum</v>
          </cell>
          <cell r="AB783">
            <v>1</v>
          </cell>
          <cell r="AC783">
            <v>0</v>
          </cell>
          <cell r="AH783" t="str">
            <v>COLD CREEKChum</v>
          </cell>
          <cell r="AI783">
            <v>0</v>
          </cell>
          <cell r="AJ783" t="str">
            <v>NO</v>
          </cell>
        </row>
        <row r="784">
          <cell r="AA784" t="str">
            <v>COLD CREEKChinook</v>
          </cell>
          <cell r="AB784">
            <v>1</v>
          </cell>
          <cell r="AC784">
            <v>0</v>
          </cell>
          <cell r="AH784" t="str">
            <v>COLD CREEKChinook</v>
          </cell>
          <cell r="AI784">
            <v>0</v>
          </cell>
          <cell r="AJ784">
            <v>0</v>
          </cell>
        </row>
        <row r="785">
          <cell r="AA785" t="str">
            <v>COLD CREEKSteelhead</v>
          </cell>
          <cell r="AB785">
            <v>1</v>
          </cell>
          <cell r="AC785">
            <v>0</v>
          </cell>
          <cell r="AH785" t="str">
            <v>COLD CREEKSteelhead</v>
          </cell>
          <cell r="AI785">
            <v>0</v>
          </cell>
          <cell r="AJ785">
            <v>0</v>
          </cell>
        </row>
        <row r="786">
          <cell r="AA786" t="str">
            <v>CONE CREEKS (2)Sockeye</v>
          </cell>
          <cell r="AB786">
            <v>0</v>
          </cell>
          <cell r="AC786">
            <v>0</v>
          </cell>
          <cell r="AH786" t="str">
            <v>CONE CREEKS (2)Sockeye</v>
          </cell>
          <cell r="AI786">
            <v>0</v>
          </cell>
          <cell r="AJ786">
            <v>0</v>
          </cell>
        </row>
        <row r="787">
          <cell r="AA787" t="str">
            <v>CONE CREEKS (2)Coho</v>
          </cell>
          <cell r="AB787">
            <v>0</v>
          </cell>
          <cell r="AC787">
            <v>0</v>
          </cell>
          <cell r="AH787" t="str">
            <v>CONE CREEKS (2)Coho</v>
          </cell>
          <cell r="AI787">
            <v>0</v>
          </cell>
          <cell r="AJ787">
            <v>0</v>
          </cell>
        </row>
        <row r="788">
          <cell r="AA788" t="str">
            <v>CONE CREEKS (2)Pink</v>
          </cell>
          <cell r="AB788">
            <v>0</v>
          </cell>
          <cell r="AC788">
            <v>0</v>
          </cell>
          <cell r="AH788" t="str">
            <v>CONE CREEKS (2)Pink</v>
          </cell>
          <cell r="AI788">
            <v>0</v>
          </cell>
          <cell r="AJ788">
            <v>0</v>
          </cell>
        </row>
        <row r="789">
          <cell r="AA789" t="str">
            <v>CONE CREEKS (2)Chum</v>
          </cell>
          <cell r="AB789">
            <v>0</v>
          </cell>
          <cell r="AC789">
            <v>0</v>
          </cell>
          <cell r="AH789" t="str">
            <v>CONE CREEKS (2)Chum</v>
          </cell>
          <cell r="AI789">
            <v>0</v>
          </cell>
          <cell r="AJ789">
            <v>0</v>
          </cell>
        </row>
        <row r="790">
          <cell r="AA790" t="str">
            <v>CONE CREEKS (2)Chinook</v>
          </cell>
          <cell r="AB790">
            <v>0</v>
          </cell>
          <cell r="AC790">
            <v>0</v>
          </cell>
          <cell r="AH790" t="str">
            <v>CONE CREEKS (2)Chinook</v>
          </cell>
          <cell r="AI790">
            <v>0</v>
          </cell>
          <cell r="AJ790">
            <v>0</v>
          </cell>
        </row>
        <row r="791">
          <cell r="AA791" t="str">
            <v>CONE CREEKS (2)Steelhead</v>
          </cell>
          <cell r="AB791">
            <v>0</v>
          </cell>
          <cell r="AC791">
            <v>0</v>
          </cell>
          <cell r="AH791" t="str">
            <v>CONE CREEKS (2)Steelhead</v>
          </cell>
          <cell r="AI791">
            <v>0</v>
          </cell>
          <cell r="AJ791">
            <v>0</v>
          </cell>
        </row>
        <row r="792">
          <cell r="AA792" t="str">
            <v>COTTER CREEKSockeye</v>
          </cell>
          <cell r="AB792">
            <v>0</v>
          </cell>
          <cell r="AC792">
            <v>0</v>
          </cell>
          <cell r="AH792" t="str">
            <v>COTTER CREEKSockeye</v>
          </cell>
          <cell r="AI792">
            <v>0</v>
          </cell>
          <cell r="AJ792">
            <v>0</v>
          </cell>
        </row>
        <row r="793">
          <cell r="AA793" t="str">
            <v>COTTER CREEKCoho</v>
          </cell>
          <cell r="AB793">
            <v>0</v>
          </cell>
          <cell r="AC793">
            <v>0</v>
          </cell>
          <cell r="AH793" t="str">
            <v>COTTER CREEKCoho</v>
          </cell>
          <cell r="AI793">
            <v>0</v>
          </cell>
          <cell r="AJ793">
            <v>0</v>
          </cell>
        </row>
        <row r="794">
          <cell r="AA794" t="str">
            <v>COTTER CREEKPink</v>
          </cell>
          <cell r="AB794">
            <v>0</v>
          </cell>
          <cell r="AC794">
            <v>0</v>
          </cell>
          <cell r="AH794" t="str">
            <v>COTTER CREEKPink</v>
          </cell>
          <cell r="AI794">
            <v>0</v>
          </cell>
          <cell r="AJ794">
            <v>0</v>
          </cell>
        </row>
        <row r="795">
          <cell r="AA795" t="str">
            <v>COTTER CREEKChum</v>
          </cell>
          <cell r="AB795">
            <v>0</v>
          </cell>
          <cell r="AC795">
            <v>0</v>
          </cell>
          <cell r="AH795" t="str">
            <v>COTTER CREEKChum</v>
          </cell>
          <cell r="AI795">
            <v>0</v>
          </cell>
          <cell r="AJ795">
            <v>0</v>
          </cell>
        </row>
        <row r="796">
          <cell r="AA796" t="str">
            <v>COTTER CREEKChinook</v>
          </cell>
          <cell r="AB796">
            <v>0</v>
          </cell>
          <cell r="AC796">
            <v>0</v>
          </cell>
          <cell r="AH796" t="str">
            <v>COTTER CREEKChinook</v>
          </cell>
          <cell r="AI796">
            <v>0</v>
          </cell>
          <cell r="AJ796">
            <v>0</v>
          </cell>
        </row>
        <row r="797">
          <cell r="AA797" t="str">
            <v>COTTER CREEKSteelhead</v>
          </cell>
          <cell r="AB797">
            <v>0</v>
          </cell>
          <cell r="AC797">
            <v>0</v>
          </cell>
          <cell r="AH797" t="str">
            <v>COTTER CREEKSteelhead</v>
          </cell>
          <cell r="AI797">
            <v>0</v>
          </cell>
          <cell r="AJ797">
            <v>0</v>
          </cell>
        </row>
        <row r="798">
          <cell r="AA798" t="str">
            <v>COW CREEKSockeye</v>
          </cell>
          <cell r="AB798">
            <v>2</v>
          </cell>
          <cell r="AC798">
            <v>0</v>
          </cell>
          <cell r="AH798" t="str">
            <v>COW CREEKSockeye</v>
          </cell>
          <cell r="AI798">
            <v>0</v>
          </cell>
          <cell r="AJ798">
            <v>0</v>
          </cell>
        </row>
        <row r="799">
          <cell r="AA799" t="str">
            <v>COW CREEKCoho</v>
          </cell>
          <cell r="AB799">
            <v>2</v>
          </cell>
          <cell r="AC799">
            <v>59</v>
          </cell>
          <cell r="AH799" t="str">
            <v>COW CREEKCoho</v>
          </cell>
          <cell r="AI799" t="str">
            <v>PL+D</v>
          </cell>
          <cell r="AJ799">
            <v>59</v>
          </cell>
        </row>
        <row r="800">
          <cell r="AA800" t="str">
            <v>COW CREEKPink</v>
          </cell>
          <cell r="AB800">
            <v>2</v>
          </cell>
          <cell r="AC800">
            <v>31</v>
          </cell>
          <cell r="AH800" t="str">
            <v>COW CREEKPink</v>
          </cell>
          <cell r="AI800" t="str">
            <v>PL+D</v>
          </cell>
          <cell r="AJ800">
            <v>34</v>
          </cell>
        </row>
        <row r="801">
          <cell r="AA801" t="str">
            <v>COW CREEKChum</v>
          </cell>
          <cell r="AB801">
            <v>2</v>
          </cell>
          <cell r="AC801">
            <v>39</v>
          </cell>
          <cell r="AH801" t="str">
            <v>COW CREEKChum</v>
          </cell>
          <cell r="AI801" t="str">
            <v>PL+D</v>
          </cell>
          <cell r="AJ801">
            <v>39</v>
          </cell>
        </row>
        <row r="802">
          <cell r="AA802" t="str">
            <v>COW CREEKChinook</v>
          </cell>
          <cell r="AB802">
            <v>2</v>
          </cell>
          <cell r="AC802">
            <v>0</v>
          </cell>
          <cell r="AH802" t="str">
            <v>COW CREEKChinook</v>
          </cell>
          <cell r="AI802">
            <v>0</v>
          </cell>
          <cell r="AJ802">
            <v>0</v>
          </cell>
        </row>
        <row r="803">
          <cell r="AA803" t="str">
            <v>COW CREEKSteelhead</v>
          </cell>
          <cell r="AB803">
            <v>2</v>
          </cell>
          <cell r="AC803">
            <v>0</v>
          </cell>
          <cell r="AH803" t="str">
            <v>COW CREEKSteelhead</v>
          </cell>
          <cell r="AI803">
            <v>0</v>
          </cell>
          <cell r="AJ803">
            <v>0</v>
          </cell>
        </row>
        <row r="804">
          <cell r="AA804" t="str">
            <v>CYPRE RIVERSockeye</v>
          </cell>
          <cell r="AB804">
            <v>5</v>
          </cell>
          <cell r="AC804">
            <v>2</v>
          </cell>
          <cell r="AH804" t="str">
            <v>CYPRE RIVERSockeye</v>
          </cell>
          <cell r="AI804">
            <v>0</v>
          </cell>
          <cell r="AJ804" t="str">
            <v>AP</v>
          </cell>
        </row>
        <row r="805">
          <cell r="AA805" t="str">
            <v>CYPRE RIVERCoho</v>
          </cell>
          <cell r="AB805">
            <v>5</v>
          </cell>
          <cell r="AC805">
            <v>897</v>
          </cell>
          <cell r="AH805" t="str">
            <v>CYPRE RIVERCoho</v>
          </cell>
          <cell r="AI805" t="str">
            <v>AUC</v>
          </cell>
          <cell r="AJ805">
            <v>1100</v>
          </cell>
        </row>
        <row r="806">
          <cell r="AA806" t="str">
            <v>CYPRE RIVERPink</v>
          </cell>
          <cell r="AB806">
            <v>5</v>
          </cell>
          <cell r="AC806">
            <v>28</v>
          </cell>
          <cell r="AH806" t="str">
            <v>CYPRE RIVERPink</v>
          </cell>
          <cell r="AI806" t="str">
            <v>PL+D</v>
          </cell>
          <cell r="AJ806">
            <v>29</v>
          </cell>
        </row>
        <row r="807">
          <cell r="AA807" t="str">
            <v>CYPRE RIVERChum</v>
          </cell>
          <cell r="AB807">
            <v>5</v>
          </cell>
          <cell r="AC807">
            <v>244</v>
          </cell>
          <cell r="AH807" t="str">
            <v>CYPRE RIVERChum</v>
          </cell>
          <cell r="AI807" t="str">
            <v>AUC</v>
          </cell>
          <cell r="AJ807">
            <v>454</v>
          </cell>
        </row>
        <row r="808">
          <cell r="AA808" t="str">
            <v>CYPRE RIVERChinook</v>
          </cell>
          <cell r="AB808">
            <v>5</v>
          </cell>
          <cell r="AC808">
            <v>2972</v>
          </cell>
          <cell r="AH808" t="str">
            <v>CYPRE RIVERChinook</v>
          </cell>
          <cell r="AI808" t="str">
            <v>AUC</v>
          </cell>
          <cell r="AJ808">
            <v>3630</v>
          </cell>
        </row>
        <row r="809">
          <cell r="AA809" t="str">
            <v>CYPRE RIVERSteelhead</v>
          </cell>
          <cell r="AB809">
            <v>5</v>
          </cell>
          <cell r="AC809">
            <v>0</v>
          </cell>
          <cell r="AH809" t="str">
            <v>CYPRE RIVERSteelhead</v>
          </cell>
          <cell r="AI809">
            <v>0</v>
          </cell>
          <cell r="AJ809" t="str">
            <v>NO</v>
          </cell>
        </row>
        <row r="810">
          <cell r="AA810" t="str">
            <v>FUNDY CREEKSockeye</v>
          </cell>
          <cell r="AB810">
            <v>1</v>
          </cell>
          <cell r="AC810">
            <v>0</v>
          </cell>
          <cell r="AH810" t="str">
            <v>FUNDY CREEKSockeye</v>
          </cell>
          <cell r="AI810">
            <v>0</v>
          </cell>
          <cell r="AJ810">
            <v>0</v>
          </cell>
        </row>
        <row r="811">
          <cell r="AA811" t="str">
            <v>FUNDY CREEKCoho</v>
          </cell>
          <cell r="AB811">
            <v>1</v>
          </cell>
          <cell r="AC811">
            <v>0</v>
          </cell>
          <cell r="AH811" t="str">
            <v>FUNDY CREEKCoho</v>
          </cell>
          <cell r="AI811">
            <v>0</v>
          </cell>
          <cell r="AJ811">
            <v>0</v>
          </cell>
        </row>
        <row r="812">
          <cell r="AA812" t="str">
            <v>FUNDY CREEKPink</v>
          </cell>
          <cell r="AB812">
            <v>1</v>
          </cell>
          <cell r="AC812">
            <v>0</v>
          </cell>
          <cell r="AH812" t="str">
            <v>FUNDY CREEKPink</v>
          </cell>
          <cell r="AI812">
            <v>0</v>
          </cell>
          <cell r="AJ812">
            <v>0</v>
          </cell>
        </row>
        <row r="813">
          <cell r="AA813" t="str">
            <v>FUNDY CREEKChum</v>
          </cell>
          <cell r="AB813">
            <v>1</v>
          </cell>
          <cell r="AC813">
            <v>1</v>
          </cell>
          <cell r="AH813" t="str">
            <v>FUNDY CREEKChum</v>
          </cell>
          <cell r="AI813">
            <v>0</v>
          </cell>
          <cell r="AJ813">
            <v>0</v>
          </cell>
        </row>
        <row r="814">
          <cell r="AA814" t="str">
            <v>FUNDY CREEKChinook</v>
          </cell>
          <cell r="AB814">
            <v>1</v>
          </cell>
          <cell r="AC814">
            <v>0</v>
          </cell>
          <cell r="AH814" t="str">
            <v>FUNDY CREEKChinook</v>
          </cell>
          <cell r="AI814">
            <v>0</v>
          </cell>
          <cell r="AJ814">
            <v>0</v>
          </cell>
        </row>
        <row r="815">
          <cell r="AA815" t="str">
            <v>FUNDY CREEKSteelhead</v>
          </cell>
          <cell r="AB815">
            <v>1</v>
          </cell>
          <cell r="AC815">
            <v>0</v>
          </cell>
          <cell r="AH815" t="str">
            <v>FUNDY CREEKSteelhead</v>
          </cell>
          <cell r="AI815">
            <v>0</v>
          </cell>
          <cell r="AJ815">
            <v>0</v>
          </cell>
        </row>
        <row r="816">
          <cell r="AA816" t="str">
            <v>HESQUIAT HARBOUR #1 CREEKSSockeye</v>
          </cell>
          <cell r="AB816">
            <v>0</v>
          </cell>
          <cell r="AC816">
            <v>0</v>
          </cell>
          <cell r="AH816" t="str">
            <v>HESQUIAT HARBOUR #1 CREEKSSockeye</v>
          </cell>
          <cell r="AI816">
            <v>0</v>
          </cell>
          <cell r="AJ816">
            <v>0</v>
          </cell>
        </row>
        <row r="817">
          <cell r="AA817" t="str">
            <v>HESQUIAT HARBOUR #1 CREEKSCoho</v>
          </cell>
          <cell r="AB817">
            <v>0</v>
          </cell>
          <cell r="AC817">
            <v>0</v>
          </cell>
          <cell r="AH817" t="str">
            <v>HESQUIAT HARBOUR #1 CREEKSCoho</v>
          </cell>
          <cell r="AI817">
            <v>0</v>
          </cell>
          <cell r="AJ817">
            <v>0</v>
          </cell>
        </row>
        <row r="818">
          <cell r="AA818" t="str">
            <v>HESQUIAT HARBOUR #1 CREEKSPink</v>
          </cell>
          <cell r="AB818">
            <v>0</v>
          </cell>
          <cell r="AC818">
            <v>0</v>
          </cell>
          <cell r="AH818" t="str">
            <v>HESQUIAT HARBOUR #1 CREEKSPink</v>
          </cell>
          <cell r="AI818">
            <v>0</v>
          </cell>
          <cell r="AJ818">
            <v>0</v>
          </cell>
        </row>
        <row r="819">
          <cell r="AA819" t="str">
            <v>HESQUIAT HARBOUR #1 CREEKSChum</v>
          </cell>
          <cell r="AB819">
            <v>0</v>
          </cell>
          <cell r="AC819">
            <v>0</v>
          </cell>
          <cell r="AH819" t="str">
            <v>HESQUIAT HARBOUR #1 CREEKSChum</v>
          </cell>
          <cell r="AI819">
            <v>0</v>
          </cell>
          <cell r="AJ819">
            <v>0</v>
          </cell>
        </row>
        <row r="820">
          <cell r="AA820" t="str">
            <v>HESQUIAT HARBOUR #1 CREEKSChinook</v>
          </cell>
          <cell r="AB820">
            <v>0</v>
          </cell>
          <cell r="AC820">
            <v>0</v>
          </cell>
          <cell r="AH820" t="str">
            <v>HESQUIAT HARBOUR #1 CREEKSChinook</v>
          </cell>
          <cell r="AI820">
            <v>0</v>
          </cell>
          <cell r="AJ820">
            <v>0</v>
          </cell>
        </row>
        <row r="821">
          <cell r="AA821" t="str">
            <v>HESQUIAT HARBOUR #1 CREEKSSteelhead</v>
          </cell>
          <cell r="AB821">
            <v>0</v>
          </cell>
          <cell r="AC821">
            <v>0</v>
          </cell>
          <cell r="AH821" t="str">
            <v>HESQUIAT HARBOUR #1 CREEKSSteelhead</v>
          </cell>
          <cell r="AI821">
            <v>0</v>
          </cell>
          <cell r="AJ821">
            <v>0</v>
          </cell>
        </row>
        <row r="822">
          <cell r="AA822" t="str">
            <v>HESQUIAT HARBOUR #2 CREEKSSockeye</v>
          </cell>
          <cell r="AB822">
            <v>0</v>
          </cell>
          <cell r="AC822">
            <v>0</v>
          </cell>
          <cell r="AH822" t="str">
            <v>HESQUIAT HARBOUR #2 CREEKSSockeye</v>
          </cell>
          <cell r="AI822">
            <v>0</v>
          </cell>
          <cell r="AJ822">
            <v>0</v>
          </cell>
        </row>
        <row r="823">
          <cell r="AA823" t="str">
            <v>HESQUIAT HARBOUR #2 CREEKSCoho</v>
          </cell>
          <cell r="AB823">
            <v>0</v>
          </cell>
          <cell r="AC823">
            <v>0</v>
          </cell>
          <cell r="AH823" t="str">
            <v>HESQUIAT HARBOUR #2 CREEKSCoho</v>
          </cell>
          <cell r="AI823">
            <v>0</v>
          </cell>
          <cell r="AJ823">
            <v>0</v>
          </cell>
        </row>
        <row r="824">
          <cell r="AA824" t="str">
            <v>HESQUIAT HARBOUR #2 CREEKSPink</v>
          </cell>
          <cell r="AB824">
            <v>0</v>
          </cell>
          <cell r="AC824">
            <v>0</v>
          </cell>
          <cell r="AH824" t="str">
            <v>HESQUIAT HARBOUR #2 CREEKSPink</v>
          </cell>
          <cell r="AI824">
            <v>0</v>
          </cell>
          <cell r="AJ824">
            <v>0</v>
          </cell>
        </row>
        <row r="825">
          <cell r="AA825" t="str">
            <v>HESQUIAT HARBOUR #2 CREEKSChum</v>
          </cell>
          <cell r="AB825">
            <v>0</v>
          </cell>
          <cell r="AC825">
            <v>0</v>
          </cell>
          <cell r="AH825" t="str">
            <v>HESQUIAT HARBOUR #2 CREEKSChum</v>
          </cell>
          <cell r="AI825">
            <v>0</v>
          </cell>
          <cell r="AJ825">
            <v>0</v>
          </cell>
        </row>
        <row r="826">
          <cell r="AA826" t="str">
            <v>HESQUIAT HARBOUR #2 CREEKSChinook</v>
          </cell>
          <cell r="AB826">
            <v>0</v>
          </cell>
          <cell r="AC826">
            <v>0</v>
          </cell>
          <cell r="AH826" t="str">
            <v>HESQUIAT HARBOUR #2 CREEKSChinook</v>
          </cell>
          <cell r="AI826">
            <v>0</v>
          </cell>
          <cell r="AJ826">
            <v>0</v>
          </cell>
        </row>
        <row r="827">
          <cell r="AA827" t="str">
            <v>HESQUIAT HARBOUR #2 CREEKSSteelhead</v>
          </cell>
          <cell r="AB827">
            <v>0</v>
          </cell>
          <cell r="AC827">
            <v>0</v>
          </cell>
          <cell r="AH827" t="str">
            <v>HESQUIAT HARBOUR #2 CREEKSSteelhead</v>
          </cell>
          <cell r="AI827">
            <v>0</v>
          </cell>
          <cell r="AJ827">
            <v>0</v>
          </cell>
        </row>
        <row r="828">
          <cell r="AA828" t="str">
            <v>HESQUIAT HARBOUR #3 CREEKSSockeye</v>
          </cell>
          <cell r="AB828">
            <v>0</v>
          </cell>
          <cell r="AC828">
            <v>0</v>
          </cell>
          <cell r="AH828" t="str">
            <v>HESQUIAT HARBOUR #3 CREEKSSockeye</v>
          </cell>
          <cell r="AI828">
            <v>0</v>
          </cell>
          <cell r="AJ828">
            <v>0</v>
          </cell>
        </row>
        <row r="829">
          <cell r="AA829" t="str">
            <v>HESQUIAT HARBOUR #3 CREEKSCoho</v>
          </cell>
          <cell r="AB829">
            <v>0</v>
          </cell>
          <cell r="AC829">
            <v>0</v>
          </cell>
          <cell r="AH829" t="str">
            <v>HESQUIAT HARBOUR #3 CREEKSCoho</v>
          </cell>
          <cell r="AI829">
            <v>0</v>
          </cell>
          <cell r="AJ829">
            <v>0</v>
          </cell>
        </row>
        <row r="830">
          <cell r="AA830" t="str">
            <v>HESQUIAT HARBOUR #3 CREEKSPink</v>
          </cell>
          <cell r="AB830">
            <v>0</v>
          </cell>
          <cell r="AC830">
            <v>0</v>
          </cell>
          <cell r="AH830" t="str">
            <v>HESQUIAT HARBOUR #3 CREEKSPink</v>
          </cell>
          <cell r="AI830">
            <v>0</v>
          </cell>
          <cell r="AJ830">
            <v>0</v>
          </cell>
        </row>
        <row r="831">
          <cell r="AA831" t="str">
            <v>HESQUIAT HARBOUR #3 CREEKSChum</v>
          </cell>
          <cell r="AB831">
            <v>0</v>
          </cell>
          <cell r="AC831">
            <v>0</v>
          </cell>
          <cell r="AH831" t="str">
            <v>HESQUIAT HARBOUR #3 CREEKSChum</v>
          </cell>
          <cell r="AI831">
            <v>0</v>
          </cell>
          <cell r="AJ831">
            <v>0</v>
          </cell>
        </row>
        <row r="832">
          <cell r="AA832" t="str">
            <v>HESQUIAT HARBOUR #3 CREEKSChinook</v>
          </cell>
          <cell r="AB832">
            <v>0</v>
          </cell>
          <cell r="AC832">
            <v>0</v>
          </cell>
          <cell r="AH832" t="str">
            <v>HESQUIAT HARBOUR #3 CREEKSChinook</v>
          </cell>
          <cell r="AI832">
            <v>0</v>
          </cell>
          <cell r="AJ832">
            <v>0</v>
          </cell>
        </row>
        <row r="833">
          <cell r="AA833" t="str">
            <v>HESQUIAT HARBOUR #3 CREEKSSteelhead</v>
          </cell>
          <cell r="AB833">
            <v>0</v>
          </cell>
          <cell r="AC833">
            <v>0</v>
          </cell>
          <cell r="AH833" t="str">
            <v>HESQUIAT HARBOUR #3 CREEKSSteelhead</v>
          </cell>
          <cell r="AI833">
            <v>0</v>
          </cell>
          <cell r="AJ833">
            <v>0</v>
          </cell>
        </row>
        <row r="834">
          <cell r="AA834" t="str">
            <v>HESQUIAT HARBOUR #4 CREEKSSockeye</v>
          </cell>
          <cell r="AB834">
            <v>0</v>
          </cell>
          <cell r="AC834">
            <v>0</v>
          </cell>
          <cell r="AH834" t="str">
            <v>HESQUIAT HARBOUR #4 CREEKSSockeye</v>
          </cell>
          <cell r="AI834">
            <v>0</v>
          </cell>
          <cell r="AJ834">
            <v>0</v>
          </cell>
        </row>
        <row r="835">
          <cell r="AA835" t="str">
            <v>HESQUIAT HARBOUR #4 CREEKSCoho</v>
          </cell>
          <cell r="AB835">
            <v>0</v>
          </cell>
          <cell r="AC835">
            <v>0</v>
          </cell>
          <cell r="AH835" t="str">
            <v>HESQUIAT HARBOUR #4 CREEKSCoho</v>
          </cell>
          <cell r="AI835">
            <v>0</v>
          </cell>
          <cell r="AJ835">
            <v>0</v>
          </cell>
        </row>
        <row r="836">
          <cell r="AA836" t="str">
            <v>HESQUIAT HARBOUR #4 CREEKSPink</v>
          </cell>
          <cell r="AB836">
            <v>0</v>
          </cell>
          <cell r="AC836">
            <v>0</v>
          </cell>
          <cell r="AH836" t="str">
            <v>HESQUIAT HARBOUR #4 CREEKSPink</v>
          </cell>
          <cell r="AI836">
            <v>0</v>
          </cell>
          <cell r="AJ836">
            <v>0</v>
          </cell>
        </row>
        <row r="837">
          <cell r="AA837" t="str">
            <v>HESQUIAT HARBOUR #4 CREEKSChum</v>
          </cell>
          <cell r="AB837">
            <v>0</v>
          </cell>
          <cell r="AC837">
            <v>0</v>
          </cell>
          <cell r="AH837" t="str">
            <v>HESQUIAT HARBOUR #4 CREEKSChum</v>
          </cell>
          <cell r="AI837">
            <v>0</v>
          </cell>
          <cell r="AJ837">
            <v>0</v>
          </cell>
        </row>
        <row r="838">
          <cell r="AA838" t="str">
            <v>HESQUIAT HARBOUR #4 CREEKSChinook</v>
          </cell>
          <cell r="AB838">
            <v>0</v>
          </cell>
          <cell r="AC838">
            <v>0</v>
          </cell>
          <cell r="AH838" t="str">
            <v>HESQUIAT HARBOUR #4 CREEKSChinook</v>
          </cell>
          <cell r="AI838">
            <v>0</v>
          </cell>
          <cell r="AJ838">
            <v>0</v>
          </cell>
        </row>
        <row r="839">
          <cell r="AA839" t="str">
            <v>HESQUIAT HARBOUR #4 CREEKSSteelhead</v>
          </cell>
          <cell r="AB839">
            <v>0</v>
          </cell>
          <cell r="AC839">
            <v>0</v>
          </cell>
          <cell r="AH839" t="str">
            <v>HESQUIAT HARBOUR #4 CREEKSSteelhead</v>
          </cell>
          <cell r="AI839">
            <v>0</v>
          </cell>
          <cell r="AJ839">
            <v>0</v>
          </cell>
        </row>
        <row r="840">
          <cell r="AA840" t="str">
            <v>HESQUIAT LAKE CREEKSockeye</v>
          </cell>
          <cell r="AB840">
            <v>0</v>
          </cell>
          <cell r="AC840">
            <v>0</v>
          </cell>
          <cell r="AH840" t="str">
            <v>HESQUIAT LAKE CREEKSockeye</v>
          </cell>
          <cell r="AI840">
            <v>0</v>
          </cell>
          <cell r="AJ840">
            <v>0</v>
          </cell>
        </row>
        <row r="841">
          <cell r="AA841" t="str">
            <v>HESQUIAT LAKE CREEKCoho</v>
          </cell>
          <cell r="AB841">
            <v>0</v>
          </cell>
          <cell r="AC841">
            <v>0</v>
          </cell>
          <cell r="AH841" t="str">
            <v>HESQUIAT LAKE CREEKCoho</v>
          </cell>
          <cell r="AI841">
            <v>0</v>
          </cell>
          <cell r="AJ841">
            <v>0</v>
          </cell>
        </row>
        <row r="842">
          <cell r="AA842" t="str">
            <v>HESQUIAT LAKE CREEKPink</v>
          </cell>
          <cell r="AB842">
            <v>0</v>
          </cell>
          <cell r="AC842">
            <v>0</v>
          </cell>
          <cell r="AH842" t="str">
            <v>HESQUIAT LAKE CREEKPink</v>
          </cell>
          <cell r="AI842">
            <v>0</v>
          </cell>
          <cell r="AJ842">
            <v>0</v>
          </cell>
        </row>
        <row r="843">
          <cell r="AA843" t="str">
            <v>HESQUIAT LAKE CREEKChum</v>
          </cell>
          <cell r="AB843">
            <v>0</v>
          </cell>
          <cell r="AC843">
            <v>0</v>
          </cell>
          <cell r="AH843" t="str">
            <v>HESQUIAT LAKE CREEKChum</v>
          </cell>
          <cell r="AI843">
            <v>0</v>
          </cell>
          <cell r="AJ843">
            <v>0</v>
          </cell>
        </row>
        <row r="844">
          <cell r="AA844" t="str">
            <v>HESQUIAT LAKE CREEKChinook</v>
          </cell>
          <cell r="AB844">
            <v>0</v>
          </cell>
          <cell r="AC844">
            <v>0</v>
          </cell>
          <cell r="AH844" t="str">
            <v>HESQUIAT LAKE CREEKChinook</v>
          </cell>
          <cell r="AI844">
            <v>0</v>
          </cell>
          <cell r="AJ844">
            <v>0</v>
          </cell>
        </row>
        <row r="845">
          <cell r="AA845" t="str">
            <v>HESQUIAT LAKE CREEKSteelhead</v>
          </cell>
          <cell r="AB845">
            <v>0</v>
          </cell>
          <cell r="AC845">
            <v>0</v>
          </cell>
          <cell r="AH845" t="str">
            <v>HESQUIAT LAKE CREEKSteelhead</v>
          </cell>
          <cell r="AI845">
            <v>0</v>
          </cell>
          <cell r="AJ845">
            <v>0</v>
          </cell>
        </row>
        <row r="846">
          <cell r="AA846" t="str">
            <v>HESQUIAT POINT CREEKSockeye</v>
          </cell>
          <cell r="AB846">
            <v>0</v>
          </cell>
          <cell r="AC846">
            <v>0</v>
          </cell>
          <cell r="AH846" t="str">
            <v>HESQUIAT POINT CREEKSockeye</v>
          </cell>
          <cell r="AI846">
            <v>0</v>
          </cell>
          <cell r="AJ846">
            <v>0</v>
          </cell>
        </row>
        <row r="847">
          <cell r="AA847" t="str">
            <v>HESQUIAT POINT CREEKCoho</v>
          </cell>
          <cell r="AB847">
            <v>0</v>
          </cell>
          <cell r="AC847">
            <v>0</v>
          </cell>
          <cell r="AH847" t="str">
            <v>HESQUIAT POINT CREEKCoho</v>
          </cell>
          <cell r="AI847">
            <v>0</v>
          </cell>
          <cell r="AJ847">
            <v>0</v>
          </cell>
        </row>
        <row r="848">
          <cell r="AA848" t="str">
            <v>HESQUIAT POINT CREEKPink</v>
          </cell>
          <cell r="AB848">
            <v>0</v>
          </cell>
          <cell r="AC848">
            <v>0</v>
          </cell>
          <cell r="AH848" t="str">
            <v>HESQUIAT POINT CREEKPink</v>
          </cell>
          <cell r="AI848">
            <v>0</v>
          </cell>
          <cell r="AJ848">
            <v>0</v>
          </cell>
        </row>
        <row r="849">
          <cell r="AA849" t="str">
            <v>HESQUIAT POINT CREEKChum</v>
          </cell>
          <cell r="AB849">
            <v>0</v>
          </cell>
          <cell r="AC849">
            <v>0</v>
          </cell>
          <cell r="AH849" t="str">
            <v>HESQUIAT POINT CREEKChum</v>
          </cell>
          <cell r="AI849">
            <v>0</v>
          </cell>
          <cell r="AJ849">
            <v>0</v>
          </cell>
        </row>
        <row r="850">
          <cell r="AA850" t="str">
            <v>HESQUIAT POINT CREEKChinook</v>
          </cell>
          <cell r="AB850">
            <v>0</v>
          </cell>
          <cell r="AC850">
            <v>0</v>
          </cell>
          <cell r="AH850" t="str">
            <v>HESQUIAT POINT CREEKChinook</v>
          </cell>
          <cell r="AI850">
            <v>0</v>
          </cell>
          <cell r="AJ850">
            <v>0</v>
          </cell>
        </row>
        <row r="851">
          <cell r="AA851" t="str">
            <v>HESQUIAT POINT CREEKSteelhead</v>
          </cell>
          <cell r="AB851">
            <v>0</v>
          </cell>
          <cell r="AC851">
            <v>0</v>
          </cell>
          <cell r="AH851" t="str">
            <v>HESQUIAT POINT CREEKSteelhead</v>
          </cell>
          <cell r="AI851">
            <v>0</v>
          </cell>
          <cell r="AJ851">
            <v>0</v>
          </cell>
        </row>
        <row r="852">
          <cell r="AA852" t="str">
            <v>HOOTLA KOOTLA CREEKSockeye</v>
          </cell>
          <cell r="AB852">
            <v>0</v>
          </cell>
          <cell r="AC852">
            <v>0</v>
          </cell>
          <cell r="AH852" t="str">
            <v>HOOTLA KOOTLA CREEKSockeye</v>
          </cell>
          <cell r="AI852">
            <v>0</v>
          </cell>
          <cell r="AJ852">
            <v>0</v>
          </cell>
        </row>
        <row r="853">
          <cell r="AA853" t="str">
            <v>HOOTLA KOOTLA CREEKCoho</v>
          </cell>
          <cell r="AB853">
            <v>0</v>
          </cell>
          <cell r="AC853">
            <v>0</v>
          </cell>
          <cell r="AH853" t="str">
            <v>HOOTLA KOOTLA CREEKCoho</v>
          </cell>
          <cell r="AI853">
            <v>0</v>
          </cell>
          <cell r="AJ853">
            <v>0</v>
          </cell>
        </row>
        <row r="854">
          <cell r="AA854" t="str">
            <v>HOOTLA KOOTLA CREEKPink</v>
          </cell>
          <cell r="AB854">
            <v>0</v>
          </cell>
          <cell r="AC854">
            <v>0</v>
          </cell>
          <cell r="AH854" t="str">
            <v>HOOTLA KOOTLA CREEKPink</v>
          </cell>
          <cell r="AI854">
            <v>0</v>
          </cell>
          <cell r="AJ854">
            <v>0</v>
          </cell>
        </row>
        <row r="855">
          <cell r="AA855" t="str">
            <v>HOOTLA KOOTLA CREEKChum</v>
          </cell>
          <cell r="AB855">
            <v>0</v>
          </cell>
          <cell r="AC855">
            <v>0</v>
          </cell>
          <cell r="AH855" t="str">
            <v>HOOTLA KOOTLA CREEKChum</v>
          </cell>
          <cell r="AI855">
            <v>0</v>
          </cell>
          <cell r="AJ855">
            <v>0</v>
          </cell>
        </row>
        <row r="856">
          <cell r="AA856" t="str">
            <v>HOOTLA KOOTLA CREEKChinook</v>
          </cell>
          <cell r="AB856">
            <v>0</v>
          </cell>
          <cell r="AC856">
            <v>0</v>
          </cell>
          <cell r="AH856" t="str">
            <v>HOOTLA KOOTLA CREEKChinook</v>
          </cell>
          <cell r="AI856">
            <v>0</v>
          </cell>
          <cell r="AJ856">
            <v>0</v>
          </cell>
        </row>
        <row r="857">
          <cell r="AA857" t="str">
            <v>HOOTLA KOOTLA CREEKSteelhead</v>
          </cell>
          <cell r="AB857">
            <v>0</v>
          </cell>
          <cell r="AC857">
            <v>0</v>
          </cell>
          <cell r="AH857" t="str">
            <v>HOOTLA KOOTLA CREEKSteelhead</v>
          </cell>
          <cell r="AI857">
            <v>0</v>
          </cell>
          <cell r="AJ857">
            <v>0</v>
          </cell>
        </row>
        <row r="858">
          <cell r="AA858" t="str">
            <v>HOT SPRINGS COVE CREEKSockeye</v>
          </cell>
          <cell r="AB858">
            <v>0</v>
          </cell>
          <cell r="AC858">
            <v>0</v>
          </cell>
          <cell r="AH858" t="str">
            <v>HOT SPRINGS COVE CREEKSockeye</v>
          </cell>
          <cell r="AI858">
            <v>0</v>
          </cell>
          <cell r="AJ858">
            <v>0</v>
          </cell>
        </row>
        <row r="859">
          <cell r="AA859" t="str">
            <v>HOT SPRINGS COVE CREEKCoho</v>
          </cell>
          <cell r="AB859">
            <v>0</v>
          </cell>
          <cell r="AC859">
            <v>0</v>
          </cell>
          <cell r="AH859" t="str">
            <v>HOT SPRINGS COVE CREEKCoho</v>
          </cell>
          <cell r="AI859">
            <v>0</v>
          </cell>
          <cell r="AJ859">
            <v>0</v>
          </cell>
        </row>
        <row r="860">
          <cell r="AA860" t="str">
            <v>HOT SPRINGS COVE CREEKPink</v>
          </cell>
          <cell r="AB860">
            <v>0</v>
          </cell>
          <cell r="AC860">
            <v>0</v>
          </cell>
          <cell r="AH860" t="str">
            <v>HOT SPRINGS COVE CREEKPink</v>
          </cell>
          <cell r="AI860">
            <v>0</v>
          </cell>
          <cell r="AJ860">
            <v>0</v>
          </cell>
        </row>
        <row r="861">
          <cell r="AA861" t="str">
            <v>HOT SPRINGS COVE CREEKChum</v>
          </cell>
          <cell r="AB861">
            <v>0</v>
          </cell>
          <cell r="AC861">
            <v>0</v>
          </cell>
          <cell r="AH861" t="str">
            <v>HOT SPRINGS COVE CREEKChum</v>
          </cell>
          <cell r="AI861">
            <v>0</v>
          </cell>
          <cell r="AJ861">
            <v>0</v>
          </cell>
        </row>
        <row r="862">
          <cell r="AA862" t="str">
            <v>HOT SPRINGS COVE CREEKChinook</v>
          </cell>
          <cell r="AB862">
            <v>0</v>
          </cell>
          <cell r="AC862">
            <v>0</v>
          </cell>
          <cell r="AH862" t="str">
            <v>HOT SPRINGS COVE CREEKChinook</v>
          </cell>
          <cell r="AI862">
            <v>0</v>
          </cell>
          <cell r="AJ862">
            <v>0</v>
          </cell>
        </row>
        <row r="863">
          <cell r="AA863" t="str">
            <v>HOT SPRINGS COVE CREEKSteelhead</v>
          </cell>
          <cell r="AB863">
            <v>0</v>
          </cell>
          <cell r="AC863">
            <v>0</v>
          </cell>
          <cell r="AH863" t="str">
            <v>HOT SPRINGS COVE CREEKSteelhead</v>
          </cell>
          <cell r="AI863">
            <v>0</v>
          </cell>
          <cell r="AJ863">
            <v>0</v>
          </cell>
        </row>
        <row r="864">
          <cell r="AA864" t="str">
            <v>ICE RIVERSockeye</v>
          </cell>
          <cell r="AB864">
            <v>0</v>
          </cell>
          <cell r="AC864">
            <v>0</v>
          </cell>
          <cell r="AH864" t="str">
            <v>ICE RIVERSockeye</v>
          </cell>
          <cell r="AI864">
            <v>0</v>
          </cell>
          <cell r="AJ864">
            <v>0</v>
          </cell>
        </row>
        <row r="865">
          <cell r="AA865" t="str">
            <v>ICE RIVERCoho</v>
          </cell>
          <cell r="AB865">
            <v>0</v>
          </cell>
          <cell r="AC865">
            <v>0</v>
          </cell>
          <cell r="AH865" t="str">
            <v>ICE RIVERCoho</v>
          </cell>
          <cell r="AI865">
            <v>0</v>
          </cell>
          <cell r="AJ865">
            <v>0</v>
          </cell>
        </row>
        <row r="866">
          <cell r="AA866" t="str">
            <v>ICE RIVERPink</v>
          </cell>
          <cell r="AB866">
            <v>0</v>
          </cell>
          <cell r="AC866">
            <v>0</v>
          </cell>
          <cell r="AH866" t="str">
            <v>ICE RIVERPink</v>
          </cell>
          <cell r="AI866">
            <v>0</v>
          </cell>
          <cell r="AJ866">
            <v>0</v>
          </cell>
        </row>
        <row r="867">
          <cell r="AA867" t="str">
            <v>ICE RIVERChum</v>
          </cell>
          <cell r="AB867">
            <v>0</v>
          </cell>
          <cell r="AC867">
            <v>0</v>
          </cell>
          <cell r="AH867" t="str">
            <v>ICE RIVERChum</v>
          </cell>
          <cell r="AI867">
            <v>0</v>
          </cell>
          <cell r="AJ867">
            <v>0</v>
          </cell>
        </row>
        <row r="868">
          <cell r="AA868" t="str">
            <v>ICE RIVERChinook</v>
          </cell>
          <cell r="AB868">
            <v>0</v>
          </cell>
          <cell r="AC868">
            <v>0</v>
          </cell>
          <cell r="AH868" t="str">
            <v>ICE RIVERChinook</v>
          </cell>
          <cell r="AI868">
            <v>0</v>
          </cell>
          <cell r="AJ868">
            <v>0</v>
          </cell>
        </row>
        <row r="869">
          <cell r="AA869" t="str">
            <v>ICE RIVERSteelhead</v>
          </cell>
          <cell r="AB869">
            <v>0</v>
          </cell>
          <cell r="AC869">
            <v>0</v>
          </cell>
          <cell r="AH869" t="str">
            <v>ICE RIVERSteelhead</v>
          </cell>
          <cell r="AI869">
            <v>0</v>
          </cell>
          <cell r="AJ869">
            <v>0</v>
          </cell>
        </row>
        <row r="870">
          <cell r="AA870" t="str">
            <v>KENNEDY LAKE BEACHESSockeye</v>
          </cell>
          <cell r="AB870">
            <v>1</v>
          </cell>
          <cell r="AC870">
            <v>230</v>
          </cell>
          <cell r="AH870" t="str">
            <v>KENNEDY LAKE BEACHESSockeye</v>
          </cell>
          <cell r="AI870" t="str">
            <v>PL+D</v>
          </cell>
          <cell r="AJ870">
            <v>277</v>
          </cell>
        </row>
        <row r="871">
          <cell r="AA871" t="str">
            <v>KENNEDY LAKE BEACHESCoho</v>
          </cell>
          <cell r="AB871">
            <v>1</v>
          </cell>
          <cell r="AC871">
            <v>90</v>
          </cell>
          <cell r="AH871" t="str">
            <v>KENNEDY LAKE BEACHESCoho</v>
          </cell>
          <cell r="AI871" t="str">
            <v>PL+D</v>
          </cell>
          <cell r="AJ871">
            <v>95</v>
          </cell>
        </row>
        <row r="872">
          <cell r="AA872" t="str">
            <v>KENNEDY LAKE BEACHESPink</v>
          </cell>
          <cell r="AB872">
            <v>1</v>
          </cell>
          <cell r="AC872">
            <v>0</v>
          </cell>
          <cell r="AH872" t="str">
            <v>KENNEDY LAKE BEACHESPink</v>
          </cell>
          <cell r="AI872">
            <v>0</v>
          </cell>
          <cell r="AJ872">
            <v>0</v>
          </cell>
        </row>
        <row r="873">
          <cell r="AA873" t="str">
            <v>KENNEDY LAKE BEACHESChum</v>
          </cell>
          <cell r="AB873">
            <v>1</v>
          </cell>
          <cell r="AC873">
            <v>0</v>
          </cell>
          <cell r="AH873" t="str">
            <v>KENNEDY LAKE BEACHESChum</v>
          </cell>
          <cell r="AI873">
            <v>0</v>
          </cell>
          <cell r="AJ873" t="str">
            <v>NO</v>
          </cell>
        </row>
        <row r="874">
          <cell r="AA874" t="str">
            <v>KENNEDY LAKE BEACHESChinook</v>
          </cell>
          <cell r="AB874">
            <v>1</v>
          </cell>
          <cell r="AC874">
            <v>0</v>
          </cell>
          <cell r="AH874" t="str">
            <v>KENNEDY LAKE BEACHESChinook</v>
          </cell>
          <cell r="AI874">
            <v>0</v>
          </cell>
          <cell r="AJ874">
            <v>0</v>
          </cell>
        </row>
        <row r="875">
          <cell r="AA875" t="str">
            <v>KENNEDY LAKE BEACHESSteelhead</v>
          </cell>
          <cell r="AB875">
            <v>1</v>
          </cell>
          <cell r="AC875">
            <v>0</v>
          </cell>
          <cell r="AH875" t="str">
            <v>KENNEDY LAKE BEACHESSteelhead</v>
          </cell>
          <cell r="AI875">
            <v>0</v>
          </cell>
          <cell r="AJ875">
            <v>0</v>
          </cell>
        </row>
        <row r="876">
          <cell r="AA876" t="str">
            <v>KENNEDY LAKE FEEDER STREAMSSockeye</v>
          </cell>
          <cell r="AB876">
            <v>0</v>
          </cell>
          <cell r="AC876">
            <v>0</v>
          </cell>
          <cell r="AH876" t="str">
            <v>KENNEDY LAKE FEEDER STREAMSSockeye</v>
          </cell>
          <cell r="AI876">
            <v>0</v>
          </cell>
          <cell r="AJ876">
            <v>0</v>
          </cell>
        </row>
        <row r="877">
          <cell r="AA877" t="str">
            <v>KENNEDY LAKE FEEDER STREAMSCoho</v>
          </cell>
          <cell r="AB877">
            <v>0</v>
          </cell>
          <cell r="AC877">
            <v>0</v>
          </cell>
          <cell r="AH877" t="str">
            <v>KENNEDY LAKE FEEDER STREAMSCoho</v>
          </cell>
          <cell r="AI877">
            <v>0</v>
          </cell>
          <cell r="AJ877">
            <v>0</v>
          </cell>
        </row>
        <row r="878">
          <cell r="AA878" t="str">
            <v>KENNEDY LAKE FEEDER STREAMSPink</v>
          </cell>
          <cell r="AB878">
            <v>0</v>
          </cell>
          <cell r="AC878">
            <v>0</v>
          </cell>
          <cell r="AH878" t="str">
            <v>KENNEDY LAKE FEEDER STREAMSPink</v>
          </cell>
          <cell r="AI878">
            <v>0</v>
          </cell>
          <cell r="AJ878">
            <v>0</v>
          </cell>
        </row>
        <row r="879">
          <cell r="AA879" t="str">
            <v>KENNEDY LAKE FEEDER STREAMSChum</v>
          </cell>
          <cell r="AB879">
            <v>0</v>
          </cell>
          <cell r="AC879">
            <v>0</v>
          </cell>
          <cell r="AH879" t="str">
            <v>KENNEDY LAKE FEEDER STREAMSChum</v>
          </cell>
          <cell r="AI879">
            <v>0</v>
          </cell>
          <cell r="AJ879">
            <v>0</v>
          </cell>
        </row>
        <row r="880">
          <cell r="AA880" t="str">
            <v>KENNEDY LAKE FEEDER STREAMSChinook</v>
          </cell>
          <cell r="AB880">
            <v>0</v>
          </cell>
          <cell r="AC880">
            <v>0</v>
          </cell>
          <cell r="AH880" t="str">
            <v>KENNEDY LAKE FEEDER STREAMSChinook</v>
          </cell>
          <cell r="AI880">
            <v>0</v>
          </cell>
          <cell r="AJ880">
            <v>0</v>
          </cell>
        </row>
        <row r="881">
          <cell r="AA881" t="str">
            <v>KENNEDY LAKE FEEDER STREAMSSteelhead</v>
          </cell>
          <cell r="AB881">
            <v>0</v>
          </cell>
          <cell r="AC881">
            <v>0</v>
          </cell>
          <cell r="AH881" t="str">
            <v>KENNEDY LAKE FEEDER STREAMSSteelhead</v>
          </cell>
          <cell r="AI881">
            <v>0</v>
          </cell>
          <cell r="AJ881">
            <v>0</v>
          </cell>
        </row>
        <row r="882">
          <cell r="AA882" t="str">
            <v>KENNEDY RIVER (LOWER)Sockeye</v>
          </cell>
          <cell r="AB882">
            <v>0</v>
          </cell>
          <cell r="AC882">
            <v>0</v>
          </cell>
          <cell r="AH882" t="str">
            <v>KENNEDY RIVER (LOWER)Sockeye</v>
          </cell>
          <cell r="AI882">
            <v>0</v>
          </cell>
          <cell r="AJ882">
            <v>0</v>
          </cell>
        </row>
        <row r="883">
          <cell r="AA883" t="str">
            <v>KENNEDY RIVER (LOWER)Coho</v>
          </cell>
          <cell r="AB883">
            <v>0</v>
          </cell>
          <cell r="AC883">
            <v>0</v>
          </cell>
          <cell r="AH883" t="str">
            <v>KENNEDY RIVER (LOWER)Coho</v>
          </cell>
          <cell r="AI883">
            <v>0</v>
          </cell>
          <cell r="AJ883">
            <v>0</v>
          </cell>
        </row>
        <row r="884">
          <cell r="AA884" t="str">
            <v>KENNEDY RIVER (LOWER)Pink</v>
          </cell>
          <cell r="AB884">
            <v>0</v>
          </cell>
          <cell r="AC884">
            <v>0</v>
          </cell>
          <cell r="AH884" t="str">
            <v>KENNEDY RIVER (LOWER)Pink</v>
          </cell>
          <cell r="AI884">
            <v>0</v>
          </cell>
          <cell r="AJ884">
            <v>0</v>
          </cell>
        </row>
        <row r="885">
          <cell r="AA885" t="str">
            <v>KENNEDY RIVER (LOWER)Chum</v>
          </cell>
          <cell r="AB885">
            <v>0</v>
          </cell>
          <cell r="AC885">
            <v>0</v>
          </cell>
          <cell r="AH885" t="str">
            <v>KENNEDY RIVER (LOWER)Chum</v>
          </cell>
          <cell r="AI885">
            <v>0</v>
          </cell>
          <cell r="AJ885">
            <v>0</v>
          </cell>
        </row>
        <row r="886">
          <cell r="AA886" t="str">
            <v>KENNEDY RIVER (LOWER)Chinook</v>
          </cell>
          <cell r="AB886">
            <v>0</v>
          </cell>
          <cell r="AC886">
            <v>0</v>
          </cell>
          <cell r="AH886" t="str">
            <v>KENNEDY RIVER (LOWER)Chinook</v>
          </cell>
          <cell r="AI886">
            <v>0</v>
          </cell>
          <cell r="AJ886">
            <v>0</v>
          </cell>
        </row>
        <row r="887">
          <cell r="AA887" t="str">
            <v>KENNEDY RIVER (LOWER)Steelhead</v>
          </cell>
          <cell r="AB887">
            <v>0</v>
          </cell>
          <cell r="AC887">
            <v>0</v>
          </cell>
          <cell r="AH887" t="str">
            <v>KENNEDY RIVER (LOWER)Steelhead</v>
          </cell>
          <cell r="AI887">
            <v>0</v>
          </cell>
          <cell r="AJ887">
            <v>0</v>
          </cell>
        </row>
        <row r="888">
          <cell r="AA888" t="str">
            <v>KENNEDY RIVER (UPPER)Sockeye</v>
          </cell>
          <cell r="AB888">
            <v>1</v>
          </cell>
          <cell r="AC888">
            <v>1630</v>
          </cell>
          <cell r="AH888" t="str">
            <v>KENNEDY RIVER (UPPER)Sockeye</v>
          </cell>
          <cell r="AI888" t="str">
            <v>PL+D</v>
          </cell>
          <cell r="AJ888">
            <v>1630</v>
          </cell>
        </row>
        <row r="889">
          <cell r="AA889" t="str">
            <v>KENNEDY RIVER (UPPER)Coho</v>
          </cell>
          <cell r="AB889">
            <v>1</v>
          </cell>
          <cell r="AC889">
            <v>1126</v>
          </cell>
          <cell r="AH889" t="str">
            <v>KENNEDY RIVER (UPPER)Coho</v>
          </cell>
          <cell r="AI889" t="str">
            <v>PL+D</v>
          </cell>
          <cell r="AJ889">
            <v>1126</v>
          </cell>
        </row>
        <row r="890">
          <cell r="AA890" t="str">
            <v>KENNEDY RIVER (UPPER)Pink</v>
          </cell>
          <cell r="AB890">
            <v>1</v>
          </cell>
          <cell r="AC890">
            <v>0</v>
          </cell>
          <cell r="AH890" t="str">
            <v>KENNEDY RIVER (UPPER)Pink</v>
          </cell>
          <cell r="AI890">
            <v>0</v>
          </cell>
          <cell r="AJ890">
            <v>0</v>
          </cell>
        </row>
        <row r="891">
          <cell r="AA891" t="str">
            <v>KENNEDY RIVER (UPPER)Chum</v>
          </cell>
          <cell r="AB891">
            <v>1</v>
          </cell>
          <cell r="AC891">
            <v>0</v>
          </cell>
          <cell r="AH891" t="str">
            <v>KENNEDY RIVER (UPPER)Chum</v>
          </cell>
          <cell r="AI891">
            <v>0</v>
          </cell>
          <cell r="AJ891" t="str">
            <v>NO</v>
          </cell>
        </row>
        <row r="892">
          <cell r="AA892" t="str">
            <v>KENNEDY RIVER (UPPER)Chinook</v>
          </cell>
          <cell r="AB892">
            <v>1</v>
          </cell>
          <cell r="AC892">
            <v>16</v>
          </cell>
          <cell r="AH892" t="str">
            <v>KENNEDY RIVER (UPPER)Chinook</v>
          </cell>
          <cell r="AI892" t="str">
            <v>PL+D</v>
          </cell>
          <cell r="AJ892">
            <v>16</v>
          </cell>
        </row>
        <row r="893">
          <cell r="AA893" t="str">
            <v>KENNEDY RIVER (UPPER)Steelhead</v>
          </cell>
          <cell r="AB893">
            <v>1</v>
          </cell>
          <cell r="AC893">
            <v>0</v>
          </cell>
          <cell r="AH893" t="str">
            <v>KENNEDY RIVER (UPPER)Steelhead</v>
          </cell>
          <cell r="AI893">
            <v>0</v>
          </cell>
          <cell r="AJ893">
            <v>0</v>
          </cell>
        </row>
        <row r="894">
          <cell r="AA894" t="str">
            <v>KOOTOWIS CREEKSockeye</v>
          </cell>
          <cell r="AB894">
            <v>0</v>
          </cell>
          <cell r="AC894">
            <v>0</v>
          </cell>
          <cell r="AH894" t="str">
            <v>KOOTOWIS CREEKSockeye</v>
          </cell>
          <cell r="AI894">
            <v>0</v>
          </cell>
          <cell r="AJ894">
            <v>0</v>
          </cell>
        </row>
        <row r="895">
          <cell r="AA895" t="str">
            <v>KOOTOWIS CREEKCoho</v>
          </cell>
          <cell r="AB895">
            <v>0</v>
          </cell>
          <cell r="AC895">
            <v>0</v>
          </cell>
          <cell r="AH895" t="str">
            <v>KOOTOWIS CREEKCoho</v>
          </cell>
          <cell r="AI895">
            <v>0</v>
          </cell>
          <cell r="AJ895">
            <v>0</v>
          </cell>
        </row>
        <row r="896">
          <cell r="AA896" t="str">
            <v>KOOTOWIS CREEKPink</v>
          </cell>
          <cell r="AB896">
            <v>0</v>
          </cell>
          <cell r="AC896">
            <v>0</v>
          </cell>
          <cell r="AH896" t="str">
            <v>KOOTOWIS CREEKPink</v>
          </cell>
          <cell r="AI896">
            <v>0</v>
          </cell>
          <cell r="AJ896">
            <v>0</v>
          </cell>
        </row>
        <row r="897">
          <cell r="AA897" t="str">
            <v>KOOTOWIS CREEKChum</v>
          </cell>
          <cell r="AB897">
            <v>0</v>
          </cell>
          <cell r="AC897">
            <v>0</v>
          </cell>
          <cell r="AH897" t="str">
            <v>KOOTOWIS CREEKChum</v>
          </cell>
          <cell r="AI897">
            <v>0</v>
          </cell>
          <cell r="AJ897">
            <v>0</v>
          </cell>
        </row>
        <row r="898">
          <cell r="AA898" t="str">
            <v>KOOTOWIS CREEKChinook</v>
          </cell>
          <cell r="AB898">
            <v>0</v>
          </cell>
          <cell r="AC898">
            <v>0</v>
          </cell>
          <cell r="AH898" t="str">
            <v>KOOTOWIS CREEKChinook</v>
          </cell>
          <cell r="AI898">
            <v>0</v>
          </cell>
          <cell r="AJ898">
            <v>0</v>
          </cell>
        </row>
        <row r="899">
          <cell r="AA899" t="str">
            <v>KOOTOWIS CREEKSteelhead</v>
          </cell>
          <cell r="AB899">
            <v>0</v>
          </cell>
          <cell r="AC899">
            <v>0</v>
          </cell>
          <cell r="AH899" t="str">
            <v>KOOTOWIS CREEKSteelhead</v>
          </cell>
          <cell r="AI899">
            <v>0</v>
          </cell>
          <cell r="AJ899">
            <v>0</v>
          </cell>
        </row>
        <row r="900">
          <cell r="AA900" t="str">
            <v>LITTLE WHITEPINE COVE #1 CREEKSockeye</v>
          </cell>
          <cell r="AB900">
            <v>0</v>
          </cell>
          <cell r="AC900">
            <v>0</v>
          </cell>
          <cell r="AH900" t="str">
            <v>LITTLE WHITEPINE COVE #1 CREEKSockeye</v>
          </cell>
          <cell r="AI900">
            <v>0</v>
          </cell>
          <cell r="AJ900">
            <v>0</v>
          </cell>
        </row>
        <row r="901">
          <cell r="AA901" t="str">
            <v>LITTLE WHITEPINE COVE #1 CREEKCoho</v>
          </cell>
          <cell r="AB901">
            <v>0</v>
          </cell>
          <cell r="AC901">
            <v>0</v>
          </cell>
          <cell r="AH901" t="str">
            <v>LITTLE WHITEPINE COVE #1 CREEKCoho</v>
          </cell>
          <cell r="AI901">
            <v>0</v>
          </cell>
          <cell r="AJ901">
            <v>0</v>
          </cell>
        </row>
        <row r="902">
          <cell r="AA902" t="str">
            <v>LITTLE WHITEPINE COVE #1 CREEKPink</v>
          </cell>
          <cell r="AB902">
            <v>0</v>
          </cell>
          <cell r="AC902">
            <v>0</v>
          </cell>
          <cell r="AH902" t="str">
            <v>LITTLE WHITEPINE COVE #1 CREEKPink</v>
          </cell>
          <cell r="AI902">
            <v>0</v>
          </cell>
          <cell r="AJ902">
            <v>0</v>
          </cell>
        </row>
        <row r="903">
          <cell r="AA903" t="str">
            <v>LITTLE WHITEPINE COVE #1 CREEKChum</v>
          </cell>
          <cell r="AB903">
            <v>0</v>
          </cell>
          <cell r="AC903">
            <v>0</v>
          </cell>
          <cell r="AH903" t="str">
            <v>LITTLE WHITEPINE COVE #1 CREEKChum</v>
          </cell>
          <cell r="AI903">
            <v>0</v>
          </cell>
          <cell r="AJ903">
            <v>0</v>
          </cell>
        </row>
        <row r="904">
          <cell r="AA904" t="str">
            <v>LITTLE WHITEPINE COVE #1 CREEKChinook</v>
          </cell>
          <cell r="AB904">
            <v>0</v>
          </cell>
          <cell r="AC904">
            <v>0</v>
          </cell>
          <cell r="AH904" t="str">
            <v>LITTLE WHITEPINE COVE #1 CREEKChinook</v>
          </cell>
          <cell r="AI904">
            <v>0</v>
          </cell>
          <cell r="AJ904">
            <v>0</v>
          </cell>
        </row>
        <row r="905">
          <cell r="AA905" t="str">
            <v>LITTLE WHITEPINE COVE #1 CREEKSteelhead</v>
          </cell>
          <cell r="AB905">
            <v>0</v>
          </cell>
          <cell r="AC905">
            <v>0</v>
          </cell>
          <cell r="AH905" t="str">
            <v>LITTLE WHITEPINE COVE #1 CREEKSteelhead</v>
          </cell>
          <cell r="AI905">
            <v>0</v>
          </cell>
          <cell r="AJ905">
            <v>0</v>
          </cell>
        </row>
        <row r="906">
          <cell r="AA906" t="str">
            <v>LOST SHOE CREEKSockeye</v>
          </cell>
          <cell r="AB906">
            <v>0</v>
          </cell>
          <cell r="AC906">
            <v>0</v>
          </cell>
          <cell r="AH906" t="str">
            <v>LOST SHOE CREEKSockeye</v>
          </cell>
          <cell r="AI906">
            <v>0</v>
          </cell>
          <cell r="AJ906">
            <v>0</v>
          </cell>
        </row>
        <row r="907">
          <cell r="AA907" t="str">
            <v>LOST SHOE CREEKCoho</v>
          </cell>
          <cell r="AB907">
            <v>0</v>
          </cell>
          <cell r="AC907">
            <v>0</v>
          </cell>
          <cell r="AH907" t="str">
            <v>LOST SHOE CREEKCoho</v>
          </cell>
          <cell r="AI907">
            <v>0</v>
          </cell>
          <cell r="AJ907">
            <v>0</v>
          </cell>
        </row>
        <row r="908">
          <cell r="AA908" t="str">
            <v>LOST SHOE CREEKPink</v>
          </cell>
          <cell r="AB908">
            <v>0</v>
          </cell>
          <cell r="AC908">
            <v>0</v>
          </cell>
          <cell r="AH908" t="str">
            <v>LOST SHOE CREEKPink</v>
          </cell>
          <cell r="AI908">
            <v>0</v>
          </cell>
          <cell r="AJ908">
            <v>0</v>
          </cell>
        </row>
        <row r="909">
          <cell r="AA909" t="str">
            <v>LOST SHOE CREEKChum</v>
          </cell>
          <cell r="AB909">
            <v>0</v>
          </cell>
          <cell r="AC909">
            <v>0</v>
          </cell>
          <cell r="AH909" t="str">
            <v>LOST SHOE CREEKChum</v>
          </cell>
          <cell r="AI909">
            <v>0</v>
          </cell>
          <cell r="AJ909">
            <v>0</v>
          </cell>
        </row>
        <row r="910">
          <cell r="AA910" t="str">
            <v>LOST SHOE CREEKChinook</v>
          </cell>
          <cell r="AB910">
            <v>0</v>
          </cell>
          <cell r="AC910">
            <v>0</v>
          </cell>
          <cell r="AH910" t="str">
            <v>LOST SHOE CREEKChinook</v>
          </cell>
          <cell r="AI910">
            <v>0</v>
          </cell>
          <cell r="AJ910">
            <v>0</v>
          </cell>
        </row>
        <row r="911">
          <cell r="AA911" t="str">
            <v>LOST SHOE CREEKSteelhead</v>
          </cell>
          <cell r="AB911">
            <v>0</v>
          </cell>
          <cell r="AC911">
            <v>0</v>
          </cell>
          <cell r="AH911" t="str">
            <v>LOST SHOE CREEKSteelhead</v>
          </cell>
          <cell r="AI911">
            <v>0</v>
          </cell>
          <cell r="AJ911">
            <v>0</v>
          </cell>
        </row>
        <row r="912">
          <cell r="AA912" t="str">
            <v>MEGIN RIVERSockeye</v>
          </cell>
          <cell r="AB912">
            <v>7</v>
          </cell>
          <cell r="AC912">
            <v>444</v>
          </cell>
          <cell r="AH912" t="str">
            <v>MEGIN RIVERSockeye</v>
          </cell>
          <cell r="AI912" t="str">
            <v>PL+D</v>
          </cell>
          <cell r="AJ912">
            <v>464</v>
          </cell>
        </row>
        <row r="913">
          <cell r="AA913" t="str">
            <v>MEGIN RIVERCoho</v>
          </cell>
          <cell r="AB913">
            <v>7</v>
          </cell>
          <cell r="AC913">
            <v>1103</v>
          </cell>
          <cell r="AH913" t="str">
            <v>MEGIN RIVERCoho</v>
          </cell>
          <cell r="AI913" t="str">
            <v>AUC</v>
          </cell>
          <cell r="AJ913">
            <v>1796</v>
          </cell>
        </row>
        <row r="914">
          <cell r="AA914" t="str">
            <v>MEGIN RIVERPink</v>
          </cell>
          <cell r="AB914">
            <v>7</v>
          </cell>
          <cell r="AC914">
            <v>40</v>
          </cell>
          <cell r="AH914" t="str">
            <v>MEGIN RIVERPink</v>
          </cell>
          <cell r="AI914" t="str">
            <v>AUC</v>
          </cell>
          <cell r="AJ914">
            <v>63</v>
          </cell>
        </row>
        <row r="915">
          <cell r="AA915" t="str">
            <v>MEGIN RIVERChum</v>
          </cell>
          <cell r="AB915">
            <v>7</v>
          </cell>
          <cell r="AC915">
            <v>630</v>
          </cell>
          <cell r="AH915" t="str">
            <v>MEGIN RIVERChum</v>
          </cell>
          <cell r="AI915" t="str">
            <v>AUC</v>
          </cell>
          <cell r="AJ915">
            <v>1065</v>
          </cell>
        </row>
        <row r="916">
          <cell r="AA916" t="str">
            <v>MEGIN RIVERChinook</v>
          </cell>
          <cell r="AB916">
            <v>7</v>
          </cell>
          <cell r="AC916">
            <v>44</v>
          </cell>
          <cell r="AH916" t="str">
            <v>MEGIN RIVERChinook</v>
          </cell>
          <cell r="AI916" t="str">
            <v>AUC</v>
          </cell>
          <cell r="AJ916">
            <v>73</v>
          </cell>
        </row>
        <row r="917">
          <cell r="AA917" t="str">
            <v>MEGIN RIVERSteelhead</v>
          </cell>
          <cell r="AB917">
            <v>7</v>
          </cell>
          <cell r="AC917">
            <v>1</v>
          </cell>
          <cell r="AH917" t="str">
            <v>MEGIN RIVERSteelhead</v>
          </cell>
          <cell r="AI917" t="str">
            <v>PL+D</v>
          </cell>
          <cell r="AJ917">
            <v>1</v>
          </cell>
        </row>
        <row r="918">
          <cell r="AA918" t="str">
            <v>MOYEHA RIVERSockeye</v>
          </cell>
          <cell r="AB918">
            <v>2</v>
          </cell>
          <cell r="AC918">
            <v>49</v>
          </cell>
          <cell r="AH918" t="str">
            <v>MOYEHA RIVERSockeye</v>
          </cell>
          <cell r="AI918" t="str">
            <v>PL+D</v>
          </cell>
          <cell r="AJ918">
            <v>49</v>
          </cell>
        </row>
        <row r="919">
          <cell r="AA919" t="str">
            <v>MOYEHA RIVERCoho</v>
          </cell>
          <cell r="AB919">
            <v>2</v>
          </cell>
          <cell r="AC919">
            <v>1138</v>
          </cell>
          <cell r="AH919" t="str">
            <v>MOYEHA RIVERCoho</v>
          </cell>
          <cell r="AI919" t="str">
            <v>PL+D</v>
          </cell>
          <cell r="AJ919">
            <v>1138</v>
          </cell>
        </row>
        <row r="920">
          <cell r="AA920" t="str">
            <v>MOYEHA RIVERPink</v>
          </cell>
          <cell r="AB920">
            <v>2</v>
          </cell>
          <cell r="AC920">
            <v>0</v>
          </cell>
          <cell r="AH920" t="str">
            <v>MOYEHA RIVERPink</v>
          </cell>
          <cell r="AI920">
            <v>0</v>
          </cell>
          <cell r="AJ920" t="str">
            <v>NO</v>
          </cell>
        </row>
        <row r="921">
          <cell r="AA921" t="str">
            <v>MOYEHA RIVERChum</v>
          </cell>
          <cell r="AB921">
            <v>2</v>
          </cell>
          <cell r="AC921">
            <v>1801</v>
          </cell>
          <cell r="AH921" t="str">
            <v>MOYEHA RIVERChum</v>
          </cell>
          <cell r="AI921" t="str">
            <v>PL+D</v>
          </cell>
          <cell r="AJ921">
            <v>1801</v>
          </cell>
        </row>
        <row r="922">
          <cell r="AA922" t="str">
            <v>MOYEHA RIVERChinook</v>
          </cell>
          <cell r="AB922">
            <v>2</v>
          </cell>
          <cell r="AC922">
            <v>5</v>
          </cell>
          <cell r="AH922" t="str">
            <v>MOYEHA RIVERChinook</v>
          </cell>
          <cell r="AI922" t="str">
            <v>PL+D</v>
          </cell>
          <cell r="AJ922">
            <v>5</v>
          </cell>
        </row>
        <row r="923">
          <cell r="AA923" t="str">
            <v>MOYEHA RIVERSteelhead</v>
          </cell>
          <cell r="AB923">
            <v>2</v>
          </cell>
          <cell r="AC923">
            <v>0</v>
          </cell>
          <cell r="AH923" t="str">
            <v>MOYEHA RIVERSteelhead</v>
          </cell>
          <cell r="AI923">
            <v>0</v>
          </cell>
          <cell r="AJ923" t="str">
            <v>NO</v>
          </cell>
        </row>
        <row r="924">
          <cell r="AA924" t="str">
            <v>RILEY CREEKSockeye</v>
          </cell>
          <cell r="AB924">
            <v>0</v>
          </cell>
          <cell r="AC924">
            <v>0</v>
          </cell>
          <cell r="AH924" t="str">
            <v>RILEY CREEKSockeye</v>
          </cell>
          <cell r="AI924">
            <v>0</v>
          </cell>
          <cell r="AJ924">
            <v>0</v>
          </cell>
        </row>
        <row r="925">
          <cell r="AA925" t="str">
            <v>RILEY CREEKCoho</v>
          </cell>
          <cell r="AB925">
            <v>0</v>
          </cell>
          <cell r="AC925">
            <v>0</v>
          </cell>
          <cell r="AH925" t="str">
            <v>RILEY CREEKCoho</v>
          </cell>
          <cell r="AI925">
            <v>0</v>
          </cell>
          <cell r="AJ925">
            <v>0</v>
          </cell>
        </row>
        <row r="926">
          <cell r="AA926" t="str">
            <v>RILEY CREEKPink</v>
          </cell>
          <cell r="AB926">
            <v>0</v>
          </cell>
          <cell r="AC926">
            <v>0</v>
          </cell>
          <cell r="AH926" t="str">
            <v>RILEY CREEKPink</v>
          </cell>
          <cell r="AI926">
            <v>0</v>
          </cell>
          <cell r="AJ926">
            <v>0</v>
          </cell>
        </row>
        <row r="927">
          <cell r="AA927" t="str">
            <v>RILEY CREEKChum</v>
          </cell>
          <cell r="AB927">
            <v>0</v>
          </cell>
          <cell r="AC927">
            <v>0</v>
          </cell>
          <cell r="AH927" t="str">
            <v>RILEY CREEKChum</v>
          </cell>
          <cell r="AI927">
            <v>0</v>
          </cell>
          <cell r="AJ927">
            <v>0</v>
          </cell>
        </row>
        <row r="928">
          <cell r="AA928" t="str">
            <v>RILEY CREEKChinook</v>
          </cell>
          <cell r="AB928">
            <v>0</v>
          </cell>
          <cell r="AC928">
            <v>0</v>
          </cell>
          <cell r="AH928" t="str">
            <v>RILEY CREEKChinook</v>
          </cell>
          <cell r="AI928">
            <v>0</v>
          </cell>
          <cell r="AJ928">
            <v>0</v>
          </cell>
        </row>
        <row r="929">
          <cell r="AA929" t="str">
            <v>RILEY CREEKSteelhead</v>
          </cell>
          <cell r="AB929">
            <v>0</v>
          </cell>
          <cell r="AC929">
            <v>0</v>
          </cell>
          <cell r="AH929" t="str">
            <v>RILEY CREEKSteelhead</v>
          </cell>
          <cell r="AI929">
            <v>0</v>
          </cell>
          <cell r="AJ929">
            <v>0</v>
          </cell>
        </row>
        <row r="930">
          <cell r="AA930" t="str">
            <v>SAND RIVERSockeye</v>
          </cell>
          <cell r="AB930">
            <v>0</v>
          </cell>
          <cell r="AC930">
            <v>0</v>
          </cell>
          <cell r="AH930" t="str">
            <v>SAND RIVERSockeye</v>
          </cell>
          <cell r="AI930">
            <v>0</v>
          </cell>
          <cell r="AJ930">
            <v>0</v>
          </cell>
        </row>
        <row r="931">
          <cell r="AA931" t="str">
            <v>SAND RIVERCoho</v>
          </cell>
          <cell r="AB931">
            <v>0</v>
          </cell>
          <cell r="AC931">
            <v>0</v>
          </cell>
          <cell r="AH931" t="str">
            <v>SAND RIVERCoho</v>
          </cell>
          <cell r="AI931">
            <v>0</v>
          </cell>
          <cell r="AJ931">
            <v>0</v>
          </cell>
        </row>
        <row r="932">
          <cell r="AA932" t="str">
            <v>SAND RIVERPink</v>
          </cell>
          <cell r="AB932">
            <v>0</v>
          </cell>
          <cell r="AC932">
            <v>0</v>
          </cell>
          <cell r="AH932" t="str">
            <v>SAND RIVERPink</v>
          </cell>
          <cell r="AI932">
            <v>0</v>
          </cell>
          <cell r="AJ932">
            <v>0</v>
          </cell>
        </row>
        <row r="933">
          <cell r="AA933" t="str">
            <v>SAND RIVERChum</v>
          </cell>
          <cell r="AB933">
            <v>0</v>
          </cell>
          <cell r="AC933">
            <v>0</v>
          </cell>
          <cell r="AH933" t="str">
            <v>SAND RIVERChum</v>
          </cell>
          <cell r="AI933">
            <v>0</v>
          </cell>
          <cell r="AJ933">
            <v>0</v>
          </cell>
        </row>
        <row r="934">
          <cell r="AA934" t="str">
            <v>SAND RIVERChinook</v>
          </cell>
          <cell r="AB934">
            <v>0</v>
          </cell>
          <cell r="AC934">
            <v>0</v>
          </cell>
          <cell r="AH934" t="str">
            <v>SAND RIVERChinook</v>
          </cell>
          <cell r="AI934">
            <v>0</v>
          </cell>
          <cell r="AJ934">
            <v>0</v>
          </cell>
        </row>
        <row r="935">
          <cell r="AA935" t="str">
            <v>SAND RIVERSteelhead</v>
          </cell>
          <cell r="AB935">
            <v>0</v>
          </cell>
          <cell r="AC935">
            <v>0</v>
          </cell>
          <cell r="AH935" t="str">
            <v>SAND RIVERSteelhead</v>
          </cell>
          <cell r="AI935">
            <v>0</v>
          </cell>
          <cell r="AJ935">
            <v>0</v>
          </cell>
        </row>
        <row r="936">
          <cell r="AA936" t="str">
            <v>SANDHILL CREEKSockeye</v>
          </cell>
          <cell r="AB936">
            <v>0</v>
          </cell>
          <cell r="AC936">
            <v>0</v>
          </cell>
          <cell r="AH936" t="str">
            <v>SANDHILL CREEKSockeye</v>
          </cell>
          <cell r="AI936">
            <v>0</v>
          </cell>
          <cell r="AJ936">
            <v>0</v>
          </cell>
        </row>
        <row r="937">
          <cell r="AA937" t="str">
            <v>SANDHILL CREEKCoho</v>
          </cell>
          <cell r="AB937">
            <v>0</v>
          </cell>
          <cell r="AC937">
            <v>0</v>
          </cell>
          <cell r="AH937" t="str">
            <v>SANDHILL CREEKCoho</v>
          </cell>
          <cell r="AI937">
            <v>0</v>
          </cell>
          <cell r="AJ937">
            <v>0</v>
          </cell>
        </row>
        <row r="938">
          <cell r="AA938" t="str">
            <v>SANDHILL CREEKPink</v>
          </cell>
          <cell r="AB938">
            <v>0</v>
          </cell>
          <cell r="AC938">
            <v>0</v>
          </cell>
          <cell r="AH938" t="str">
            <v>SANDHILL CREEKPink</v>
          </cell>
          <cell r="AI938">
            <v>0</v>
          </cell>
          <cell r="AJ938">
            <v>0</v>
          </cell>
        </row>
        <row r="939">
          <cell r="AA939" t="str">
            <v>SANDHILL CREEKChum</v>
          </cell>
          <cell r="AB939">
            <v>0</v>
          </cell>
          <cell r="AC939">
            <v>0</v>
          </cell>
          <cell r="AH939" t="str">
            <v>SANDHILL CREEKChum</v>
          </cell>
          <cell r="AI939">
            <v>0</v>
          </cell>
          <cell r="AJ939">
            <v>0</v>
          </cell>
        </row>
        <row r="940">
          <cell r="AA940" t="str">
            <v>SANDHILL CREEKChinook</v>
          </cell>
          <cell r="AB940">
            <v>0</v>
          </cell>
          <cell r="AC940">
            <v>0</v>
          </cell>
          <cell r="AH940" t="str">
            <v>SANDHILL CREEKChinook</v>
          </cell>
          <cell r="AI940">
            <v>0</v>
          </cell>
          <cell r="AJ940">
            <v>0</v>
          </cell>
        </row>
        <row r="941">
          <cell r="AA941" t="str">
            <v>SANDHILL CREEKSteelhead</v>
          </cell>
          <cell r="AB941">
            <v>0</v>
          </cell>
          <cell r="AC941">
            <v>0</v>
          </cell>
          <cell r="AH941" t="str">
            <v>SANDHILL CREEKSteelhead</v>
          </cell>
          <cell r="AI941">
            <v>0</v>
          </cell>
          <cell r="AJ941">
            <v>0</v>
          </cell>
        </row>
        <row r="942">
          <cell r="AA942" t="str">
            <v>SUTTON MILL CREEKSockeye</v>
          </cell>
          <cell r="AB942">
            <v>1</v>
          </cell>
          <cell r="AC942">
            <v>0</v>
          </cell>
          <cell r="AH942" t="str">
            <v>SUTTON MILL CREEKSockeye</v>
          </cell>
          <cell r="AI942">
            <v>0</v>
          </cell>
          <cell r="AJ942">
            <v>0</v>
          </cell>
        </row>
        <row r="943">
          <cell r="AA943" t="str">
            <v>SUTTON MILL CREEKCoho</v>
          </cell>
          <cell r="AB943">
            <v>1</v>
          </cell>
          <cell r="AC943">
            <v>0</v>
          </cell>
          <cell r="AH943" t="str">
            <v>SUTTON MILL CREEKCoho</v>
          </cell>
          <cell r="AI943">
            <v>0</v>
          </cell>
          <cell r="AJ943" t="str">
            <v>NO</v>
          </cell>
        </row>
        <row r="944">
          <cell r="AA944" t="str">
            <v>SUTTON MILL CREEKPink</v>
          </cell>
          <cell r="AB944">
            <v>1</v>
          </cell>
          <cell r="AC944">
            <v>0</v>
          </cell>
          <cell r="AH944" t="str">
            <v>SUTTON MILL CREEKPink</v>
          </cell>
          <cell r="AI944">
            <v>0</v>
          </cell>
          <cell r="AJ944">
            <v>0</v>
          </cell>
        </row>
        <row r="945">
          <cell r="AA945" t="str">
            <v>SUTTON MILL CREEKChum</v>
          </cell>
          <cell r="AB945">
            <v>1</v>
          </cell>
          <cell r="AC945">
            <v>3</v>
          </cell>
          <cell r="AH945" t="str">
            <v>SUTTON MILL CREEKChum</v>
          </cell>
          <cell r="AI945" t="str">
            <v>PL+D</v>
          </cell>
          <cell r="AJ945">
            <v>3</v>
          </cell>
        </row>
        <row r="946">
          <cell r="AA946" t="str">
            <v>SUTTON MILL CREEKChinook</v>
          </cell>
          <cell r="AB946">
            <v>1</v>
          </cell>
          <cell r="AC946">
            <v>0</v>
          </cell>
          <cell r="AH946" t="str">
            <v>SUTTON MILL CREEKChinook</v>
          </cell>
          <cell r="AI946">
            <v>0</v>
          </cell>
          <cell r="AJ946">
            <v>0</v>
          </cell>
        </row>
        <row r="947">
          <cell r="AA947" t="str">
            <v>SUTTON MILL CREEKSteelhead</v>
          </cell>
          <cell r="AB947">
            <v>1</v>
          </cell>
          <cell r="AC947">
            <v>0</v>
          </cell>
          <cell r="AH947" t="str">
            <v>SUTTON MILL CREEKSteelhead</v>
          </cell>
          <cell r="AI947">
            <v>0</v>
          </cell>
          <cell r="AJ947">
            <v>0</v>
          </cell>
        </row>
        <row r="948">
          <cell r="AA948" t="str">
            <v>SYDNEY RIVERSockeye</v>
          </cell>
          <cell r="AB948">
            <v>0</v>
          </cell>
          <cell r="AC948">
            <v>0</v>
          </cell>
          <cell r="AH948" t="str">
            <v>SYDNEY RIVERSockeye</v>
          </cell>
          <cell r="AI948">
            <v>0</v>
          </cell>
          <cell r="AJ948">
            <v>0</v>
          </cell>
        </row>
        <row r="949">
          <cell r="AA949" t="str">
            <v>SYDNEY RIVERCoho</v>
          </cell>
          <cell r="AB949">
            <v>0</v>
          </cell>
          <cell r="AC949">
            <v>0</v>
          </cell>
          <cell r="AH949" t="str">
            <v>SYDNEY RIVERCoho</v>
          </cell>
          <cell r="AI949">
            <v>0</v>
          </cell>
          <cell r="AJ949">
            <v>0</v>
          </cell>
        </row>
        <row r="950">
          <cell r="AA950" t="str">
            <v>SYDNEY RIVERPink</v>
          </cell>
          <cell r="AB950">
            <v>0</v>
          </cell>
          <cell r="AC950">
            <v>0</v>
          </cell>
          <cell r="AH950" t="str">
            <v>SYDNEY RIVERPink</v>
          </cell>
          <cell r="AI950">
            <v>0</v>
          </cell>
          <cell r="AJ950">
            <v>0</v>
          </cell>
        </row>
        <row r="951">
          <cell r="AA951" t="str">
            <v>SYDNEY RIVERChum</v>
          </cell>
          <cell r="AB951">
            <v>0</v>
          </cell>
          <cell r="AC951">
            <v>0</v>
          </cell>
          <cell r="AH951" t="str">
            <v>SYDNEY RIVERChum</v>
          </cell>
          <cell r="AI951">
            <v>0</v>
          </cell>
          <cell r="AJ951">
            <v>0</v>
          </cell>
        </row>
        <row r="952">
          <cell r="AA952" t="str">
            <v>SYDNEY RIVERChinook</v>
          </cell>
          <cell r="AB952">
            <v>0</v>
          </cell>
          <cell r="AC952">
            <v>0</v>
          </cell>
          <cell r="AH952" t="str">
            <v>SYDNEY RIVERChinook</v>
          </cell>
          <cell r="AI952">
            <v>0</v>
          </cell>
          <cell r="AJ952">
            <v>0</v>
          </cell>
        </row>
        <row r="953">
          <cell r="AA953" t="str">
            <v>SYDNEY RIVERSteelhead</v>
          </cell>
          <cell r="AB953">
            <v>0</v>
          </cell>
          <cell r="AC953">
            <v>0</v>
          </cell>
          <cell r="AH953" t="str">
            <v>SYDNEY RIVERSteelhead</v>
          </cell>
          <cell r="AI953">
            <v>0</v>
          </cell>
          <cell r="AJ953">
            <v>0</v>
          </cell>
        </row>
        <row r="954">
          <cell r="AA954" t="str">
            <v>TOFINO CREEKSockeye</v>
          </cell>
          <cell r="AB954">
            <v>1</v>
          </cell>
          <cell r="AC954">
            <v>0</v>
          </cell>
          <cell r="AH954" t="str">
            <v>TOFINO CREEKSockeye</v>
          </cell>
          <cell r="AI954">
            <v>0</v>
          </cell>
          <cell r="AJ954">
            <v>0</v>
          </cell>
        </row>
        <row r="955">
          <cell r="AA955" t="str">
            <v>TOFINO CREEKCoho</v>
          </cell>
          <cell r="AB955">
            <v>1</v>
          </cell>
          <cell r="AC955">
            <v>14</v>
          </cell>
          <cell r="AH955" t="str">
            <v>TOFINO CREEKCoho</v>
          </cell>
          <cell r="AI955" t="str">
            <v>PL+D</v>
          </cell>
          <cell r="AJ955">
            <v>15</v>
          </cell>
        </row>
        <row r="956">
          <cell r="AA956" t="str">
            <v>TOFINO CREEKPink</v>
          </cell>
          <cell r="AB956">
            <v>1</v>
          </cell>
          <cell r="AC956">
            <v>0</v>
          </cell>
          <cell r="AH956" t="str">
            <v>TOFINO CREEKPink</v>
          </cell>
          <cell r="AI956">
            <v>0</v>
          </cell>
          <cell r="AJ956">
            <v>0</v>
          </cell>
        </row>
        <row r="957">
          <cell r="AA957" t="str">
            <v>TOFINO CREEKChum</v>
          </cell>
          <cell r="AB957">
            <v>1</v>
          </cell>
          <cell r="AC957">
            <v>761</v>
          </cell>
          <cell r="AH957" t="str">
            <v>TOFINO CREEKChum</v>
          </cell>
          <cell r="AI957" t="str">
            <v>PL+D</v>
          </cell>
          <cell r="AJ957">
            <v>836</v>
          </cell>
        </row>
        <row r="958">
          <cell r="AA958" t="str">
            <v>TOFINO CREEKChinook</v>
          </cell>
          <cell r="AB958">
            <v>1</v>
          </cell>
          <cell r="AC958">
            <v>2</v>
          </cell>
          <cell r="AH958" t="str">
            <v>TOFINO CREEKChinook</v>
          </cell>
          <cell r="AI958" t="str">
            <v>PL+D</v>
          </cell>
          <cell r="AJ958">
            <v>2</v>
          </cell>
        </row>
        <row r="959">
          <cell r="AA959" t="str">
            <v>TOFINO CREEKSteelhead</v>
          </cell>
          <cell r="AB959">
            <v>1</v>
          </cell>
          <cell r="AC959">
            <v>0</v>
          </cell>
          <cell r="AH959" t="str">
            <v>TOFINO CREEKSteelhead</v>
          </cell>
          <cell r="AI959">
            <v>0</v>
          </cell>
          <cell r="AJ959">
            <v>0</v>
          </cell>
        </row>
        <row r="960">
          <cell r="AA960" t="str">
            <v>TRANQUIL CREEKSockeye</v>
          </cell>
          <cell r="AB960">
            <v>11</v>
          </cell>
          <cell r="AC960">
            <v>24</v>
          </cell>
          <cell r="AH960" t="str">
            <v>TRANQUIL CREEKSockeye</v>
          </cell>
          <cell r="AI960" t="str">
            <v>AUC</v>
          </cell>
          <cell r="AJ960">
            <v>40</v>
          </cell>
        </row>
        <row r="961">
          <cell r="AA961" t="str">
            <v>TRANQUIL CREEKCoho</v>
          </cell>
          <cell r="AB961">
            <v>11</v>
          </cell>
          <cell r="AC961">
            <v>853</v>
          </cell>
          <cell r="AH961" t="str">
            <v>TRANQUIL CREEKCoho</v>
          </cell>
          <cell r="AI961" t="str">
            <v>AUC</v>
          </cell>
          <cell r="AJ961">
            <v>1304</v>
          </cell>
        </row>
        <row r="962">
          <cell r="AA962" t="str">
            <v>TRANQUIL CREEKPink</v>
          </cell>
          <cell r="AB962">
            <v>11</v>
          </cell>
          <cell r="AC962">
            <v>5</v>
          </cell>
          <cell r="AH962" t="str">
            <v>TRANQUIL CREEKPink</v>
          </cell>
          <cell r="AI962" t="str">
            <v>AUC</v>
          </cell>
          <cell r="AJ962">
            <v>8</v>
          </cell>
        </row>
        <row r="963">
          <cell r="AA963" t="str">
            <v>TRANQUIL CREEKChum</v>
          </cell>
          <cell r="AB963">
            <v>11</v>
          </cell>
          <cell r="AC963">
            <v>7242</v>
          </cell>
          <cell r="AH963" t="str">
            <v>TRANQUIL CREEKChum</v>
          </cell>
          <cell r="AI963" t="str">
            <v>AUC</v>
          </cell>
          <cell r="AJ963">
            <v>12062</v>
          </cell>
        </row>
        <row r="964">
          <cell r="AA964" t="str">
            <v>TRANQUIL CREEKChinook</v>
          </cell>
          <cell r="AB964">
            <v>11</v>
          </cell>
          <cell r="AC964">
            <v>432</v>
          </cell>
          <cell r="AH964" t="str">
            <v>TRANQUIL CREEKChinook</v>
          </cell>
          <cell r="AI964" t="str">
            <v>AUC</v>
          </cell>
          <cell r="AJ964">
            <v>684</v>
          </cell>
        </row>
        <row r="965">
          <cell r="AA965" t="str">
            <v>TRANQUIL CREEKSteelhead</v>
          </cell>
          <cell r="AB965">
            <v>11</v>
          </cell>
          <cell r="AC965">
            <v>2</v>
          </cell>
          <cell r="AH965" t="str">
            <v>TRANQUIL CREEKSteelhead</v>
          </cell>
          <cell r="AI965" t="str">
            <v>PL+D</v>
          </cell>
          <cell r="AJ965">
            <v>2</v>
          </cell>
        </row>
        <row r="966">
          <cell r="AA966" t="str">
            <v>WARN BAY CREEKSockeye</v>
          </cell>
          <cell r="AB966">
            <v>1</v>
          </cell>
          <cell r="AC966">
            <v>0</v>
          </cell>
          <cell r="AH966" t="str">
            <v>WARN BAY CREEKSockeye</v>
          </cell>
          <cell r="AI966">
            <v>0</v>
          </cell>
          <cell r="AJ966">
            <v>0</v>
          </cell>
        </row>
        <row r="967">
          <cell r="AA967" t="str">
            <v>WARN BAY CREEKCoho</v>
          </cell>
          <cell r="AB967">
            <v>1</v>
          </cell>
          <cell r="AC967">
            <v>77</v>
          </cell>
          <cell r="AH967" t="str">
            <v>WARN BAY CREEKCoho</v>
          </cell>
          <cell r="AI967" t="str">
            <v>PL+D</v>
          </cell>
          <cell r="AJ967">
            <v>79</v>
          </cell>
        </row>
        <row r="968">
          <cell r="AA968" t="str">
            <v>WARN BAY CREEKPink</v>
          </cell>
          <cell r="AB968">
            <v>1</v>
          </cell>
          <cell r="AC968">
            <v>0</v>
          </cell>
          <cell r="AH968" t="str">
            <v>WARN BAY CREEKPink</v>
          </cell>
          <cell r="AI968">
            <v>0</v>
          </cell>
          <cell r="AJ968">
            <v>0</v>
          </cell>
        </row>
        <row r="969">
          <cell r="AA969" t="str">
            <v>WARN BAY CREEKChum</v>
          </cell>
          <cell r="AB969">
            <v>1</v>
          </cell>
          <cell r="AC969">
            <v>192</v>
          </cell>
          <cell r="AH969" t="str">
            <v>WARN BAY CREEKChum</v>
          </cell>
          <cell r="AI969" t="str">
            <v>PL+D</v>
          </cell>
          <cell r="AJ969">
            <v>196</v>
          </cell>
        </row>
        <row r="970">
          <cell r="AA970" t="str">
            <v>WARN BAY CREEKChinook</v>
          </cell>
          <cell r="AB970">
            <v>1</v>
          </cell>
          <cell r="AC970">
            <v>16</v>
          </cell>
          <cell r="AH970" t="str">
            <v>WARN BAY CREEKChinook</v>
          </cell>
          <cell r="AI970" t="str">
            <v>PL+D</v>
          </cell>
          <cell r="AJ970">
            <v>16</v>
          </cell>
        </row>
        <row r="971">
          <cell r="AA971" t="str">
            <v>WARN BAY CREEKSteelhead</v>
          </cell>
          <cell r="AB971">
            <v>1</v>
          </cell>
          <cell r="AC971">
            <v>0</v>
          </cell>
          <cell r="AH971" t="str">
            <v>WARN BAY CREEKSteelhead</v>
          </cell>
          <cell r="AI971">
            <v>0</v>
          </cell>
          <cell r="AJ971">
            <v>0</v>
          </cell>
        </row>
        <row r="972">
          <cell r="AA972" t="str">
            <v>WATTA CREEKSockeye</v>
          </cell>
          <cell r="AB972">
            <v>0</v>
          </cell>
          <cell r="AC972">
            <v>0</v>
          </cell>
          <cell r="AH972" t="str">
            <v>WATTA CREEKSockeye</v>
          </cell>
          <cell r="AI972">
            <v>0</v>
          </cell>
          <cell r="AJ972">
            <v>0</v>
          </cell>
        </row>
        <row r="973">
          <cell r="AA973" t="str">
            <v>WATTA CREEKCoho</v>
          </cell>
          <cell r="AB973">
            <v>0</v>
          </cell>
          <cell r="AC973">
            <v>0</v>
          </cell>
          <cell r="AH973" t="str">
            <v>WATTA CREEKCoho</v>
          </cell>
          <cell r="AI973">
            <v>0</v>
          </cell>
          <cell r="AJ973">
            <v>0</v>
          </cell>
        </row>
        <row r="974">
          <cell r="AA974" t="str">
            <v>WATTA CREEKPink</v>
          </cell>
          <cell r="AB974">
            <v>0</v>
          </cell>
          <cell r="AC974">
            <v>0</v>
          </cell>
          <cell r="AH974" t="str">
            <v>WATTA CREEKPink</v>
          </cell>
          <cell r="AI974">
            <v>0</v>
          </cell>
          <cell r="AJ974">
            <v>0</v>
          </cell>
        </row>
        <row r="975">
          <cell r="AA975" t="str">
            <v>WATTA CREEKChum</v>
          </cell>
          <cell r="AB975">
            <v>0</v>
          </cell>
          <cell r="AC975">
            <v>0</v>
          </cell>
          <cell r="AH975" t="str">
            <v>WATTA CREEKChum</v>
          </cell>
          <cell r="AI975">
            <v>0</v>
          </cell>
          <cell r="AJ975">
            <v>0</v>
          </cell>
        </row>
        <row r="976">
          <cell r="AA976" t="str">
            <v>WATTA CREEKChinook</v>
          </cell>
          <cell r="AB976">
            <v>0</v>
          </cell>
          <cell r="AC976">
            <v>0</v>
          </cell>
          <cell r="AH976" t="str">
            <v>WATTA CREEKChinook</v>
          </cell>
          <cell r="AI976">
            <v>0</v>
          </cell>
          <cell r="AJ976">
            <v>0</v>
          </cell>
        </row>
        <row r="977">
          <cell r="AA977" t="str">
            <v>WATTA CREEKSteelhead</v>
          </cell>
          <cell r="AB977">
            <v>0</v>
          </cell>
          <cell r="AC977">
            <v>0</v>
          </cell>
          <cell r="AH977" t="str">
            <v>WATTA CREEKSteelhead</v>
          </cell>
          <cell r="AI977">
            <v>0</v>
          </cell>
          <cell r="AJ977">
            <v>0</v>
          </cell>
        </row>
        <row r="978">
          <cell r="AA978" t="str">
            <v>WHITE PINE COVE CREEKSockeye</v>
          </cell>
          <cell r="AB978">
            <v>2</v>
          </cell>
          <cell r="AC978">
            <v>0</v>
          </cell>
          <cell r="AH978" t="str">
            <v>WHITE PINE COVE CREEKSockeye</v>
          </cell>
          <cell r="AI978">
            <v>0</v>
          </cell>
          <cell r="AJ978">
            <v>0</v>
          </cell>
        </row>
        <row r="979">
          <cell r="AA979" t="str">
            <v>WHITE PINE COVE CREEKCoho</v>
          </cell>
          <cell r="AB979">
            <v>2</v>
          </cell>
          <cell r="AC979">
            <v>0</v>
          </cell>
          <cell r="AH979" t="str">
            <v>WHITE PINE COVE CREEKCoho</v>
          </cell>
          <cell r="AI979">
            <v>0</v>
          </cell>
          <cell r="AJ979" t="str">
            <v>NO</v>
          </cell>
        </row>
        <row r="980">
          <cell r="AA980" t="str">
            <v>WHITE PINE COVE CREEKPink</v>
          </cell>
          <cell r="AB980">
            <v>2</v>
          </cell>
          <cell r="AC980">
            <v>0</v>
          </cell>
          <cell r="AH980" t="str">
            <v>WHITE PINE COVE CREEKPink</v>
          </cell>
          <cell r="AI980">
            <v>0</v>
          </cell>
          <cell r="AJ980">
            <v>0</v>
          </cell>
        </row>
        <row r="981">
          <cell r="AA981" t="str">
            <v>WHITE PINE COVE CREEKChum</v>
          </cell>
          <cell r="AB981">
            <v>2</v>
          </cell>
          <cell r="AC981">
            <v>44</v>
          </cell>
          <cell r="AH981" t="str">
            <v>WHITE PINE COVE CREEKChum</v>
          </cell>
          <cell r="AI981" t="str">
            <v>PL+D</v>
          </cell>
          <cell r="AJ981">
            <v>44</v>
          </cell>
        </row>
        <row r="982">
          <cell r="AA982" t="str">
            <v>WHITE PINE COVE CREEKChinook</v>
          </cell>
          <cell r="AB982">
            <v>2</v>
          </cell>
          <cell r="AC982">
            <v>0</v>
          </cell>
          <cell r="AH982" t="str">
            <v>WHITE PINE COVE CREEKChinook</v>
          </cell>
          <cell r="AI982">
            <v>0</v>
          </cell>
          <cell r="AJ982" t="str">
            <v>NO</v>
          </cell>
        </row>
        <row r="983">
          <cell r="AA983" t="str">
            <v>WHITE PINE COVE CREEKSteelhead</v>
          </cell>
          <cell r="AB983">
            <v>2</v>
          </cell>
          <cell r="AC983">
            <v>0</v>
          </cell>
          <cell r="AH983" t="str">
            <v>WHITE PINE COVE CREEKSteelhead</v>
          </cell>
          <cell r="AI983">
            <v>0</v>
          </cell>
          <cell r="AJ983">
            <v>0</v>
          </cell>
        </row>
        <row r="984">
          <cell r="AA984" t="str">
            <v>HAMMOND CREEKSockeye</v>
          </cell>
          <cell r="AB984">
            <v>0</v>
          </cell>
          <cell r="AC984">
            <v>0</v>
          </cell>
          <cell r="AH984" t="str">
            <v>HAMMOND CREEKSockeye</v>
          </cell>
          <cell r="AI984">
            <v>0</v>
          </cell>
          <cell r="AJ984">
            <v>0</v>
          </cell>
        </row>
        <row r="985">
          <cell r="AA985" t="str">
            <v>HAMMOND CREEKCoho</v>
          </cell>
          <cell r="AB985">
            <v>0</v>
          </cell>
          <cell r="AC985">
            <v>0</v>
          </cell>
          <cell r="AH985" t="str">
            <v>HAMMOND CREEKCoho</v>
          </cell>
          <cell r="AI985">
            <v>0</v>
          </cell>
          <cell r="AJ985">
            <v>0</v>
          </cell>
        </row>
        <row r="986">
          <cell r="AA986" t="str">
            <v>HAMMOND CREEKPink</v>
          </cell>
          <cell r="AB986">
            <v>0</v>
          </cell>
          <cell r="AC986">
            <v>0</v>
          </cell>
          <cell r="AH986" t="str">
            <v>HAMMOND CREEKPink</v>
          </cell>
          <cell r="AI986">
            <v>0</v>
          </cell>
          <cell r="AJ986">
            <v>0</v>
          </cell>
        </row>
        <row r="987">
          <cell r="AA987" t="str">
            <v>HAMMOND CREEKChum</v>
          </cell>
          <cell r="AB987">
            <v>0</v>
          </cell>
          <cell r="AC987">
            <v>0</v>
          </cell>
          <cell r="AH987" t="str">
            <v>HAMMOND CREEKChum</v>
          </cell>
          <cell r="AI987">
            <v>0</v>
          </cell>
          <cell r="AJ987">
            <v>0</v>
          </cell>
        </row>
        <row r="988">
          <cell r="AA988" t="str">
            <v>HAMMOND CREEKChinook</v>
          </cell>
          <cell r="AB988">
            <v>0</v>
          </cell>
          <cell r="AC988">
            <v>0</v>
          </cell>
          <cell r="AH988" t="str">
            <v>HAMMOND CREEKChinook</v>
          </cell>
          <cell r="AI988">
            <v>0</v>
          </cell>
          <cell r="AJ988">
            <v>0</v>
          </cell>
        </row>
        <row r="989">
          <cell r="AA989" t="str">
            <v>HAMMOND CREEKSteelhead</v>
          </cell>
          <cell r="AB989">
            <v>0</v>
          </cell>
          <cell r="AC989">
            <v>0</v>
          </cell>
          <cell r="AH989" t="str">
            <v>HAMMOND CREEKSteelhead</v>
          </cell>
          <cell r="AI989">
            <v>0</v>
          </cell>
          <cell r="AJ989">
            <v>0</v>
          </cell>
        </row>
        <row r="990">
          <cell r="AA990" t="str">
            <v>HOISS CREEKSockeye</v>
          </cell>
          <cell r="AB990">
            <v>0</v>
          </cell>
          <cell r="AC990">
            <v>0</v>
          </cell>
          <cell r="AH990" t="str">
            <v>HOISS CREEKSockeye</v>
          </cell>
          <cell r="AI990">
            <v>0</v>
          </cell>
          <cell r="AJ990">
            <v>0</v>
          </cell>
        </row>
        <row r="991">
          <cell r="AA991" t="str">
            <v>HOISS CREEKCoho</v>
          </cell>
          <cell r="AB991">
            <v>0</v>
          </cell>
          <cell r="AC991">
            <v>0</v>
          </cell>
          <cell r="AH991" t="str">
            <v>HOISS CREEKCoho</v>
          </cell>
          <cell r="AI991">
            <v>0</v>
          </cell>
          <cell r="AJ991">
            <v>0</v>
          </cell>
        </row>
        <row r="992">
          <cell r="AA992" t="str">
            <v>HOISS CREEKPink</v>
          </cell>
          <cell r="AB992">
            <v>0</v>
          </cell>
          <cell r="AC992">
            <v>0</v>
          </cell>
          <cell r="AH992" t="str">
            <v>HOISS CREEKPink</v>
          </cell>
          <cell r="AI992">
            <v>0</v>
          </cell>
          <cell r="AJ992">
            <v>0</v>
          </cell>
        </row>
        <row r="993">
          <cell r="AA993" t="str">
            <v>HOISS CREEKChum</v>
          </cell>
          <cell r="AB993">
            <v>0</v>
          </cell>
          <cell r="AC993">
            <v>0</v>
          </cell>
          <cell r="AH993" t="str">
            <v>HOISS CREEKChum</v>
          </cell>
          <cell r="AI993">
            <v>0</v>
          </cell>
          <cell r="AJ993">
            <v>0</v>
          </cell>
        </row>
        <row r="994">
          <cell r="AA994" t="str">
            <v>HOISS CREEKChinook</v>
          </cell>
          <cell r="AB994">
            <v>0</v>
          </cell>
          <cell r="AC994">
            <v>0</v>
          </cell>
          <cell r="AH994" t="str">
            <v>HOISS CREEKChinook</v>
          </cell>
          <cell r="AI994">
            <v>0</v>
          </cell>
          <cell r="AJ994">
            <v>0</v>
          </cell>
        </row>
        <row r="995">
          <cell r="AA995" t="str">
            <v>HOISS CREEKSteelhead</v>
          </cell>
          <cell r="AB995">
            <v>0</v>
          </cell>
          <cell r="AC995">
            <v>0</v>
          </cell>
          <cell r="AH995" t="str">
            <v>HOISS CREEKSteelhead</v>
          </cell>
          <cell r="AI995">
            <v>0</v>
          </cell>
          <cell r="AJ995">
            <v>0</v>
          </cell>
        </row>
        <row r="996">
          <cell r="AA996" t="str">
            <v>INNER BASIN CREEK (Black C)Sockeye</v>
          </cell>
          <cell r="AB996">
            <v>0</v>
          </cell>
          <cell r="AC996">
            <v>0</v>
          </cell>
          <cell r="AH996" t="str">
            <v>INNER BASIN CREEK (Black C)Sockeye</v>
          </cell>
          <cell r="AI996">
            <v>0</v>
          </cell>
          <cell r="AJ996">
            <v>0</v>
          </cell>
        </row>
        <row r="997">
          <cell r="AA997" t="str">
            <v>INNER BASIN CREEK (Black C)Coho</v>
          </cell>
          <cell r="AB997">
            <v>0</v>
          </cell>
          <cell r="AC997">
            <v>0</v>
          </cell>
          <cell r="AH997" t="str">
            <v>INNER BASIN CREEK (Black C)Coho</v>
          </cell>
          <cell r="AI997">
            <v>0</v>
          </cell>
          <cell r="AJ997">
            <v>0</v>
          </cell>
        </row>
        <row r="998">
          <cell r="AA998" t="str">
            <v>INNER BASIN CREEK (Black C)Pink</v>
          </cell>
          <cell r="AB998">
            <v>0</v>
          </cell>
          <cell r="AC998">
            <v>0</v>
          </cell>
          <cell r="AH998" t="str">
            <v>INNER BASIN CREEK (Black C)Pink</v>
          </cell>
          <cell r="AI998">
            <v>0</v>
          </cell>
          <cell r="AJ998">
            <v>0</v>
          </cell>
        </row>
        <row r="999">
          <cell r="AA999" t="str">
            <v>INNER BASIN CREEK (Black C)Chum</v>
          </cell>
          <cell r="AB999">
            <v>0</v>
          </cell>
          <cell r="AC999">
            <v>0</v>
          </cell>
          <cell r="AH999" t="str">
            <v>INNER BASIN CREEK (Black C)Chum</v>
          </cell>
          <cell r="AI999">
            <v>0</v>
          </cell>
          <cell r="AJ999">
            <v>0</v>
          </cell>
        </row>
        <row r="1000">
          <cell r="AA1000" t="str">
            <v>INNER BASIN CREEK (Black C)Chinook</v>
          </cell>
          <cell r="AB1000">
            <v>0</v>
          </cell>
          <cell r="AC1000">
            <v>0</v>
          </cell>
          <cell r="AH1000" t="str">
            <v>INNER BASIN CREEK (Black C)Chinook</v>
          </cell>
          <cell r="AI1000">
            <v>0</v>
          </cell>
          <cell r="AJ1000">
            <v>0</v>
          </cell>
        </row>
        <row r="1001">
          <cell r="AA1001" t="str">
            <v>INNER BASIN CREEK (Black C)Steelhead</v>
          </cell>
          <cell r="AB1001">
            <v>0</v>
          </cell>
          <cell r="AC1001">
            <v>0</v>
          </cell>
          <cell r="AH1001" t="str">
            <v>INNER BASIN CREEK (Black C)Steelhead</v>
          </cell>
          <cell r="AI1001">
            <v>0</v>
          </cell>
          <cell r="AJ1001">
            <v>0</v>
          </cell>
        </row>
        <row r="1002">
          <cell r="AA1002" t="str">
            <v>INNER BASIN RIVER (Ransom C)Sockeye</v>
          </cell>
          <cell r="AB1002">
            <v>0</v>
          </cell>
          <cell r="AC1002">
            <v>0</v>
          </cell>
          <cell r="AH1002" t="str">
            <v>INNER BASIN RIVER (Ransom C)Sockeye</v>
          </cell>
          <cell r="AI1002">
            <v>0</v>
          </cell>
          <cell r="AJ1002">
            <v>0</v>
          </cell>
        </row>
        <row r="1003">
          <cell r="AA1003" t="str">
            <v>INNER BASIN RIVER (Ransom C)Coho</v>
          </cell>
          <cell r="AB1003">
            <v>0</v>
          </cell>
          <cell r="AC1003">
            <v>0</v>
          </cell>
          <cell r="AH1003" t="str">
            <v>INNER BASIN RIVER (Ransom C)Coho</v>
          </cell>
          <cell r="AI1003">
            <v>0</v>
          </cell>
          <cell r="AJ1003">
            <v>0</v>
          </cell>
        </row>
        <row r="1004">
          <cell r="AA1004" t="str">
            <v>INNER BASIN RIVER (Ransom C)Pink</v>
          </cell>
          <cell r="AB1004">
            <v>0</v>
          </cell>
          <cell r="AC1004">
            <v>0</v>
          </cell>
          <cell r="AH1004" t="str">
            <v>INNER BASIN RIVER (Ransom C)Pink</v>
          </cell>
          <cell r="AI1004">
            <v>0</v>
          </cell>
          <cell r="AJ1004">
            <v>0</v>
          </cell>
        </row>
        <row r="1005">
          <cell r="AA1005" t="str">
            <v>INNER BASIN RIVER (Ransom C)Chum</v>
          </cell>
          <cell r="AB1005">
            <v>0</v>
          </cell>
          <cell r="AC1005">
            <v>0</v>
          </cell>
          <cell r="AH1005" t="str">
            <v>INNER BASIN RIVER (Ransom C)Chum</v>
          </cell>
          <cell r="AI1005">
            <v>0</v>
          </cell>
          <cell r="AJ1005">
            <v>0</v>
          </cell>
        </row>
        <row r="1006">
          <cell r="AA1006" t="str">
            <v>INNER BASIN RIVER (Ransom C)Chinook</v>
          </cell>
          <cell r="AB1006">
            <v>0</v>
          </cell>
          <cell r="AC1006">
            <v>0</v>
          </cell>
          <cell r="AH1006" t="str">
            <v>INNER BASIN RIVER (Ransom C)Chinook</v>
          </cell>
          <cell r="AI1006">
            <v>0</v>
          </cell>
          <cell r="AJ1006">
            <v>0</v>
          </cell>
        </row>
        <row r="1007">
          <cell r="AA1007" t="str">
            <v>INNER BASIN RIVER (Ransom C)Steelhead</v>
          </cell>
          <cell r="AB1007">
            <v>0</v>
          </cell>
          <cell r="AC1007">
            <v>0</v>
          </cell>
          <cell r="AH1007" t="str">
            <v>INNER BASIN RIVER (Ransom C)Steelhead</v>
          </cell>
          <cell r="AI1007">
            <v>0</v>
          </cell>
          <cell r="AJ1007">
            <v>0</v>
          </cell>
        </row>
        <row r="1008">
          <cell r="AA1008" t="str">
            <v>KENDRICK CREEKSockeye</v>
          </cell>
          <cell r="AB1008">
            <v>0</v>
          </cell>
          <cell r="AC1008">
            <v>0</v>
          </cell>
          <cell r="AH1008" t="str">
            <v>KENDRICK CREEKSockeye</v>
          </cell>
          <cell r="AI1008">
            <v>0</v>
          </cell>
          <cell r="AJ1008">
            <v>0</v>
          </cell>
        </row>
        <row r="1009">
          <cell r="AA1009" t="str">
            <v>KENDRICK CREEKCoho</v>
          </cell>
          <cell r="AB1009">
            <v>0</v>
          </cell>
          <cell r="AC1009">
            <v>0</v>
          </cell>
          <cell r="AH1009" t="str">
            <v>KENDRICK CREEKCoho</v>
          </cell>
          <cell r="AI1009">
            <v>0</v>
          </cell>
          <cell r="AJ1009">
            <v>0</v>
          </cell>
        </row>
        <row r="1010">
          <cell r="AA1010" t="str">
            <v>KENDRICK CREEKPink</v>
          </cell>
          <cell r="AB1010">
            <v>0</v>
          </cell>
          <cell r="AC1010">
            <v>0</v>
          </cell>
          <cell r="AH1010" t="str">
            <v>KENDRICK CREEKPink</v>
          </cell>
          <cell r="AI1010">
            <v>0</v>
          </cell>
          <cell r="AJ1010">
            <v>0</v>
          </cell>
        </row>
        <row r="1011">
          <cell r="AA1011" t="str">
            <v>KENDRICK CREEKChum</v>
          </cell>
          <cell r="AB1011">
            <v>0</v>
          </cell>
          <cell r="AC1011">
            <v>0</v>
          </cell>
          <cell r="AH1011" t="str">
            <v>KENDRICK CREEKChum</v>
          </cell>
          <cell r="AI1011">
            <v>0</v>
          </cell>
          <cell r="AJ1011">
            <v>0</v>
          </cell>
        </row>
        <row r="1012">
          <cell r="AA1012" t="str">
            <v>KENDRICK CREEKChinook</v>
          </cell>
          <cell r="AB1012">
            <v>0</v>
          </cell>
          <cell r="AC1012">
            <v>0</v>
          </cell>
          <cell r="AH1012" t="str">
            <v>KENDRICK CREEKChinook</v>
          </cell>
          <cell r="AI1012">
            <v>0</v>
          </cell>
          <cell r="AJ1012">
            <v>0</v>
          </cell>
        </row>
        <row r="1013">
          <cell r="AA1013" t="str">
            <v>KENDRICK CREEKSteelhead</v>
          </cell>
          <cell r="AB1013">
            <v>0</v>
          </cell>
          <cell r="AC1013">
            <v>0</v>
          </cell>
          <cell r="AH1013" t="str">
            <v>KENDRICK CREEKSteelhead</v>
          </cell>
          <cell r="AI1013">
            <v>0</v>
          </cell>
          <cell r="AJ1013">
            <v>0</v>
          </cell>
        </row>
        <row r="1014">
          <cell r="AA1014" t="str">
            <v>KLEEPTEE CREEKSockeye</v>
          </cell>
          <cell r="AB1014">
            <v>0</v>
          </cell>
          <cell r="AC1014">
            <v>0</v>
          </cell>
          <cell r="AH1014" t="str">
            <v>KLEEPTEE CREEKSockeye</v>
          </cell>
          <cell r="AI1014">
            <v>0</v>
          </cell>
          <cell r="AJ1014">
            <v>0</v>
          </cell>
        </row>
        <row r="1015">
          <cell r="AA1015" t="str">
            <v>KLEEPTEE CREEKCoho</v>
          </cell>
          <cell r="AB1015">
            <v>0</v>
          </cell>
          <cell r="AC1015">
            <v>0</v>
          </cell>
          <cell r="AH1015" t="str">
            <v>KLEEPTEE CREEKCoho</v>
          </cell>
          <cell r="AI1015">
            <v>0</v>
          </cell>
          <cell r="AJ1015">
            <v>0</v>
          </cell>
        </row>
        <row r="1016">
          <cell r="AA1016" t="str">
            <v>KLEEPTEE CREEKPink</v>
          </cell>
          <cell r="AB1016">
            <v>0</v>
          </cell>
          <cell r="AC1016">
            <v>0</v>
          </cell>
          <cell r="AH1016" t="str">
            <v>KLEEPTEE CREEKPink</v>
          </cell>
          <cell r="AI1016">
            <v>0</v>
          </cell>
          <cell r="AJ1016">
            <v>0</v>
          </cell>
        </row>
        <row r="1017">
          <cell r="AA1017" t="str">
            <v>KLEEPTEE CREEKChum</v>
          </cell>
          <cell r="AB1017">
            <v>0</v>
          </cell>
          <cell r="AC1017">
            <v>0</v>
          </cell>
          <cell r="AH1017" t="str">
            <v>KLEEPTEE CREEKChum</v>
          </cell>
          <cell r="AI1017">
            <v>0</v>
          </cell>
          <cell r="AJ1017">
            <v>0</v>
          </cell>
        </row>
        <row r="1018">
          <cell r="AA1018" t="str">
            <v>KLEEPTEE CREEKChinook</v>
          </cell>
          <cell r="AB1018">
            <v>0</v>
          </cell>
          <cell r="AC1018">
            <v>0</v>
          </cell>
          <cell r="AH1018" t="str">
            <v>KLEEPTEE CREEKChinook</v>
          </cell>
          <cell r="AI1018">
            <v>0</v>
          </cell>
          <cell r="AJ1018">
            <v>0</v>
          </cell>
        </row>
        <row r="1019">
          <cell r="AA1019" t="str">
            <v>KLEEPTEE CREEKSteelhead</v>
          </cell>
          <cell r="AB1019">
            <v>0</v>
          </cell>
          <cell r="AC1019">
            <v>0</v>
          </cell>
          <cell r="AH1019" t="str">
            <v>KLEEPTEE CREEKSteelhead</v>
          </cell>
          <cell r="AI1019">
            <v>0</v>
          </cell>
          <cell r="AJ1019">
            <v>0</v>
          </cell>
        </row>
        <row r="1020">
          <cell r="AA1020" t="str">
            <v>LEINER RIVERSockeye</v>
          </cell>
          <cell r="AB1020">
            <v>6</v>
          </cell>
          <cell r="AC1020">
            <v>97</v>
          </cell>
          <cell r="AH1020" t="str">
            <v>LEINER RIVERSockeye</v>
          </cell>
          <cell r="AI1020" t="str">
            <v>AUC</v>
          </cell>
          <cell r="AJ1020">
            <v>266</v>
          </cell>
        </row>
        <row r="1021">
          <cell r="AA1021" t="str">
            <v>LEINER RIVERCoho</v>
          </cell>
          <cell r="AB1021">
            <v>6</v>
          </cell>
          <cell r="AC1021">
            <v>219</v>
          </cell>
          <cell r="AH1021" t="str">
            <v>LEINER RIVERCoho</v>
          </cell>
          <cell r="AI1021" t="str">
            <v>AUC</v>
          </cell>
          <cell r="AJ1021">
            <v>358</v>
          </cell>
        </row>
        <row r="1022">
          <cell r="AA1022" t="str">
            <v>LEINER RIVERPink</v>
          </cell>
          <cell r="AB1022">
            <v>6</v>
          </cell>
          <cell r="AC1022">
            <v>4</v>
          </cell>
          <cell r="AH1022" t="str">
            <v>LEINER RIVERPink</v>
          </cell>
          <cell r="AI1022" t="str">
            <v>PL+D</v>
          </cell>
          <cell r="AJ1022">
            <v>4</v>
          </cell>
        </row>
        <row r="1023">
          <cell r="AA1023" t="str">
            <v>LEINER RIVERChum</v>
          </cell>
          <cell r="AB1023">
            <v>6</v>
          </cell>
          <cell r="AC1023">
            <v>1440</v>
          </cell>
          <cell r="AH1023" t="str">
            <v>LEINER RIVERChum</v>
          </cell>
          <cell r="AI1023" t="str">
            <v>AUC</v>
          </cell>
          <cell r="AJ1023">
            <v>1933</v>
          </cell>
        </row>
        <row r="1024">
          <cell r="AA1024" t="str">
            <v>LEINER RIVERChinook</v>
          </cell>
          <cell r="AB1024">
            <v>6</v>
          </cell>
          <cell r="AC1024">
            <v>137</v>
          </cell>
          <cell r="AH1024" t="str">
            <v>LEINER RIVERChinook</v>
          </cell>
          <cell r="AI1024" t="str">
            <v>AUC</v>
          </cell>
          <cell r="AJ1024">
            <v>358</v>
          </cell>
        </row>
        <row r="1025">
          <cell r="AA1025" t="str">
            <v>LEINER RIVERSteelhead</v>
          </cell>
          <cell r="AB1025">
            <v>6</v>
          </cell>
          <cell r="AC1025">
            <v>2</v>
          </cell>
          <cell r="AH1025" t="str">
            <v>LEINER RIVERSteelhead</v>
          </cell>
          <cell r="AI1025" t="str">
            <v>PL+D</v>
          </cell>
          <cell r="AJ1025">
            <v>2</v>
          </cell>
        </row>
        <row r="1026">
          <cell r="AA1026" t="str">
            <v>LITTLE ZEBALLOS RIVERSockeye</v>
          </cell>
          <cell r="AB1026">
            <v>2</v>
          </cell>
          <cell r="AC1026">
            <v>18</v>
          </cell>
          <cell r="AH1026" t="str">
            <v>LITTLE ZEBALLOS RIVERSockeye</v>
          </cell>
          <cell r="AI1026">
            <v>0</v>
          </cell>
          <cell r="AJ1026" t="str">
            <v>AP</v>
          </cell>
        </row>
        <row r="1027">
          <cell r="AA1027" t="str">
            <v>LITTLE ZEBALLOS RIVERCoho</v>
          </cell>
          <cell r="AB1027">
            <v>2</v>
          </cell>
          <cell r="AC1027">
            <v>476</v>
          </cell>
          <cell r="AH1027" t="str">
            <v>LITTLE ZEBALLOS RIVERCoho</v>
          </cell>
          <cell r="AI1027" t="str">
            <v>PL+D</v>
          </cell>
          <cell r="AJ1027">
            <v>476</v>
          </cell>
        </row>
        <row r="1028">
          <cell r="AA1028" t="str">
            <v>LITTLE ZEBALLOS RIVERPink</v>
          </cell>
          <cell r="AB1028">
            <v>2</v>
          </cell>
          <cell r="AC1028">
            <v>1</v>
          </cell>
          <cell r="AH1028" t="str">
            <v>LITTLE ZEBALLOS RIVERPink</v>
          </cell>
          <cell r="AI1028">
            <v>0</v>
          </cell>
          <cell r="AJ1028" t="str">
            <v>AP</v>
          </cell>
        </row>
        <row r="1029">
          <cell r="AA1029" t="str">
            <v>LITTLE ZEBALLOS RIVERChum</v>
          </cell>
          <cell r="AB1029">
            <v>2</v>
          </cell>
          <cell r="AC1029">
            <v>2322</v>
          </cell>
          <cell r="AH1029" t="str">
            <v>LITTLE ZEBALLOS RIVERChum</v>
          </cell>
          <cell r="AI1029" t="str">
            <v>PL+D</v>
          </cell>
          <cell r="AJ1029">
            <v>2322</v>
          </cell>
        </row>
        <row r="1030">
          <cell r="AA1030" t="str">
            <v>LITTLE ZEBALLOS RIVERChinook</v>
          </cell>
          <cell r="AB1030">
            <v>2</v>
          </cell>
          <cell r="AC1030">
            <v>14</v>
          </cell>
          <cell r="AH1030" t="str">
            <v>LITTLE ZEBALLOS RIVERChinook</v>
          </cell>
          <cell r="AI1030" t="str">
            <v>PL+D</v>
          </cell>
          <cell r="AJ1030">
            <v>14</v>
          </cell>
        </row>
        <row r="1031">
          <cell r="AA1031" t="str">
            <v>LITTLE ZEBALLOS RIVERSteelhead</v>
          </cell>
          <cell r="AB1031">
            <v>2</v>
          </cell>
          <cell r="AC1031">
            <v>0</v>
          </cell>
          <cell r="AH1031" t="str">
            <v>LITTLE ZEBALLOS RIVERSteelhead</v>
          </cell>
          <cell r="AI1031">
            <v>0</v>
          </cell>
          <cell r="AJ1031">
            <v>0</v>
          </cell>
        </row>
        <row r="1032">
          <cell r="AA1032" t="str">
            <v>LORD CREEKSockeye</v>
          </cell>
          <cell r="AB1032">
            <v>0</v>
          </cell>
          <cell r="AC1032">
            <v>0</v>
          </cell>
          <cell r="AH1032" t="str">
            <v>LORD CREEKSockeye</v>
          </cell>
          <cell r="AI1032">
            <v>0</v>
          </cell>
          <cell r="AJ1032">
            <v>0</v>
          </cell>
        </row>
        <row r="1033">
          <cell r="AA1033" t="str">
            <v>LORD CREEKCoho</v>
          </cell>
          <cell r="AB1033">
            <v>0</v>
          </cell>
          <cell r="AC1033">
            <v>0</v>
          </cell>
          <cell r="AH1033" t="str">
            <v>LORD CREEKCoho</v>
          </cell>
          <cell r="AI1033">
            <v>0</v>
          </cell>
          <cell r="AJ1033">
            <v>0</v>
          </cell>
        </row>
        <row r="1034">
          <cell r="AA1034" t="str">
            <v>LORD CREEKPink</v>
          </cell>
          <cell r="AB1034">
            <v>0</v>
          </cell>
          <cell r="AC1034">
            <v>0</v>
          </cell>
          <cell r="AH1034" t="str">
            <v>LORD CREEKPink</v>
          </cell>
          <cell r="AI1034">
            <v>0</v>
          </cell>
          <cell r="AJ1034">
            <v>0</v>
          </cell>
        </row>
        <row r="1035">
          <cell r="AA1035" t="str">
            <v>LORD CREEKChum</v>
          </cell>
          <cell r="AB1035">
            <v>0</v>
          </cell>
          <cell r="AC1035">
            <v>0</v>
          </cell>
          <cell r="AH1035" t="str">
            <v>LORD CREEKChum</v>
          </cell>
          <cell r="AI1035">
            <v>0</v>
          </cell>
          <cell r="AJ1035">
            <v>0</v>
          </cell>
        </row>
        <row r="1036">
          <cell r="AA1036" t="str">
            <v>LORD CREEKChinook</v>
          </cell>
          <cell r="AB1036">
            <v>0</v>
          </cell>
          <cell r="AC1036">
            <v>0</v>
          </cell>
          <cell r="AH1036" t="str">
            <v>LORD CREEKChinook</v>
          </cell>
          <cell r="AI1036">
            <v>0</v>
          </cell>
          <cell r="AJ1036">
            <v>0</v>
          </cell>
        </row>
        <row r="1037">
          <cell r="AA1037" t="str">
            <v>LORD CREEKSteelhead</v>
          </cell>
          <cell r="AB1037">
            <v>0</v>
          </cell>
          <cell r="AC1037">
            <v>0</v>
          </cell>
          <cell r="AH1037" t="str">
            <v>LORD CREEKSteelhead</v>
          </cell>
          <cell r="AI1037">
            <v>0</v>
          </cell>
          <cell r="AJ1037">
            <v>0</v>
          </cell>
        </row>
        <row r="1038">
          <cell r="AA1038" t="str">
            <v>MAMAT CREEKSockeye</v>
          </cell>
          <cell r="AB1038">
            <v>0</v>
          </cell>
          <cell r="AC1038">
            <v>0</v>
          </cell>
          <cell r="AH1038" t="str">
            <v>MAMAT CREEKSockeye</v>
          </cell>
          <cell r="AI1038">
            <v>0</v>
          </cell>
          <cell r="AJ1038">
            <v>0</v>
          </cell>
        </row>
        <row r="1039">
          <cell r="AA1039" t="str">
            <v>MAMAT CREEKCoho</v>
          </cell>
          <cell r="AB1039">
            <v>0</v>
          </cell>
          <cell r="AC1039">
            <v>0</v>
          </cell>
          <cell r="AH1039" t="str">
            <v>MAMAT CREEKCoho</v>
          </cell>
          <cell r="AI1039">
            <v>0</v>
          </cell>
          <cell r="AJ1039">
            <v>0</v>
          </cell>
        </row>
        <row r="1040">
          <cell r="AA1040" t="str">
            <v>MAMAT CREEKPink</v>
          </cell>
          <cell r="AB1040">
            <v>0</v>
          </cell>
          <cell r="AC1040">
            <v>0</v>
          </cell>
          <cell r="AH1040" t="str">
            <v>MAMAT CREEKPink</v>
          </cell>
          <cell r="AI1040">
            <v>0</v>
          </cell>
          <cell r="AJ1040">
            <v>0</v>
          </cell>
        </row>
        <row r="1041">
          <cell r="AA1041" t="str">
            <v>MAMAT CREEKChum</v>
          </cell>
          <cell r="AB1041">
            <v>0</v>
          </cell>
          <cell r="AC1041">
            <v>0</v>
          </cell>
          <cell r="AH1041" t="str">
            <v>MAMAT CREEKChum</v>
          </cell>
          <cell r="AI1041">
            <v>0</v>
          </cell>
          <cell r="AJ1041">
            <v>0</v>
          </cell>
        </row>
        <row r="1042">
          <cell r="AA1042" t="str">
            <v>MAMAT CREEKChinook</v>
          </cell>
          <cell r="AB1042">
            <v>0</v>
          </cell>
          <cell r="AC1042">
            <v>0</v>
          </cell>
          <cell r="AH1042" t="str">
            <v>MAMAT CREEKChinook</v>
          </cell>
          <cell r="AI1042">
            <v>0</v>
          </cell>
          <cell r="AJ1042">
            <v>0</v>
          </cell>
        </row>
        <row r="1043">
          <cell r="AA1043" t="str">
            <v>MAMAT CREEKSteelhead</v>
          </cell>
          <cell r="AB1043">
            <v>0</v>
          </cell>
          <cell r="AC1043">
            <v>0</v>
          </cell>
          <cell r="AH1043" t="str">
            <v>MAMAT CREEKSteelhead</v>
          </cell>
          <cell r="AI1043">
            <v>0</v>
          </cell>
          <cell r="AJ1043">
            <v>0</v>
          </cell>
        </row>
        <row r="1044">
          <cell r="AA1044" t="str">
            <v>MARVINAS BAY CREEKSockeye</v>
          </cell>
          <cell r="AB1044">
            <v>0</v>
          </cell>
          <cell r="AC1044">
            <v>0</v>
          </cell>
          <cell r="AH1044" t="str">
            <v>MARVINAS BAY CREEKSockeye</v>
          </cell>
          <cell r="AI1044">
            <v>0</v>
          </cell>
          <cell r="AJ1044">
            <v>0</v>
          </cell>
        </row>
        <row r="1045">
          <cell r="AA1045" t="str">
            <v>MARVINAS BAY CREEKCoho</v>
          </cell>
          <cell r="AB1045">
            <v>0</v>
          </cell>
          <cell r="AC1045">
            <v>0</v>
          </cell>
          <cell r="AH1045" t="str">
            <v>MARVINAS BAY CREEKCoho</v>
          </cell>
          <cell r="AI1045">
            <v>0</v>
          </cell>
          <cell r="AJ1045">
            <v>0</v>
          </cell>
        </row>
        <row r="1046">
          <cell r="AA1046" t="str">
            <v>MARVINAS BAY CREEKPink</v>
          </cell>
          <cell r="AB1046">
            <v>0</v>
          </cell>
          <cell r="AC1046">
            <v>0</v>
          </cell>
          <cell r="AH1046" t="str">
            <v>MARVINAS BAY CREEKPink</v>
          </cell>
          <cell r="AI1046">
            <v>0</v>
          </cell>
          <cell r="AJ1046">
            <v>0</v>
          </cell>
        </row>
        <row r="1047">
          <cell r="AA1047" t="str">
            <v>MARVINAS BAY CREEKChum</v>
          </cell>
          <cell r="AB1047">
            <v>0</v>
          </cell>
          <cell r="AC1047">
            <v>0</v>
          </cell>
          <cell r="AH1047" t="str">
            <v>MARVINAS BAY CREEKChum</v>
          </cell>
          <cell r="AI1047">
            <v>0</v>
          </cell>
          <cell r="AJ1047">
            <v>0</v>
          </cell>
        </row>
        <row r="1048">
          <cell r="AA1048" t="str">
            <v>MARVINAS BAY CREEKChinook</v>
          </cell>
          <cell r="AB1048">
            <v>0</v>
          </cell>
          <cell r="AC1048">
            <v>0</v>
          </cell>
          <cell r="AH1048" t="str">
            <v>MARVINAS BAY CREEKChinook</v>
          </cell>
          <cell r="AI1048">
            <v>0</v>
          </cell>
          <cell r="AJ1048">
            <v>0</v>
          </cell>
        </row>
        <row r="1049">
          <cell r="AA1049" t="str">
            <v>MARVINAS BAY CREEKSteelhead</v>
          </cell>
          <cell r="AB1049">
            <v>0</v>
          </cell>
          <cell r="AC1049">
            <v>0</v>
          </cell>
          <cell r="AH1049" t="str">
            <v>MARVINAS BAY CREEKSteelhead</v>
          </cell>
          <cell r="AI1049">
            <v>0</v>
          </cell>
          <cell r="AJ1049">
            <v>0</v>
          </cell>
        </row>
        <row r="1050">
          <cell r="AA1050" t="str">
            <v>MCCURDY CREEKSockeye</v>
          </cell>
          <cell r="AB1050">
            <v>0</v>
          </cell>
          <cell r="AC1050">
            <v>0</v>
          </cell>
          <cell r="AH1050" t="str">
            <v>MCCURDY CREEKSockeye</v>
          </cell>
          <cell r="AI1050">
            <v>0</v>
          </cell>
          <cell r="AJ1050">
            <v>0</v>
          </cell>
        </row>
        <row r="1051">
          <cell r="AA1051" t="str">
            <v>MCCURDY CREEKCoho</v>
          </cell>
          <cell r="AB1051">
            <v>0</v>
          </cell>
          <cell r="AC1051">
            <v>0</v>
          </cell>
          <cell r="AH1051" t="str">
            <v>MCCURDY CREEKCoho</v>
          </cell>
          <cell r="AI1051">
            <v>0</v>
          </cell>
          <cell r="AJ1051">
            <v>0</v>
          </cell>
        </row>
        <row r="1052">
          <cell r="AA1052" t="str">
            <v>MCCURDY CREEKPink</v>
          </cell>
          <cell r="AB1052">
            <v>0</v>
          </cell>
          <cell r="AC1052">
            <v>0</v>
          </cell>
          <cell r="AH1052" t="str">
            <v>MCCURDY CREEKPink</v>
          </cell>
          <cell r="AI1052">
            <v>0</v>
          </cell>
          <cell r="AJ1052">
            <v>0</v>
          </cell>
        </row>
        <row r="1053">
          <cell r="AA1053" t="str">
            <v>MCCURDY CREEKChum</v>
          </cell>
          <cell r="AB1053">
            <v>0</v>
          </cell>
          <cell r="AC1053">
            <v>0</v>
          </cell>
          <cell r="AH1053" t="str">
            <v>MCCURDY CREEKChum</v>
          </cell>
          <cell r="AI1053">
            <v>0</v>
          </cell>
          <cell r="AJ1053">
            <v>0</v>
          </cell>
        </row>
        <row r="1054">
          <cell r="AA1054" t="str">
            <v>MCCURDY CREEKChinook</v>
          </cell>
          <cell r="AB1054">
            <v>0</v>
          </cell>
          <cell r="AC1054">
            <v>0</v>
          </cell>
          <cell r="AH1054" t="str">
            <v>MCCURDY CREEKChinook</v>
          </cell>
          <cell r="AI1054">
            <v>0</v>
          </cell>
          <cell r="AJ1054">
            <v>0</v>
          </cell>
        </row>
        <row r="1055">
          <cell r="AA1055" t="str">
            <v>MCCURDY CREEKSteelhead</v>
          </cell>
          <cell r="AB1055">
            <v>0</v>
          </cell>
          <cell r="AC1055">
            <v>0</v>
          </cell>
          <cell r="AH1055" t="str">
            <v>MCCURDY CREEKSteelhead</v>
          </cell>
          <cell r="AI1055">
            <v>0</v>
          </cell>
          <cell r="AJ1055">
            <v>0</v>
          </cell>
        </row>
        <row r="1056">
          <cell r="AA1056" t="str">
            <v>MIDDLE ELIZA CREEKSockeye</v>
          </cell>
          <cell r="AB1056">
            <v>0</v>
          </cell>
          <cell r="AC1056">
            <v>0</v>
          </cell>
          <cell r="AH1056" t="str">
            <v>MIDDLE ELIZA CREEKSockeye</v>
          </cell>
          <cell r="AI1056">
            <v>0</v>
          </cell>
          <cell r="AJ1056">
            <v>0</v>
          </cell>
        </row>
        <row r="1057">
          <cell r="AA1057" t="str">
            <v>MIDDLE ELIZA CREEKCoho</v>
          </cell>
          <cell r="AB1057">
            <v>0</v>
          </cell>
          <cell r="AC1057">
            <v>0</v>
          </cell>
          <cell r="AH1057" t="str">
            <v>MIDDLE ELIZA CREEKCoho</v>
          </cell>
          <cell r="AI1057">
            <v>0</v>
          </cell>
          <cell r="AJ1057">
            <v>0</v>
          </cell>
        </row>
        <row r="1058">
          <cell r="AA1058" t="str">
            <v>MIDDLE ELIZA CREEKPink</v>
          </cell>
          <cell r="AB1058">
            <v>0</v>
          </cell>
          <cell r="AC1058">
            <v>0</v>
          </cell>
          <cell r="AH1058" t="str">
            <v>MIDDLE ELIZA CREEKPink</v>
          </cell>
          <cell r="AI1058">
            <v>0</v>
          </cell>
          <cell r="AJ1058">
            <v>0</v>
          </cell>
        </row>
        <row r="1059">
          <cell r="AA1059" t="str">
            <v>MIDDLE ELIZA CREEKChum</v>
          </cell>
          <cell r="AB1059">
            <v>0</v>
          </cell>
          <cell r="AC1059">
            <v>0</v>
          </cell>
          <cell r="AH1059" t="str">
            <v>MIDDLE ELIZA CREEKChum</v>
          </cell>
          <cell r="AI1059">
            <v>0</v>
          </cell>
          <cell r="AJ1059">
            <v>0</v>
          </cell>
        </row>
        <row r="1060">
          <cell r="AA1060" t="str">
            <v>MIDDLE ELIZA CREEKChinook</v>
          </cell>
          <cell r="AB1060">
            <v>0</v>
          </cell>
          <cell r="AC1060">
            <v>0</v>
          </cell>
          <cell r="AH1060" t="str">
            <v>MIDDLE ELIZA CREEKChinook</v>
          </cell>
          <cell r="AI1060">
            <v>0</v>
          </cell>
          <cell r="AJ1060">
            <v>0</v>
          </cell>
        </row>
        <row r="1061">
          <cell r="AA1061" t="str">
            <v>MIDDLE ELIZA CREEKSteelhead</v>
          </cell>
          <cell r="AB1061">
            <v>0</v>
          </cell>
          <cell r="AC1061">
            <v>0</v>
          </cell>
          <cell r="AH1061" t="str">
            <v>MIDDLE ELIZA CREEKSteelhead</v>
          </cell>
          <cell r="AI1061">
            <v>0</v>
          </cell>
          <cell r="AJ1061">
            <v>0</v>
          </cell>
        </row>
        <row r="1062">
          <cell r="AA1062" t="str">
            <v>MOOYAH RIVERSockeye</v>
          </cell>
          <cell r="AB1062">
            <v>0</v>
          </cell>
          <cell r="AC1062">
            <v>0</v>
          </cell>
          <cell r="AH1062" t="str">
            <v>MOOYAH RIVERSockeye</v>
          </cell>
          <cell r="AI1062">
            <v>0</v>
          </cell>
          <cell r="AJ1062">
            <v>0</v>
          </cell>
        </row>
        <row r="1063">
          <cell r="AA1063" t="str">
            <v>MOOYAH RIVERCoho</v>
          </cell>
          <cell r="AB1063">
            <v>0</v>
          </cell>
          <cell r="AC1063">
            <v>0</v>
          </cell>
          <cell r="AH1063" t="str">
            <v>MOOYAH RIVERCoho</v>
          </cell>
          <cell r="AI1063">
            <v>0</v>
          </cell>
          <cell r="AJ1063">
            <v>0</v>
          </cell>
        </row>
        <row r="1064">
          <cell r="AA1064" t="str">
            <v>MOOYAH RIVERPink</v>
          </cell>
          <cell r="AB1064">
            <v>0</v>
          </cell>
          <cell r="AC1064">
            <v>0</v>
          </cell>
          <cell r="AH1064" t="str">
            <v>MOOYAH RIVERPink</v>
          </cell>
          <cell r="AI1064">
            <v>0</v>
          </cell>
          <cell r="AJ1064">
            <v>0</v>
          </cell>
        </row>
        <row r="1065">
          <cell r="AA1065" t="str">
            <v>MOOYAH RIVERChum</v>
          </cell>
          <cell r="AB1065">
            <v>0</v>
          </cell>
          <cell r="AC1065">
            <v>0</v>
          </cell>
          <cell r="AH1065" t="str">
            <v>MOOYAH RIVERChum</v>
          </cell>
          <cell r="AI1065">
            <v>0</v>
          </cell>
          <cell r="AJ1065">
            <v>0</v>
          </cell>
        </row>
        <row r="1066">
          <cell r="AA1066" t="str">
            <v>MOOYAH RIVERChinook</v>
          </cell>
          <cell r="AB1066">
            <v>0</v>
          </cell>
          <cell r="AC1066">
            <v>0</v>
          </cell>
          <cell r="AH1066" t="str">
            <v>MOOYAH RIVERChinook</v>
          </cell>
          <cell r="AI1066">
            <v>0</v>
          </cell>
          <cell r="AJ1066">
            <v>0</v>
          </cell>
        </row>
        <row r="1067">
          <cell r="AA1067" t="str">
            <v>MOOYAH RIVERSteelhead</v>
          </cell>
          <cell r="AB1067">
            <v>0</v>
          </cell>
          <cell r="AC1067">
            <v>0</v>
          </cell>
          <cell r="AH1067" t="str">
            <v>MOOYAH RIVERSteelhead</v>
          </cell>
          <cell r="AI1067">
            <v>0</v>
          </cell>
          <cell r="AJ1067">
            <v>0</v>
          </cell>
        </row>
        <row r="1068">
          <cell r="AA1068" t="str">
            <v>MUCHALAT RIVERSockeye</v>
          </cell>
          <cell r="AB1068">
            <v>0</v>
          </cell>
          <cell r="AC1068">
            <v>0</v>
          </cell>
          <cell r="AH1068" t="str">
            <v>MUCHALAT RIVERSockeye</v>
          </cell>
          <cell r="AI1068">
            <v>0</v>
          </cell>
          <cell r="AJ1068">
            <v>0</v>
          </cell>
        </row>
        <row r="1069">
          <cell r="AA1069" t="str">
            <v>MUCHALAT RIVERCoho</v>
          </cell>
          <cell r="AB1069">
            <v>0</v>
          </cell>
          <cell r="AC1069">
            <v>0</v>
          </cell>
          <cell r="AH1069" t="str">
            <v>MUCHALAT RIVERCoho</v>
          </cell>
          <cell r="AI1069">
            <v>0</v>
          </cell>
          <cell r="AJ1069">
            <v>0</v>
          </cell>
        </row>
        <row r="1070">
          <cell r="AA1070" t="str">
            <v>MUCHALAT RIVERPink</v>
          </cell>
          <cell r="AB1070">
            <v>0</v>
          </cell>
          <cell r="AC1070">
            <v>0</v>
          </cell>
          <cell r="AH1070" t="str">
            <v>MUCHALAT RIVERPink</v>
          </cell>
          <cell r="AI1070">
            <v>0</v>
          </cell>
          <cell r="AJ1070">
            <v>0</v>
          </cell>
        </row>
        <row r="1071">
          <cell r="AA1071" t="str">
            <v>MUCHALAT RIVERChum</v>
          </cell>
          <cell r="AB1071">
            <v>0</v>
          </cell>
          <cell r="AC1071">
            <v>0</v>
          </cell>
          <cell r="AH1071" t="str">
            <v>MUCHALAT RIVERChum</v>
          </cell>
          <cell r="AI1071">
            <v>0</v>
          </cell>
          <cell r="AJ1071">
            <v>0</v>
          </cell>
        </row>
        <row r="1072">
          <cell r="AA1072" t="str">
            <v>MUCHALAT RIVERChinook</v>
          </cell>
          <cell r="AB1072">
            <v>0</v>
          </cell>
          <cell r="AC1072">
            <v>0</v>
          </cell>
          <cell r="AH1072" t="str">
            <v>MUCHALAT RIVERChinook</v>
          </cell>
          <cell r="AI1072">
            <v>0</v>
          </cell>
          <cell r="AJ1072">
            <v>0</v>
          </cell>
        </row>
        <row r="1073">
          <cell r="AA1073" t="str">
            <v>MUCHALAT RIVERSteelhead</v>
          </cell>
          <cell r="AB1073">
            <v>0</v>
          </cell>
          <cell r="AC1073">
            <v>0</v>
          </cell>
          <cell r="AH1073" t="str">
            <v>MUCHALAT RIVERSteelhead</v>
          </cell>
          <cell r="AI1073">
            <v>0</v>
          </cell>
          <cell r="AJ1073">
            <v>0</v>
          </cell>
        </row>
        <row r="1074">
          <cell r="AA1074" t="str">
            <v>OKTWANCH RIVERSockeye</v>
          </cell>
          <cell r="AB1074">
            <v>0</v>
          </cell>
          <cell r="AC1074">
            <v>0</v>
          </cell>
          <cell r="AH1074" t="str">
            <v>OKTWANCH RIVERSockeye</v>
          </cell>
          <cell r="AI1074">
            <v>0</v>
          </cell>
          <cell r="AJ1074">
            <v>0</v>
          </cell>
        </row>
        <row r="1075">
          <cell r="AA1075" t="str">
            <v>OKTWANCH RIVERCoho</v>
          </cell>
          <cell r="AB1075">
            <v>0</v>
          </cell>
          <cell r="AC1075">
            <v>0</v>
          </cell>
          <cell r="AH1075" t="str">
            <v>OKTWANCH RIVERCoho</v>
          </cell>
          <cell r="AI1075">
            <v>0</v>
          </cell>
          <cell r="AJ1075">
            <v>0</v>
          </cell>
        </row>
        <row r="1076">
          <cell r="AA1076" t="str">
            <v>OKTWANCH RIVERPink</v>
          </cell>
          <cell r="AB1076">
            <v>0</v>
          </cell>
          <cell r="AC1076">
            <v>0</v>
          </cell>
          <cell r="AH1076" t="str">
            <v>OKTWANCH RIVERPink</v>
          </cell>
          <cell r="AI1076">
            <v>0</v>
          </cell>
          <cell r="AJ1076">
            <v>0</v>
          </cell>
        </row>
        <row r="1077">
          <cell r="AA1077" t="str">
            <v>OKTWANCH RIVERChum</v>
          </cell>
          <cell r="AB1077">
            <v>0</v>
          </cell>
          <cell r="AC1077">
            <v>0</v>
          </cell>
          <cell r="AH1077" t="str">
            <v>OKTWANCH RIVERChum</v>
          </cell>
          <cell r="AI1077">
            <v>0</v>
          </cell>
          <cell r="AJ1077">
            <v>0</v>
          </cell>
        </row>
        <row r="1078">
          <cell r="AA1078" t="str">
            <v>OKTWANCH RIVERChinook</v>
          </cell>
          <cell r="AB1078">
            <v>0</v>
          </cell>
          <cell r="AC1078">
            <v>0</v>
          </cell>
          <cell r="AH1078" t="str">
            <v>OKTWANCH RIVERChinook</v>
          </cell>
          <cell r="AI1078">
            <v>0</v>
          </cell>
          <cell r="AJ1078">
            <v>0</v>
          </cell>
        </row>
        <row r="1079">
          <cell r="AA1079" t="str">
            <v>OKTWANCH RIVERSteelhead</v>
          </cell>
          <cell r="AB1079">
            <v>0</v>
          </cell>
          <cell r="AC1079">
            <v>0</v>
          </cell>
          <cell r="AH1079" t="str">
            <v>OKTWANCH RIVERSteelhead</v>
          </cell>
          <cell r="AI1079">
            <v>0</v>
          </cell>
          <cell r="AJ1079">
            <v>0</v>
          </cell>
        </row>
        <row r="1080">
          <cell r="AA1080" t="str">
            <v>OWOSSITSA CREEKSockeye</v>
          </cell>
          <cell r="AB1080">
            <v>0</v>
          </cell>
          <cell r="AC1080">
            <v>0</v>
          </cell>
          <cell r="AH1080" t="str">
            <v>OWOSSITSA CREEKSockeye</v>
          </cell>
          <cell r="AI1080">
            <v>0</v>
          </cell>
          <cell r="AJ1080">
            <v>0</v>
          </cell>
        </row>
        <row r="1081">
          <cell r="AA1081" t="str">
            <v>OWOSSITSA CREEKCoho</v>
          </cell>
          <cell r="AB1081">
            <v>0</v>
          </cell>
          <cell r="AC1081">
            <v>0</v>
          </cell>
          <cell r="AH1081" t="str">
            <v>OWOSSITSA CREEKCoho</v>
          </cell>
          <cell r="AI1081">
            <v>0</v>
          </cell>
          <cell r="AJ1081">
            <v>0</v>
          </cell>
        </row>
        <row r="1082">
          <cell r="AA1082" t="str">
            <v>OWOSSITSA CREEKPink</v>
          </cell>
          <cell r="AB1082">
            <v>0</v>
          </cell>
          <cell r="AC1082">
            <v>0</v>
          </cell>
          <cell r="AH1082" t="str">
            <v>OWOSSITSA CREEKPink</v>
          </cell>
          <cell r="AI1082">
            <v>0</v>
          </cell>
          <cell r="AJ1082">
            <v>0</v>
          </cell>
        </row>
        <row r="1083">
          <cell r="AA1083" t="str">
            <v>OWOSSITSA CREEKChum</v>
          </cell>
          <cell r="AB1083">
            <v>0</v>
          </cell>
          <cell r="AC1083">
            <v>0</v>
          </cell>
          <cell r="AH1083" t="str">
            <v>OWOSSITSA CREEKChum</v>
          </cell>
          <cell r="AI1083">
            <v>0</v>
          </cell>
          <cell r="AJ1083">
            <v>0</v>
          </cell>
        </row>
        <row r="1084">
          <cell r="AA1084" t="str">
            <v>OWOSSITSA CREEKChinook</v>
          </cell>
          <cell r="AB1084">
            <v>0</v>
          </cell>
          <cell r="AC1084">
            <v>0</v>
          </cell>
          <cell r="AH1084" t="str">
            <v>OWOSSITSA CREEKChinook</v>
          </cell>
          <cell r="AI1084">
            <v>0</v>
          </cell>
          <cell r="AJ1084">
            <v>0</v>
          </cell>
        </row>
        <row r="1085">
          <cell r="AA1085" t="str">
            <v>OWOSSITSA CREEKSteelhead</v>
          </cell>
          <cell r="AB1085">
            <v>0</v>
          </cell>
          <cell r="AC1085">
            <v>0</v>
          </cell>
          <cell r="AH1085" t="str">
            <v>OWOSSITSA CREEKSteelhead</v>
          </cell>
          <cell r="AI1085">
            <v>0</v>
          </cell>
          <cell r="AJ1085">
            <v>0</v>
          </cell>
        </row>
        <row r="1086">
          <cell r="AA1086" t="str">
            <v>PARK RIVERSockeye</v>
          </cell>
          <cell r="AB1086">
            <v>0</v>
          </cell>
          <cell r="AC1086">
            <v>0</v>
          </cell>
          <cell r="AH1086" t="str">
            <v>PARK RIVERSockeye</v>
          </cell>
          <cell r="AI1086">
            <v>0</v>
          </cell>
          <cell r="AJ1086">
            <v>0</v>
          </cell>
        </row>
        <row r="1087">
          <cell r="AA1087" t="str">
            <v>PARK RIVERCoho</v>
          </cell>
          <cell r="AB1087">
            <v>0</v>
          </cell>
          <cell r="AC1087">
            <v>0</v>
          </cell>
          <cell r="AH1087" t="str">
            <v>PARK RIVERCoho</v>
          </cell>
          <cell r="AI1087">
            <v>0</v>
          </cell>
          <cell r="AJ1087">
            <v>0</v>
          </cell>
        </row>
        <row r="1088">
          <cell r="AA1088" t="str">
            <v>PARK RIVERPink</v>
          </cell>
          <cell r="AB1088">
            <v>0</v>
          </cell>
          <cell r="AC1088">
            <v>0</v>
          </cell>
          <cell r="AH1088" t="str">
            <v>PARK RIVERPink</v>
          </cell>
          <cell r="AI1088">
            <v>0</v>
          </cell>
          <cell r="AJ1088">
            <v>0</v>
          </cell>
        </row>
        <row r="1089">
          <cell r="AA1089" t="str">
            <v>PARK RIVERChum</v>
          </cell>
          <cell r="AB1089">
            <v>0</v>
          </cell>
          <cell r="AC1089">
            <v>0</v>
          </cell>
          <cell r="AH1089" t="str">
            <v>PARK RIVERChum</v>
          </cell>
          <cell r="AI1089">
            <v>0</v>
          </cell>
          <cell r="AJ1089">
            <v>0</v>
          </cell>
        </row>
        <row r="1090">
          <cell r="AA1090" t="str">
            <v>PARK RIVERChinook</v>
          </cell>
          <cell r="AB1090">
            <v>0</v>
          </cell>
          <cell r="AC1090">
            <v>0</v>
          </cell>
          <cell r="AH1090" t="str">
            <v>PARK RIVERChinook</v>
          </cell>
          <cell r="AI1090">
            <v>0</v>
          </cell>
          <cell r="AJ1090">
            <v>0</v>
          </cell>
        </row>
        <row r="1091">
          <cell r="AA1091" t="str">
            <v>PARK RIVERSteelhead</v>
          </cell>
          <cell r="AB1091">
            <v>0</v>
          </cell>
          <cell r="AC1091">
            <v>0</v>
          </cell>
          <cell r="AH1091" t="str">
            <v>PARK RIVERSteelhead</v>
          </cell>
          <cell r="AI1091">
            <v>0</v>
          </cell>
          <cell r="AJ1091">
            <v>0</v>
          </cell>
        </row>
        <row r="1092">
          <cell r="AA1092" t="str">
            <v>SUCWOA RIVERSockeye</v>
          </cell>
          <cell r="AB1092">
            <v>2</v>
          </cell>
          <cell r="AC1092">
            <v>0</v>
          </cell>
          <cell r="AH1092" t="str">
            <v>SUCWOA RIVERSockeye</v>
          </cell>
          <cell r="AI1092">
            <v>0</v>
          </cell>
          <cell r="AJ1092" t="str">
            <v>NO</v>
          </cell>
        </row>
        <row r="1093">
          <cell r="AA1093" t="str">
            <v>SUCWOA RIVERCoho</v>
          </cell>
          <cell r="AB1093">
            <v>2</v>
          </cell>
          <cell r="AC1093">
            <v>0</v>
          </cell>
          <cell r="AH1093" t="str">
            <v>SUCWOA RIVERCoho</v>
          </cell>
          <cell r="AI1093">
            <v>0</v>
          </cell>
          <cell r="AJ1093" t="str">
            <v>NO</v>
          </cell>
        </row>
        <row r="1094">
          <cell r="AA1094" t="str">
            <v>SUCWOA RIVERPink</v>
          </cell>
          <cell r="AB1094">
            <v>2</v>
          </cell>
          <cell r="AC1094">
            <v>0</v>
          </cell>
          <cell r="AH1094" t="str">
            <v>SUCWOA RIVERPink</v>
          </cell>
          <cell r="AI1094">
            <v>0</v>
          </cell>
          <cell r="AJ1094" t="str">
            <v>NO</v>
          </cell>
        </row>
        <row r="1095">
          <cell r="AA1095" t="str">
            <v>SUCWOA RIVERChum</v>
          </cell>
          <cell r="AB1095">
            <v>2</v>
          </cell>
          <cell r="AC1095">
            <v>209</v>
          </cell>
          <cell r="AH1095" t="str">
            <v>SUCWOA RIVERChum</v>
          </cell>
          <cell r="AI1095" t="str">
            <v>EO</v>
          </cell>
          <cell r="AJ1095">
            <v>1200</v>
          </cell>
        </row>
        <row r="1096">
          <cell r="AA1096" t="str">
            <v>SUCWOA RIVERChinook</v>
          </cell>
          <cell r="AB1096">
            <v>2</v>
          </cell>
          <cell r="AC1096">
            <v>0</v>
          </cell>
          <cell r="AH1096" t="str">
            <v>SUCWOA RIVERChinook</v>
          </cell>
          <cell r="AI1096" t="str">
            <v>EO</v>
          </cell>
          <cell r="AJ1096">
            <v>26</v>
          </cell>
        </row>
        <row r="1097">
          <cell r="AA1097" t="str">
            <v>SUCWOA RIVERSteelhead</v>
          </cell>
          <cell r="AB1097">
            <v>0</v>
          </cell>
          <cell r="AC1097">
            <v>0</v>
          </cell>
          <cell r="AH1097" t="str">
            <v>SUCWOA RIVERSteelhead</v>
          </cell>
          <cell r="AI1097">
            <v>0</v>
          </cell>
          <cell r="AJ1097">
            <v>0</v>
          </cell>
        </row>
        <row r="1098">
          <cell r="AA1098" t="str">
            <v>TAHSIS RIVERSockeye</v>
          </cell>
          <cell r="AB1098">
            <v>6</v>
          </cell>
          <cell r="AC1098">
            <v>115</v>
          </cell>
          <cell r="AH1098" t="str">
            <v>TAHSIS RIVERSockeye</v>
          </cell>
          <cell r="AI1098" t="str">
            <v>AUC</v>
          </cell>
          <cell r="AJ1098">
            <v>164</v>
          </cell>
        </row>
        <row r="1099">
          <cell r="AA1099" t="str">
            <v>TAHSIS RIVERCoho</v>
          </cell>
          <cell r="AB1099">
            <v>6</v>
          </cell>
          <cell r="AC1099">
            <v>375</v>
          </cell>
          <cell r="AH1099" t="str">
            <v>TAHSIS RIVERCoho</v>
          </cell>
          <cell r="AI1099" t="str">
            <v>AUC</v>
          </cell>
          <cell r="AJ1099">
            <v>738</v>
          </cell>
        </row>
        <row r="1100">
          <cell r="AA1100" t="str">
            <v>TAHSIS RIVERPink</v>
          </cell>
          <cell r="AB1100">
            <v>6</v>
          </cell>
          <cell r="AC1100">
            <v>2</v>
          </cell>
          <cell r="AH1100" t="str">
            <v>TAHSIS RIVERPink</v>
          </cell>
          <cell r="AI1100" t="str">
            <v>PL+D</v>
          </cell>
          <cell r="AJ1100">
            <v>2</v>
          </cell>
        </row>
        <row r="1101">
          <cell r="AA1101" t="str">
            <v>TAHSIS RIVERChum</v>
          </cell>
          <cell r="AB1101">
            <v>6</v>
          </cell>
          <cell r="AC1101">
            <v>1440</v>
          </cell>
          <cell r="AH1101" t="str">
            <v>TAHSIS RIVERChum</v>
          </cell>
          <cell r="AI1101" t="str">
            <v>AUC</v>
          </cell>
          <cell r="AJ1101">
            <v>2424</v>
          </cell>
        </row>
        <row r="1102">
          <cell r="AA1102" t="str">
            <v>TAHSIS RIVERChinook</v>
          </cell>
          <cell r="AB1102">
            <v>6</v>
          </cell>
          <cell r="AC1102">
            <v>470</v>
          </cell>
          <cell r="AH1102" t="str">
            <v>TAHSIS RIVERChinook</v>
          </cell>
          <cell r="AI1102" t="str">
            <v>AUC</v>
          </cell>
          <cell r="AJ1102">
            <v>545</v>
          </cell>
        </row>
        <row r="1103">
          <cell r="AA1103" t="str">
            <v>TAHSIS RIVERSteelhead</v>
          </cell>
          <cell r="AB1103">
            <v>6</v>
          </cell>
          <cell r="AC1103">
            <v>2</v>
          </cell>
          <cell r="AH1103" t="str">
            <v>TAHSIS RIVERSteelhead</v>
          </cell>
          <cell r="AI1103" t="str">
            <v>PL+D</v>
          </cell>
          <cell r="AJ1103">
            <v>2</v>
          </cell>
        </row>
        <row r="1104">
          <cell r="AA1104" t="str">
            <v>TLUPANA RIVERSockeye</v>
          </cell>
          <cell r="AB1104">
            <v>6</v>
          </cell>
          <cell r="AC1104">
            <v>0</v>
          </cell>
          <cell r="AH1104" t="str">
            <v>TLUPANA RIVERSockeye</v>
          </cell>
          <cell r="AI1104">
            <v>0</v>
          </cell>
          <cell r="AJ1104" t="str">
            <v>NO</v>
          </cell>
        </row>
        <row r="1105">
          <cell r="AA1105" t="str">
            <v>TLUPANA RIVERCoho</v>
          </cell>
          <cell r="AB1105">
            <v>6</v>
          </cell>
          <cell r="AC1105">
            <v>120</v>
          </cell>
          <cell r="AH1105" t="str">
            <v>TLUPANA RIVERCoho</v>
          </cell>
          <cell r="AI1105">
            <v>0</v>
          </cell>
          <cell r="AJ1105" t="str">
            <v>AP</v>
          </cell>
        </row>
        <row r="1106">
          <cell r="AA1106" t="str">
            <v>TLUPANA RIVERPink</v>
          </cell>
          <cell r="AB1106">
            <v>6</v>
          </cell>
          <cell r="AC1106">
            <v>3</v>
          </cell>
          <cell r="AH1106" t="str">
            <v>TLUPANA RIVERPink</v>
          </cell>
          <cell r="AI1106">
            <v>0</v>
          </cell>
          <cell r="AJ1106" t="str">
            <v>AP</v>
          </cell>
        </row>
        <row r="1107">
          <cell r="AA1107" t="str">
            <v>TLUPANA RIVERChum</v>
          </cell>
          <cell r="AB1107">
            <v>6</v>
          </cell>
          <cell r="AC1107">
            <v>653</v>
          </cell>
          <cell r="AH1107" t="str">
            <v>TLUPANA RIVERChum</v>
          </cell>
          <cell r="AI1107" t="str">
            <v>EO</v>
          </cell>
          <cell r="AJ1107">
            <v>6550</v>
          </cell>
        </row>
        <row r="1108">
          <cell r="AA1108" t="str">
            <v>TLUPANA RIVERChinook</v>
          </cell>
          <cell r="AB1108">
            <v>6</v>
          </cell>
          <cell r="AC1108">
            <v>163</v>
          </cell>
          <cell r="AH1108" t="str">
            <v>TLUPANA RIVERChinook</v>
          </cell>
          <cell r="AI1108" t="str">
            <v>EO</v>
          </cell>
          <cell r="AJ1108">
            <v>950</v>
          </cell>
        </row>
        <row r="1109">
          <cell r="AA1109" t="str">
            <v>TLUPANA RIVERSteelhead</v>
          </cell>
          <cell r="AB1109">
            <v>0</v>
          </cell>
          <cell r="AC1109">
            <v>0</v>
          </cell>
          <cell r="AH1109" t="str">
            <v>TLUPANA RIVERSteelhead</v>
          </cell>
          <cell r="AI1109">
            <v>0</v>
          </cell>
          <cell r="AJ1109">
            <v>0</v>
          </cell>
        </row>
        <row r="1110">
          <cell r="AA1110" t="str">
            <v>TSOWWIN RIVERSockeye</v>
          </cell>
          <cell r="AB1110">
            <v>2</v>
          </cell>
          <cell r="AC1110">
            <v>31</v>
          </cell>
          <cell r="AH1110" t="str">
            <v>TSOWWIN RIVERSockeye</v>
          </cell>
          <cell r="AI1110" t="str">
            <v>PL+D</v>
          </cell>
          <cell r="AJ1110">
            <v>34</v>
          </cell>
        </row>
        <row r="1111">
          <cell r="AA1111" t="str">
            <v>TSOWWIN RIVERCoho</v>
          </cell>
          <cell r="AB1111">
            <v>2</v>
          </cell>
          <cell r="AC1111">
            <v>338</v>
          </cell>
          <cell r="AH1111" t="str">
            <v>TSOWWIN RIVERCoho</v>
          </cell>
          <cell r="AI1111" t="str">
            <v>PL+D</v>
          </cell>
          <cell r="AJ1111">
            <v>376</v>
          </cell>
        </row>
        <row r="1112">
          <cell r="AA1112" t="str">
            <v>TSOWWIN RIVERPink</v>
          </cell>
          <cell r="AB1112">
            <v>2</v>
          </cell>
          <cell r="AC1112">
            <v>0</v>
          </cell>
          <cell r="AH1112" t="str">
            <v>TSOWWIN RIVERPink</v>
          </cell>
          <cell r="AI1112">
            <v>0</v>
          </cell>
          <cell r="AJ1112" t="str">
            <v>NO</v>
          </cell>
        </row>
        <row r="1113">
          <cell r="AA1113" t="str">
            <v>TSOWWIN RIVERChum</v>
          </cell>
          <cell r="AB1113">
            <v>2</v>
          </cell>
          <cell r="AC1113">
            <v>2801</v>
          </cell>
          <cell r="AH1113" t="str">
            <v>TSOWWIN RIVERChum</v>
          </cell>
          <cell r="AI1113" t="str">
            <v>PL+D</v>
          </cell>
          <cell r="AJ1113">
            <v>3112</v>
          </cell>
        </row>
        <row r="1114">
          <cell r="AA1114" t="str">
            <v>TSOWWIN RIVERChinook</v>
          </cell>
          <cell r="AB1114">
            <v>2</v>
          </cell>
          <cell r="AC1114">
            <v>28</v>
          </cell>
          <cell r="AH1114" t="str">
            <v>TSOWWIN RIVERChinook</v>
          </cell>
          <cell r="AI1114" t="str">
            <v>PL+D</v>
          </cell>
          <cell r="AJ1114">
            <v>31</v>
          </cell>
        </row>
        <row r="1115">
          <cell r="AA1115" t="str">
            <v>TSOWWIN RIVERSteelhead</v>
          </cell>
          <cell r="AB1115">
            <v>2</v>
          </cell>
          <cell r="AC1115">
            <v>1</v>
          </cell>
          <cell r="AH1115" t="str">
            <v>TSOWWIN RIVERSteelhead</v>
          </cell>
          <cell r="AI1115" t="str">
            <v>PL+D</v>
          </cell>
          <cell r="AJ1115">
            <v>1</v>
          </cell>
        </row>
        <row r="1116">
          <cell r="AA1116" t="str">
            <v>ZEBALLOS RIVERSockeye</v>
          </cell>
          <cell r="AB1116">
            <v>4</v>
          </cell>
          <cell r="AC1116">
            <v>480</v>
          </cell>
          <cell r="AH1116" t="str">
            <v>ZEBALLOS RIVERSockeye</v>
          </cell>
          <cell r="AI1116" t="str">
            <v>PL+D</v>
          </cell>
          <cell r="AJ1116">
            <v>590</v>
          </cell>
        </row>
        <row r="1117">
          <cell r="AA1117" t="str">
            <v>ZEBALLOS RIVERCoho</v>
          </cell>
          <cell r="AB1117">
            <v>4</v>
          </cell>
          <cell r="AC1117">
            <v>509</v>
          </cell>
          <cell r="AH1117" t="str">
            <v>ZEBALLOS RIVERCoho</v>
          </cell>
          <cell r="AI1117" t="str">
            <v>PL+D</v>
          </cell>
          <cell r="AJ1117">
            <v>509</v>
          </cell>
        </row>
        <row r="1118">
          <cell r="AA1118" t="str">
            <v>ZEBALLOS RIVERPink</v>
          </cell>
          <cell r="AB1118">
            <v>4</v>
          </cell>
          <cell r="AC1118">
            <v>125</v>
          </cell>
          <cell r="AH1118" t="str">
            <v>ZEBALLOS RIVERPink</v>
          </cell>
          <cell r="AI1118" t="str">
            <v>PL+D</v>
          </cell>
          <cell r="AJ1118">
            <v>125</v>
          </cell>
        </row>
        <row r="1119">
          <cell r="AA1119" t="str">
            <v>ZEBALLOS RIVERChum</v>
          </cell>
          <cell r="AB1119">
            <v>4</v>
          </cell>
          <cell r="AC1119">
            <v>4046</v>
          </cell>
          <cell r="AH1119" t="str">
            <v>ZEBALLOS RIVERChum</v>
          </cell>
          <cell r="AI1119" t="str">
            <v>PL+D</v>
          </cell>
          <cell r="AJ1119">
            <v>4101</v>
          </cell>
        </row>
        <row r="1120">
          <cell r="AA1120" t="str">
            <v>ZEBALLOS RIVERChinook</v>
          </cell>
          <cell r="AB1120">
            <v>4</v>
          </cell>
          <cell r="AC1120">
            <v>275</v>
          </cell>
          <cell r="AH1120" t="str">
            <v>ZEBALLOS RIVERChinook</v>
          </cell>
          <cell r="AI1120" t="str">
            <v>AUC</v>
          </cell>
          <cell r="AJ1120">
            <v>284</v>
          </cell>
        </row>
        <row r="1121">
          <cell r="AA1121" t="str">
            <v>ZEBALLOS RIVERSteelhead</v>
          </cell>
          <cell r="AB1121">
            <v>4</v>
          </cell>
          <cell r="AC1121">
            <v>0</v>
          </cell>
          <cell r="AH1121" t="str">
            <v>ZEBALLOS RIVERSteelhead</v>
          </cell>
          <cell r="AI1121">
            <v>0</v>
          </cell>
          <cell r="AJ1121">
            <v>0</v>
          </cell>
        </row>
        <row r="1122">
          <cell r="AA1122" t="str">
            <v>CLANNINICK CREEKSockeye</v>
          </cell>
          <cell r="AB1122">
            <v>1</v>
          </cell>
          <cell r="AC1122">
            <v>0</v>
          </cell>
          <cell r="AH1122" t="str">
            <v>CLANNINICK CREEKSockeye</v>
          </cell>
          <cell r="AI1122">
            <v>0</v>
          </cell>
          <cell r="AJ1122">
            <v>0</v>
          </cell>
        </row>
        <row r="1123">
          <cell r="AA1123" t="str">
            <v>CLANNINICK CREEKCoho</v>
          </cell>
          <cell r="AB1123">
            <v>1</v>
          </cell>
          <cell r="AC1123">
            <v>119</v>
          </cell>
          <cell r="AH1123" t="str">
            <v>CLANNINICK CREEKCoho</v>
          </cell>
          <cell r="AI1123" t="str">
            <v>PL+D</v>
          </cell>
          <cell r="AJ1123">
            <v>147</v>
          </cell>
        </row>
        <row r="1124">
          <cell r="AA1124" t="str">
            <v>CLANNINICK CREEKPink</v>
          </cell>
          <cell r="AB1124">
            <v>1</v>
          </cell>
          <cell r="AC1124">
            <v>0</v>
          </cell>
          <cell r="AH1124" t="str">
            <v>CLANNINICK CREEKPink</v>
          </cell>
          <cell r="AI1124">
            <v>0</v>
          </cell>
          <cell r="AJ1124">
            <v>0</v>
          </cell>
        </row>
        <row r="1125">
          <cell r="AA1125" t="str">
            <v>CLANNINICK CREEKChum</v>
          </cell>
          <cell r="AB1125">
            <v>1</v>
          </cell>
          <cell r="AC1125">
            <v>1613</v>
          </cell>
          <cell r="AH1125" t="str">
            <v>CLANNINICK CREEKChum</v>
          </cell>
          <cell r="AI1125" t="str">
            <v>PL+D</v>
          </cell>
          <cell r="AJ1125">
            <v>1857</v>
          </cell>
        </row>
        <row r="1126">
          <cell r="AA1126" t="str">
            <v>CLANNINICK CREEKChinook</v>
          </cell>
          <cell r="AB1126">
            <v>1</v>
          </cell>
          <cell r="AC1126">
            <v>0</v>
          </cell>
          <cell r="AH1126" t="str">
            <v>CLANNINICK CREEKChinook</v>
          </cell>
          <cell r="AI1126">
            <v>0</v>
          </cell>
          <cell r="AJ1126">
            <v>0</v>
          </cell>
        </row>
        <row r="1127">
          <cell r="AA1127" t="str">
            <v>CLANNINICK CREEKSteelhead</v>
          </cell>
          <cell r="AB1127">
            <v>1</v>
          </cell>
          <cell r="AC1127">
            <v>0</v>
          </cell>
          <cell r="AH1127" t="str">
            <v>CLANNINICK CREEKSteelhead</v>
          </cell>
          <cell r="AI1127">
            <v>0</v>
          </cell>
          <cell r="AJ1127">
            <v>0</v>
          </cell>
        </row>
        <row r="1128">
          <cell r="AA1128" t="str">
            <v>EASY CREEKSockeye</v>
          </cell>
          <cell r="AB1128">
            <v>1</v>
          </cell>
          <cell r="AC1128">
            <v>0</v>
          </cell>
          <cell r="AH1128" t="str">
            <v>EASY CREEKSockeye</v>
          </cell>
          <cell r="AI1128">
            <v>0</v>
          </cell>
          <cell r="AJ1128">
            <v>0</v>
          </cell>
        </row>
        <row r="1129">
          <cell r="AA1129" t="str">
            <v>EASY CREEKCoho</v>
          </cell>
          <cell r="AB1129">
            <v>1</v>
          </cell>
          <cell r="AC1129">
            <v>361</v>
          </cell>
          <cell r="AH1129" t="str">
            <v>EASY CREEKCoho</v>
          </cell>
          <cell r="AI1129" t="str">
            <v>PL+D</v>
          </cell>
          <cell r="AJ1129">
            <v>501</v>
          </cell>
        </row>
        <row r="1130">
          <cell r="AA1130" t="str">
            <v>EASY CREEKPink</v>
          </cell>
          <cell r="AB1130">
            <v>1</v>
          </cell>
          <cell r="AC1130">
            <v>0</v>
          </cell>
          <cell r="AH1130" t="str">
            <v>EASY CREEKPink</v>
          </cell>
          <cell r="AI1130">
            <v>0</v>
          </cell>
          <cell r="AJ1130">
            <v>0</v>
          </cell>
        </row>
        <row r="1131">
          <cell r="AA1131" t="str">
            <v>EASY CREEKChum</v>
          </cell>
          <cell r="AB1131">
            <v>1</v>
          </cell>
          <cell r="AC1131">
            <v>1507</v>
          </cell>
          <cell r="AH1131" t="str">
            <v>EASY CREEKChum</v>
          </cell>
          <cell r="AI1131" t="str">
            <v>PL+D</v>
          </cell>
          <cell r="AJ1131">
            <v>1758</v>
          </cell>
        </row>
        <row r="1132">
          <cell r="AA1132" t="str">
            <v>EASY CREEKChinook</v>
          </cell>
          <cell r="AB1132">
            <v>1</v>
          </cell>
          <cell r="AC1132">
            <v>16</v>
          </cell>
          <cell r="AH1132" t="str">
            <v>EASY CREEKChinook</v>
          </cell>
          <cell r="AI1132" t="str">
            <v>PL+D</v>
          </cell>
          <cell r="AJ1132">
            <v>18</v>
          </cell>
        </row>
        <row r="1133">
          <cell r="AA1133" t="str">
            <v>EASY CREEKSteelhead</v>
          </cell>
          <cell r="AB1133">
            <v>1</v>
          </cell>
          <cell r="AC1133">
            <v>0</v>
          </cell>
          <cell r="AH1133" t="str">
            <v>EASY CREEKSteelhead</v>
          </cell>
          <cell r="AI1133">
            <v>0</v>
          </cell>
          <cell r="AJ1133">
            <v>0</v>
          </cell>
        </row>
        <row r="1134">
          <cell r="AA1134" t="str">
            <v>JANSEN CREEKSockeye</v>
          </cell>
          <cell r="AB1134">
            <v>0</v>
          </cell>
          <cell r="AC1134">
            <v>0</v>
          </cell>
          <cell r="AH1134" t="str">
            <v>JANSEN CREEKSockeye</v>
          </cell>
          <cell r="AI1134">
            <v>0</v>
          </cell>
          <cell r="AJ1134">
            <v>0</v>
          </cell>
        </row>
        <row r="1135">
          <cell r="AA1135" t="str">
            <v>JANSEN CREEKCoho</v>
          </cell>
          <cell r="AB1135">
            <v>0</v>
          </cell>
          <cell r="AC1135">
            <v>0</v>
          </cell>
          <cell r="AH1135" t="str">
            <v>JANSEN CREEKCoho</v>
          </cell>
          <cell r="AI1135">
            <v>0</v>
          </cell>
          <cell r="AJ1135">
            <v>0</v>
          </cell>
        </row>
        <row r="1136">
          <cell r="AA1136" t="str">
            <v>JANSEN CREEKPink</v>
          </cell>
          <cell r="AB1136">
            <v>0</v>
          </cell>
          <cell r="AC1136">
            <v>0</v>
          </cell>
          <cell r="AH1136" t="str">
            <v>JANSEN CREEKPink</v>
          </cell>
          <cell r="AI1136">
            <v>0</v>
          </cell>
          <cell r="AJ1136">
            <v>0</v>
          </cell>
        </row>
        <row r="1137">
          <cell r="AA1137" t="str">
            <v>JANSEN CREEKChum</v>
          </cell>
          <cell r="AB1137">
            <v>0</v>
          </cell>
          <cell r="AC1137">
            <v>0</v>
          </cell>
          <cell r="AH1137" t="str">
            <v>JANSEN CREEKChum</v>
          </cell>
          <cell r="AI1137">
            <v>0</v>
          </cell>
          <cell r="AJ1137">
            <v>0</v>
          </cell>
        </row>
        <row r="1138">
          <cell r="AA1138" t="str">
            <v>JANSEN CREEKChinook</v>
          </cell>
          <cell r="AB1138">
            <v>0</v>
          </cell>
          <cell r="AC1138">
            <v>0</v>
          </cell>
          <cell r="AH1138" t="str">
            <v>JANSEN CREEKChinook</v>
          </cell>
          <cell r="AI1138">
            <v>0</v>
          </cell>
          <cell r="AJ1138">
            <v>0</v>
          </cell>
        </row>
        <row r="1139">
          <cell r="AA1139" t="str">
            <v>JANSEN CREEKSteelhead</v>
          </cell>
          <cell r="AB1139">
            <v>0</v>
          </cell>
          <cell r="AC1139">
            <v>0</v>
          </cell>
          <cell r="AH1139" t="str">
            <v>JANSEN CREEKSteelhead</v>
          </cell>
          <cell r="AI1139">
            <v>0</v>
          </cell>
          <cell r="AJ1139">
            <v>0</v>
          </cell>
        </row>
        <row r="1140">
          <cell r="AA1140" t="str">
            <v>KAOUK RIVERSockeye</v>
          </cell>
          <cell r="AB1140">
            <v>8</v>
          </cell>
          <cell r="AC1140">
            <v>62</v>
          </cell>
          <cell r="AH1140" t="str">
            <v>KAOUK RIVERSockeye</v>
          </cell>
          <cell r="AI1140" t="str">
            <v>AUC</v>
          </cell>
          <cell r="AJ1140">
            <v>85</v>
          </cell>
        </row>
        <row r="1141">
          <cell r="AA1141" t="str">
            <v>KAOUK RIVERCoho</v>
          </cell>
          <cell r="AB1141">
            <v>8</v>
          </cell>
          <cell r="AC1141">
            <v>1320</v>
          </cell>
          <cell r="AH1141" t="str">
            <v>KAOUK RIVERCoho</v>
          </cell>
          <cell r="AI1141" t="str">
            <v>AUC</v>
          </cell>
          <cell r="AJ1141">
            <v>2265</v>
          </cell>
        </row>
        <row r="1142">
          <cell r="AA1142" t="str">
            <v>KAOUK RIVERPink</v>
          </cell>
          <cell r="AB1142">
            <v>8</v>
          </cell>
          <cell r="AC1142">
            <v>5</v>
          </cell>
          <cell r="AH1142" t="str">
            <v>KAOUK RIVERPink</v>
          </cell>
          <cell r="AI1142" t="str">
            <v>AUC</v>
          </cell>
          <cell r="AJ1142">
            <v>8</v>
          </cell>
        </row>
        <row r="1143">
          <cell r="AA1143" t="str">
            <v>KAOUK RIVERChum</v>
          </cell>
          <cell r="AB1143">
            <v>8</v>
          </cell>
          <cell r="AC1143">
            <v>4787</v>
          </cell>
          <cell r="AH1143" t="str">
            <v>KAOUK RIVERChum</v>
          </cell>
          <cell r="AI1143" t="str">
            <v>AUC</v>
          </cell>
          <cell r="AJ1143">
            <v>8287</v>
          </cell>
        </row>
        <row r="1144">
          <cell r="AA1144" t="str">
            <v>KAOUK RIVERChinook</v>
          </cell>
          <cell r="AB1144">
            <v>8</v>
          </cell>
          <cell r="AC1144">
            <v>133</v>
          </cell>
          <cell r="AH1144" t="str">
            <v>KAOUK RIVERChinook</v>
          </cell>
          <cell r="AI1144" t="str">
            <v>AUC</v>
          </cell>
          <cell r="AJ1144">
            <v>240</v>
          </cell>
        </row>
        <row r="1145">
          <cell r="AA1145" t="str">
            <v>KAOUK RIVERSteelhead</v>
          </cell>
          <cell r="AB1145">
            <v>8</v>
          </cell>
          <cell r="AC1145">
            <v>4</v>
          </cell>
          <cell r="AH1145" t="str">
            <v>KAOUK RIVERSteelhead</v>
          </cell>
          <cell r="AI1145" t="str">
            <v>PL+D</v>
          </cell>
          <cell r="AJ1145">
            <v>4</v>
          </cell>
        </row>
        <row r="1146">
          <cell r="AA1146" t="str">
            <v>KASHUTL RIVERSockeye</v>
          </cell>
          <cell r="AB1146">
            <v>2</v>
          </cell>
          <cell r="AC1146">
            <v>2</v>
          </cell>
          <cell r="AH1146" t="str">
            <v>KASHUTL RIVERSockeye</v>
          </cell>
          <cell r="AI1146">
            <v>0</v>
          </cell>
          <cell r="AJ1146" t="str">
            <v>AP</v>
          </cell>
        </row>
        <row r="1147">
          <cell r="AA1147" t="str">
            <v>KASHUTL RIVERCoho</v>
          </cell>
          <cell r="AB1147">
            <v>2</v>
          </cell>
          <cell r="AC1147">
            <v>176</v>
          </cell>
          <cell r="AH1147" t="str">
            <v>KASHUTL RIVERCoho</v>
          </cell>
          <cell r="AI1147" t="str">
            <v>PL+D</v>
          </cell>
          <cell r="AJ1147">
            <v>320</v>
          </cell>
        </row>
        <row r="1148">
          <cell r="AA1148" t="str">
            <v>KASHUTL RIVERPink</v>
          </cell>
          <cell r="AB1148">
            <v>2</v>
          </cell>
          <cell r="AC1148">
            <v>0</v>
          </cell>
          <cell r="AH1148" t="str">
            <v>KASHUTL RIVERPink</v>
          </cell>
          <cell r="AI1148">
            <v>0</v>
          </cell>
          <cell r="AJ1148">
            <v>0</v>
          </cell>
        </row>
        <row r="1149">
          <cell r="AA1149" t="str">
            <v>KASHUTL RIVERChum</v>
          </cell>
          <cell r="AB1149">
            <v>2</v>
          </cell>
          <cell r="AC1149">
            <v>2360</v>
          </cell>
          <cell r="AH1149" t="str">
            <v>KASHUTL RIVERChum</v>
          </cell>
          <cell r="AI1149" t="str">
            <v>PL+D</v>
          </cell>
          <cell r="AJ1149">
            <v>2716</v>
          </cell>
        </row>
        <row r="1150">
          <cell r="AA1150" t="str">
            <v>KASHUTL RIVERChinook</v>
          </cell>
          <cell r="AB1150">
            <v>2</v>
          </cell>
          <cell r="AC1150">
            <v>0</v>
          </cell>
          <cell r="AH1150" t="str">
            <v>KASHUTL RIVERChinook</v>
          </cell>
          <cell r="AI1150">
            <v>0</v>
          </cell>
          <cell r="AJ1150" t="str">
            <v>NO</v>
          </cell>
        </row>
        <row r="1151">
          <cell r="AA1151" t="str">
            <v>KASHUTL RIVERSteelhead</v>
          </cell>
          <cell r="AB1151">
            <v>2</v>
          </cell>
          <cell r="AC1151">
            <v>1</v>
          </cell>
          <cell r="AH1151" t="str">
            <v>KASHUTL RIVERSteelhead</v>
          </cell>
          <cell r="AI1151" t="str">
            <v>PL+D</v>
          </cell>
          <cell r="AJ1151">
            <v>1</v>
          </cell>
        </row>
        <row r="1152">
          <cell r="AA1152" t="str">
            <v>KAUWINCH RIVERSockeye</v>
          </cell>
          <cell r="AB1152">
            <v>4</v>
          </cell>
          <cell r="AC1152">
            <v>12</v>
          </cell>
          <cell r="AH1152" t="str">
            <v>KAUWINCH RIVERSockeye</v>
          </cell>
          <cell r="AI1152" t="str">
            <v>PL+D</v>
          </cell>
          <cell r="AJ1152">
            <v>13</v>
          </cell>
        </row>
        <row r="1153">
          <cell r="AA1153" t="str">
            <v>KAUWINCH RIVERCoho</v>
          </cell>
          <cell r="AB1153">
            <v>4</v>
          </cell>
          <cell r="AC1153">
            <v>2729</v>
          </cell>
          <cell r="AH1153" t="str">
            <v>KAUWINCH RIVERCoho</v>
          </cell>
          <cell r="AI1153" t="str">
            <v>AUC</v>
          </cell>
          <cell r="AJ1153">
            <v>4375</v>
          </cell>
        </row>
        <row r="1154">
          <cell r="AA1154" t="str">
            <v>KAUWINCH RIVERPink</v>
          </cell>
          <cell r="AB1154">
            <v>4</v>
          </cell>
          <cell r="AC1154">
            <v>2</v>
          </cell>
          <cell r="AH1154" t="str">
            <v>KAUWINCH RIVERPink</v>
          </cell>
          <cell r="AI1154">
            <v>0</v>
          </cell>
          <cell r="AJ1154">
            <v>0</v>
          </cell>
        </row>
        <row r="1155">
          <cell r="AA1155" t="str">
            <v>KAUWINCH RIVERChum</v>
          </cell>
          <cell r="AB1155">
            <v>4</v>
          </cell>
          <cell r="AC1155">
            <v>2239</v>
          </cell>
          <cell r="AH1155" t="str">
            <v>KAUWINCH RIVERChum</v>
          </cell>
          <cell r="AI1155" t="str">
            <v>PL+D</v>
          </cell>
          <cell r="AJ1155">
            <v>2922</v>
          </cell>
        </row>
        <row r="1156">
          <cell r="AA1156" t="str">
            <v>KAUWINCH RIVERChinook</v>
          </cell>
          <cell r="AB1156">
            <v>4</v>
          </cell>
          <cell r="AC1156">
            <v>16</v>
          </cell>
          <cell r="AH1156" t="str">
            <v>KAUWINCH RIVERChinook</v>
          </cell>
          <cell r="AI1156" t="str">
            <v>PL+D</v>
          </cell>
          <cell r="AJ1156">
            <v>19</v>
          </cell>
        </row>
        <row r="1157">
          <cell r="AA1157" t="str">
            <v>KAUWINCH RIVERSteelhead</v>
          </cell>
          <cell r="AB1157">
            <v>4</v>
          </cell>
          <cell r="AC1157">
            <v>4</v>
          </cell>
          <cell r="AH1157" t="str">
            <v>KAUWINCH RIVERSteelhead</v>
          </cell>
          <cell r="AI1157" t="str">
            <v>PL+D</v>
          </cell>
          <cell r="AJ1157">
            <v>4</v>
          </cell>
        </row>
        <row r="1158">
          <cell r="AA1158" t="str">
            <v>MALKSOPE RIVERSockeye</v>
          </cell>
          <cell r="AB1158">
            <v>8</v>
          </cell>
          <cell r="AC1158">
            <v>0</v>
          </cell>
          <cell r="AH1158" t="str">
            <v>MALKSOPE RIVERSockeye</v>
          </cell>
          <cell r="AI1158">
            <v>0</v>
          </cell>
          <cell r="AJ1158" t="str">
            <v>AP</v>
          </cell>
        </row>
        <row r="1159">
          <cell r="AA1159" t="str">
            <v>MALKSOPE RIVERCoho</v>
          </cell>
          <cell r="AB1159">
            <v>8</v>
          </cell>
          <cell r="AC1159">
            <v>1243</v>
          </cell>
          <cell r="AH1159" t="str">
            <v>MALKSOPE RIVERCoho</v>
          </cell>
          <cell r="AI1159" t="str">
            <v>AUC</v>
          </cell>
          <cell r="AJ1159">
            <v>2154</v>
          </cell>
        </row>
        <row r="1160">
          <cell r="AA1160" t="str">
            <v>MALKSOPE RIVERPink</v>
          </cell>
          <cell r="AB1160">
            <v>8</v>
          </cell>
          <cell r="AC1160">
            <v>1</v>
          </cell>
          <cell r="AH1160" t="str">
            <v>MALKSOPE RIVERPink</v>
          </cell>
          <cell r="AI1160">
            <v>0</v>
          </cell>
          <cell r="AJ1160">
            <v>0</v>
          </cell>
        </row>
        <row r="1161">
          <cell r="AA1161" t="str">
            <v>MALKSOPE RIVERChum</v>
          </cell>
          <cell r="AB1161">
            <v>8</v>
          </cell>
          <cell r="AC1161">
            <v>5502</v>
          </cell>
          <cell r="AH1161" t="str">
            <v>MALKSOPE RIVERChum</v>
          </cell>
          <cell r="AI1161" t="str">
            <v>AUC</v>
          </cell>
          <cell r="AJ1161">
            <v>10349</v>
          </cell>
        </row>
        <row r="1162">
          <cell r="AA1162" t="str">
            <v>MALKSOPE RIVERChinook</v>
          </cell>
          <cell r="AB1162">
            <v>8</v>
          </cell>
          <cell r="AC1162">
            <v>11</v>
          </cell>
          <cell r="AH1162" t="str">
            <v>MALKSOPE RIVERChinook</v>
          </cell>
          <cell r="AI1162" t="str">
            <v>AUC</v>
          </cell>
          <cell r="AJ1162">
            <v>13</v>
          </cell>
        </row>
        <row r="1163">
          <cell r="AA1163" t="str">
            <v>MALKSOPE RIVERSteelhead</v>
          </cell>
          <cell r="AB1163">
            <v>8</v>
          </cell>
          <cell r="AC1163">
            <v>5</v>
          </cell>
          <cell r="AH1163" t="str">
            <v>MALKSOPE RIVERSteelhead</v>
          </cell>
          <cell r="AI1163" t="str">
            <v>PL+D</v>
          </cell>
          <cell r="AJ1163">
            <v>5</v>
          </cell>
        </row>
        <row r="1164">
          <cell r="AA1164" t="str">
            <v>NARROWGUT CREEKSockeye</v>
          </cell>
          <cell r="AB1164">
            <v>1</v>
          </cell>
          <cell r="AC1164">
            <v>7</v>
          </cell>
          <cell r="AH1164" t="str">
            <v>NARROWGUT CREEKSockeye</v>
          </cell>
          <cell r="AI1164">
            <v>0</v>
          </cell>
          <cell r="AJ1164" t="str">
            <v>AP</v>
          </cell>
        </row>
        <row r="1165">
          <cell r="AA1165" t="str">
            <v>NARROWGUT CREEKCoho</v>
          </cell>
          <cell r="AB1165">
            <v>1</v>
          </cell>
          <cell r="AC1165">
            <v>211</v>
          </cell>
          <cell r="AH1165" t="str">
            <v>NARROWGUT CREEKCoho</v>
          </cell>
          <cell r="AI1165" t="str">
            <v>PL+D</v>
          </cell>
          <cell r="AJ1165">
            <v>275</v>
          </cell>
        </row>
        <row r="1166">
          <cell r="AA1166" t="str">
            <v>NARROWGUT CREEKPink</v>
          </cell>
          <cell r="AB1166">
            <v>1</v>
          </cell>
          <cell r="AC1166">
            <v>0</v>
          </cell>
          <cell r="AH1166" t="str">
            <v>NARROWGUT CREEKPink</v>
          </cell>
          <cell r="AI1166">
            <v>0</v>
          </cell>
          <cell r="AJ1166">
            <v>0</v>
          </cell>
        </row>
        <row r="1167">
          <cell r="AA1167" t="str">
            <v>NARROWGUT CREEKChum</v>
          </cell>
          <cell r="AB1167">
            <v>1</v>
          </cell>
          <cell r="AC1167">
            <v>2838</v>
          </cell>
          <cell r="AH1167" t="str">
            <v>NARROWGUT CREEKChum</v>
          </cell>
          <cell r="AI1167" t="str">
            <v>PL+D</v>
          </cell>
          <cell r="AJ1167">
            <v>3463</v>
          </cell>
        </row>
        <row r="1168">
          <cell r="AA1168" t="str">
            <v>NARROWGUT CREEKChinook</v>
          </cell>
          <cell r="AB1168">
            <v>1</v>
          </cell>
          <cell r="AC1168">
            <v>3</v>
          </cell>
          <cell r="AH1168" t="str">
            <v>NARROWGUT CREEKChinook</v>
          </cell>
          <cell r="AI1168">
            <v>0</v>
          </cell>
          <cell r="AJ1168" t="str">
            <v>AP</v>
          </cell>
        </row>
        <row r="1169">
          <cell r="AA1169" t="str">
            <v>NARROWGUT CREEKSteelhead</v>
          </cell>
          <cell r="AB1169">
            <v>1</v>
          </cell>
          <cell r="AC1169">
            <v>0</v>
          </cell>
          <cell r="AH1169" t="str">
            <v>NARROWGUT CREEKSteelhead</v>
          </cell>
          <cell r="AI1169">
            <v>0</v>
          </cell>
          <cell r="AJ1169">
            <v>0</v>
          </cell>
        </row>
        <row r="1170">
          <cell r="AA1170" t="str">
            <v>OUOUKINSH RIVERSockeye</v>
          </cell>
          <cell r="AB1170">
            <v>0</v>
          </cell>
          <cell r="AC1170">
            <v>0</v>
          </cell>
          <cell r="AH1170" t="str">
            <v>OUOUKINSH RIVERSockeye</v>
          </cell>
          <cell r="AI1170">
            <v>0</v>
          </cell>
          <cell r="AJ1170">
            <v>0</v>
          </cell>
        </row>
        <row r="1171">
          <cell r="AA1171" t="str">
            <v>OUOUKINSH RIVERCoho</v>
          </cell>
          <cell r="AB1171">
            <v>0</v>
          </cell>
          <cell r="AC1171">
            <v>0</v>
          </cell>
          <cell r="AH1171" t="str">
            <v>OUOUKINSH RIVERCoho</v>
          </cell>
          <cell r="AI1171">
            <v>0</v>
          </cell>
          <cell r="AJ1171">
            <v>0</v>
          </cell>
        </row>
        <row r="1172">
          <cell r="AA1172" t="str">
            <v>OUOUKINSH RIVERPink</v>
          </cell>
          <cell r="AB1172">
            <v>0</v>
          </cell>
          <cell r="AC1172">
            <v>0</v>
          </cell>
          <cell r="AH1172" t="str">
            <v>OUOUKINSH RIVERPink</v>
          </cell>
          <cell r="AI1172">
            <v>0</v>
          </cell>
          <cell r="AJ1172">
            <v>0</v>
          </cell>
        </row>
        <row r="1173">
          <cell r="AA1173" t="str">
            <v>OUOUKINSH RIVERChum</v>
          </cell>
          <cell r="AB1173">
            <v>0</v>
          </cell>
          <cell r="AC1173">
            <v>0</v>
          </cell>
          <cell r="AH1173" t="str">
            <v>OUOUKINSH RIVERChum</v>
          </cell>
          <cell r="AI1173">
            <v>0</v>
          </cell>
          <cell r="AJ1173">
            <v>0</v>
          </cell>
        </row>
        <row r="1174">
          <cell r="AA1174" t="str">
            <v>OUOUKINSH RIVERChinook</v>
          </cell>
          <cell r="AB1174">
            <v>0</v>
          </cell>
          <cell r="AC1174">
            <v>0</v>
          </cell>
          <cell r="AH1174" t="str">
            <v>OUOUKINSH RIVERChinook</v>
          </cell>
          <cell r="AI1174">
            <v>0</v>
          </cell>
          <cell r="AJ1174">
            <v>0</v>
          </cell>
        </row>
        <row r="1175">
          <cell r="AA1175" t="str">
            <v>OUOUKINSH RIVERSteelhead</v>
          </cell>
          <cell r="AB1175">
            <v>0</v>
          </cell>
          <cell r="AC1175">
            <v>0</v>
          </cell>
          <cell r="AH1175" t="str">
            <v>OUOUKINSH RIVERSteelhead</v>
          </cell>
          <cell r="AI1175">
            <v>0</v>
          </cell>
          <cell r="AJ1175">
            <v>0</v>
          </cell>
        </row>
        <row r="1176">
          <cell r="AA1176" t="str">
            <v>TAHSISH RIVERSockeye</v>
          </cell>
          <cell r="AB1176">
            <v>7</v>
          </cell>
          <cell r="AC1176">
            <v>56</v>
          </cell>
          <cell r="AH1176" t="str">
            <v>TAHSISH RIVERSockeye</v>
          </cell>
          <cell r="AI1176" t="str">
            <v>PL+D</v>
          </cell>
          <cell r="AJ1176">
            <v>96</v>
          </cell>
        </row>
        <row r="1177">
          <cell r="AA1177" t="str">
            <v>TAHSISH RIVERCoho</v>
          </cell>
          <cell r="AB1177">
            <v>7</v>
          </cell>
          <cell r="AC1177">
            <v>3019</v>
          </cell>
          <cell r="AH1177" t="str">
            <v>TAHSISH RIVERCoho</v>
          </cell>
          <cell r="AI1177" t="str">
            <v>AUC</v>
          </cell>
          <cell r="AJ1177">
            <v>5547</v>
          </cell>
        </row>
        <row r="1178">
          <cell r="AA1178" t="str">
            <v>TAHSISH RIVERPink</v>
          </cell>
          <cell r="AB1178">
            <v>7</v>
          </cell>
          <cell r="AC1178">
            <v>9</v>
          </cell>
          <cell r="AH1178" t="str">
            <v>TAHSISH RIVERPink</v>
          </cell>
          <cell r="AI1178" t="str">
            <v>PL+D</v>
          </cell>
          <cell r="AJ1178">
            <v>11</v>
          </cell>
        </row>
        <row r="1179">
          <cell r="AA1179" t="str">
            <v>TAHSISH RIVERChum</v>
          </cell>
          <cell r="AB1179">
            <v>7</v>
          </cell>
          <cell r="AC1179">
            <v>8342</v>
          </cell>
          <cell r="AH1179" t="str">
            <v>TAHSISH RIVERChum</v>
          </cell>
          <cell r="AI1179" t="str">
            <v>AUC</v>
          </cell>
          <cell r="AJ1179">
            <v>11130</v>
          </cell>
        </row>
        <row r="1180">
          <cell r="AA1180" t="str">
            <v>TAHSISH RIVERChinook</v>
          </cell>
          <cell r="AB1180">
            <v>7</v>
          </cell>
          <cell r="AC1180">
            <v>274</v>
          </cell>
          <cell r="AH1180" t="str">
            <v>TAHSISH RIVERChinook</v>
          </cell>
          <cell r="AI1180" t="str">
            <v>AUC</v>
          </cell>
          <cell r="AJ1180">
            <v>350</v>
          </cell>
        </row>
        <row r="1181">
          <cell r="AA1181" t="str">
            <v>TAHSISH RIVERSteelhead</v>
          </cell>
          <cell r="AB1181">
            <v>7</v>
          </cell>
          <cell r="AC1181">
            <v>7</v>
          </cell>
          <cell r="AH1181" t="str">
            <v>TAHSISH RIVERSteelhead</v>
          </cell>
          <cell r="AI1181" t="str">
            <v>PL+D</v>
          </cell>
          <cell r="AJ1181">
            <v>7</v>
          </cell>
        </row>
        <row r="1182">
          <cell r="AA1182" t="str">
            <v>CAYEGHLE SYSTEMSockeye</v>
          </cell>
          <cell r="AB1182">
            <v>8</v>
          </cell>
          <cell r="AC1182">
            <v>0</v>
          </cell>
          <cell r="AH1182" t="str">
            <v>CAYEGHLE SYSTEMSockeye</v>
          </cell>
          <cell r="AI1182">
            <v>0</v>
          </cell>
          <cell r="AJ1182" t="str">
            <v>NO</v>
          </cell>
        </row>
        <row r="1183">
          <cell r="AA1183" t="str">
            <v>CAYEGHLE SYSTEMCoho</v>
          </cell>
          <cell r="AB1183">
            <v>8</v>
          </cell>
          <cell r="AC1183">
            <v>381</v>
          </cell>
          <cell r="AH1183" t="str">
            <v>CAYEGHLE SYSTEMCoho</v>
          </cell>
          <cell r="AI1183" t="str">
            <v>AUC</v>
          </cell>
          <cell r="AJ1183">
            <v>844</v>
          </cell>
        </row>
        <row r="1184">
          <cell r="AA1184" t="str">
            <v>CAYEGHLE SYSTEMPink</v>
          </cell>
          <cell r="AB1184">
            <v>8</v>
          </cell>
          <cell r="AC1184">
            <v>14</v>
          </cell>
          <cell r="AH1184" t="str">
            <v>CAYEGHLE SYSTEMPink</v>
          </cell>
          <cell r="AI1184" t="str">
            <v>PL+D</v>
          </cell>
          <cell r="AJ1184">
            <v>14</v>
          </cell>
        </row>
        <row r="1185">
          <cell r="AA1185" t="str">
            <v>CAYEGHLE SYSTEMChum</v>
          </cell>
          <cell r="AB1185">
            <v>8</v>
          </cell>
          <cell r="AC1185">
            <v>6317</v>
          </cell>
          <cell r="AH1185" t="str">
            <v>CAYEGHLE SYSTEMChum</v>
          </cell>
          <cell r="AI1185" t="str">
            <v>AUC</v>
          </cell>
          <cell r="AJ1185">
            <v>13948</v>
          </cell>
        </row>
        <row r="1186">
          <cell r="AA1186" t="str">
            <v>CAYEGHLE SYSTEMChinook</v>
          </cell>
          <cell r="AB1186">
            <v>8</v>
          </cell>
          <cell r="AC1186">
            <v>36</v>
          </cell>
          <cell r="AH1186" t="str">
            <v>CAYEGHLE SYSTEMChinook</v>
          </cell>
          <cell r="AI1186" t="str">
            <v>AUC</v>
          </cell>
          <cell r="AJ1186">
            <v>98</v>
          </cell>
        </row>
        <row r="1187">
          <cell r="AA1187" t="str">
            <v>CAYEGHLE SYSTEMSteelhead</v>
          </cell>
          <cell r="AB1187">
            <v>8</v>
          </cell>
          <cell r="AC1187">
            <v>1</v>
          </cell>
          <cell r="AH1187" t="str">
            <v>CAYEGHLE SYSTEMSteelhead</v>
          </cell>
          <cell r="AI1187" t="str">
            <v>PL+D</v>
          </cell>
          <cell r="AJ1187">
            <v>1</v>
          </cell>
        </row>
        <row r="1188">
          <cell r="AA1188" t="str">
            <v>LINK RIVERSockeye</v>
          </cell>
          <cell r="AB1188">
            <v>0</v>
          </cell>
          <cell r="AC1188">
            <v>0</v>
          </cell>
          <cell r="AH1188" t="str">
            <v>LINK RIVERSockeye</v>
          </cell>
          <cell r="AI1188">
            <v>0</v>
          </cell>
          <cell r="AJ1188">
            <v>0</v>
          </cell>
        </row>
        <row r="1189">
          <cell r="AA1189" t="str">
            <v>LINK RIVERCoho</v>
          </cell>
          <cell r="AB1189">
            <v>0</v>
          </cell>
          <cell r="AC1189">
            <v>0</v>
          </cell>
          <cell r="AH1189" t="str">
            <v>LINK RIVERCoho</v>
          </cell>
          <cell r="AI1189">
            <v>0</v>
          </cell>
          <cell r="AJ1189">
            <v>0</v>
          </cell>
        </row>
        <row r="1190">
          <cell r="AA1190" t="str">
            <v>LINK RIVERPink</v>
          </cell>
          <cell r="AB1190">
            <v>0</v>
          </cell>
          <cell r="AC1190">
            <v>0</v>
          </cell>
          <cell r="AH1190" t="str">
            <v>LINK RIVERPink</v>
          </cell>
          <cell r="AI1190">
            <v>0</v>
          </cell>
          <cell r="AJ1190">
            <v>0</v>
          </cell>
        </row>
        <row r="1191">
          <cell r="AA1191" t="str">
            <v>LINK RIVERChum</v>
          </cell>
          <cell r="AB1191">
            <v>0</v>
          </cell>
          <cell r="AC1191">
            <v>0</v>
          </cell>
          <cell r="AH1191" t="str">
            <v>LINK RIVERChum</v>
          </cell>
          <cell r="AI1191">
            <v>0</v>
          </cell>
          <cell r="AJ1191">
            <v>0</v>
          </cell>
        </row>
        <row r="1192">
          <cell r="AA1192" t="str">
            <v>LINK RIVERChinook</v>
          </cell>
          <cell r="AB1192">
            <v>0</v>
          </cell>
          <cell r="AC1192">
            <v>0</v>
          </cell>
          <cell r="AH1192" t="str">
            <v>LINK RIVERChinook</v>
          </cell>
          <cell r="AI1192">
            <v>0</v>
          </cell>
          <cell r="AJ1192">
            <v>0</v>
          </cell>
        </row>
        <row r="1193">
          <cell r="AA1193" t="str">
            <v>LINK RIVERSteelhead</v>
          </cell>
          <cell r="AB1193">
            <v>0</v>
          </cell>
          <cell r="AC1193">
            <v>0</v>
          </cell>
          <cell r="AH1193" t="str">
            <v>LINK RIVERSteelhead</v>
          </cell>
          <cell r="AI1193">
            <v>0</v>
          </cell>
          <cell r="AJ1193">
            <v>0</v>
          </cell>
        </row>
        <row r="1194">
          <cell r="AA1194" t="str">
            <v>MARBLE RIVERSockeye</v>
          </cell>
          <cell r="AB1194">
            <v>13</v>
          </cell>
          <cell r="AC1194">
            <v>0</v>
          </cell>
          <cell r="AH1194" t="str">
            <v>MARBLE RIVERSockeye</v>
          </cell>
          <cell r="AI1194">
            <v>0</v>
          </cell>
          <cell r="AJ1194" t="str">
            <v>NO</v>
          </cell>
        </row>
        <row r="1195">
          <cell r="AA1195" t="str">
            <v>MARBLE RIVERCoho</v>
          </cell>
          <cell r="AB1195">
            <v>13</v>
          </cell>
          <cell r="AC1195">
            <v>612</v>
          </cell>
          <cell r="AH1195" t="str">
            <v>MARBLE RIVERCoho</v>
          </cell>
          <cell r="AI1195" t="str">
            <v>AUC</v>
          </cell>
          <cell r="AJ1195">
            <v>1932</v>
          </cell>
        </row>
        <row r="1196">
          <cell r="AA1196" t="str">
            <v>MARBLE RIVERPink</v>
          </cell>
          <cell r="AB1196">
            <v>13</v>
          </cell>
          <cell r="AC1196">
            <v>5</v>
          </cell>
          <cell r="AH1196" t="str">
            <v>MARBLE RIVERPink</v>
          </cell>
          <cell r="AI1196" t="str">
            <v>AUC</v>
          </cell>
          <cell r="AJ1196">
            <v>7</v>
          </cell>
        </row>
        <row r="1197">
          <cell r="AA1197" t="str">
            <v>MARBLE RIVERChum</v>
          </cell>
          <cell r="AB1197">
            <v>13</v>
          </cell>
          <cell r="AC1197">
            <v>2</v>
          </cell>
          <cell r="AH1197" t="str">
            <v>MARBLE RIVERChum</v>
          </cell>
          <cell r="AI1197">
            <v>0</v>
          </cell>
          <cell r="AJ1197" t="str">
            <v>AP</v>
          </cell>
        </row>
        <row r="1198">
          <cell r="AA1198" t="str">
            <v>MARBLE RIVERChinook</v>
          </cell>
          <cell r="AB1198">
            <v>13</v>
          </cell>
          <cell r="AC1198">
            <v>1360</v>
          </cell>
          <cell r="AH1198" t="str">
            <v>MARBLE RIVERChinook</v>
          </cell>
          <cell r="AI1198" t="str">
            <v>AUC</v>
          </cell>
          <cell r="AJ1198">
            <v>2081</v>
          </cell>
        </row>
        <row r="1199">
          <cell r="AA1199" t="str">
            <v>MARBLE RIVERSteelhead</v>
          </cell>
          <cell r="AB1199">
            <v>13</v>
          </cell>
          <cell r="AC1199">
            <v>13</v>
          </cell>
          <cell r="AH1199" t="str">
            <v>MARBLE RIVERSteelhead</v>
          </cell>
          <cell r="AI1199" t="str">
            <v>PL+D</v>
          </cell>
          <cell r="AJ1199">
            <v>13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P46"/>
  <sheetViews>
    <sheetView workbookViewId="0">
      <selection activeCell="F51" sqref="F51"/>
    </sheetView>
  </sheetViews>
  <sheetFormatPr defaultRowHeight="12.75" x14ac:dyDescent="0.2"/>
  <cols>
    <col min="2" max="2" width="13.42578125" customWidth="1"/>
    <col min="3" max="3" width="10.42578125" customWidth="1"/>
    <col min="4" max="4" width="13.140625" customWidth="1"/>
    <col min="5" max="6" width="13.42578125" customWidth="1"/>
    <col min="8" max="8" width="10.140625" bestFit="1" customWidth="1"/>
    <col min="10" max="10" width="10.140625" bestFit="1" customWidth="1"/>
    <col min="14" max="14" width="16.140625" bestFit="1" customWidth="1"/>
  </cols>
  <sheetData>
    <row r="2" spans="1:7" x14ac:dyDescent="0.2">
      <c r="A2">
        <v>1</v>
      </c>
      <c r="B2" t="s">
        <v>40</v>
      </c>
    </row>
    <row r="3" spans="1:7" x14ac:dyDescent="0.2">
      <c r="A3">
        <v>2</v>
      </c>
      <c r="B3" t="s">
        <v>41</v>
      </c>
    </row>
    <row r="4" spans="1:7" x14ac:dyDescent="0.2">
      <c r="A4">
        <v>3</v>
      </c>
      <c r="B4" t="s">
        <v>42</v>
      </c>
    </row>
    <row r="5" spans="1:7" x14ac:dyDescent="0.2">
      <c r="A5">
        <v>4</v>
      </c>
      <c r="B5" t="s">
        <v>18</v>
      </c>
    </row>
    <row r="6" spans="1:7" x14ac:dyDescent="0.2">
      <c r="B6" t="s">
        <v>19</v>
      </c>
      <c r="G6" t="s">
        <v>20</v>
      </c>
    </row>
    <row r="7" spans="1:7" x14ac:dyDescent="0.2">
      <c r="B7" t="s">
        <v>6</v>
      </c>
      <c r="G7" t="s">
        <v>21</v>
      </c>
    </row>
    <row r="8" spans="1:7" x14ac:dyDescent="0.2">
      <c r="B8" t="s">
        <v>8</v>
      </c>
      <c r="G8" t="s">
        <v>22</v>
      </c>
    </row>
    <row r="9" spans="1:7" x14ac:dyDescent="0.2">
      <c r="B9" t="s">
        <v>9</v>
      </c>
      <c r="G9" t="s">
        <v>23</v>
      </c>
    </row>
    <row r="10" spans="1:7" x14ac:dyDescent="0.2">
      <c r="B10" t="s">
        <v>10</v>
      </c>
      <c r="G10" t="s">
        <v>43</v>
      </c>
    </row>
    <row r="11" spans="1:7" x14ac:dyDescent="0.2">
      <c r="A11">
        <v>5</v>
      </c>
      <c r="B11" t="s">
        <v>46</v>
      </c>
    </row>
    <row r="12" spans="1:7" x14ac:dyDescent="0.2">
      <c r="A12">
        <v>6</v>
      </c>
      <c r="B12" t="s">
        <v>105</v>
      </c>
    </row>
    <row r="15" spans="1:7" x14ac:dyDescent="0.2">
      <c r="A15" t="s">
        <v>47</v>
      </c>
      <c r="B15" s="69">
        <v>42597</v>
      </c>
      <c r="C15" s="69"/>
      <c r="D15" s="69"/>
      <c r="E15" s="69"/>
      <c r="F15" s="69"/>
    </row>
    <row r="16" spans="1:7" x14ac:dyDescent="0.2">
      <c r="A16" t="s">
        <v>48</v>
      </c>
      <c r="B16" t="s">
        <v>49</v>
      </c>
    </row>
    <row r="18" spans="2:16" x14ac:dyDescent="0.2">
      <c r="B18" t="s">
        <v>175</v>
      </c>
    </row>
    <row r="19" spans="2:16" x14ac:dyDescent="0.2">
      <c r="C19" s="1000" t="s">
        <v>238</v>
      </c>
      <c r="D19" s="1001"/>
      <c r="E19" s="997" t="s">
        <v>178</v>
      </c>
      <c r="F19" s="997"/>
      <c r="G19" s="999" t="s">
        <v>177</v>
      </c>
      <c r="H19" s="999"/>
      <c r="I19" s="998" t="s">
        <v>176</v>
      </c>
      <c r="J19" s="998"/>
      <c r="M19" t="s">
        <v>188</v>
      </c>
      <c r="O19" s="295" t="s">
        <v>212</v>
      </c>
      <c r="P19" s="295"/>
    </row>
    <row r="20" spans="2:16" x14ac:dyDescent="0.2">
      <c r="C20" s="332" t="s">
        <v>97</v>
      </c>
      <c r="D20" s="332" t="s">
        <v>244</v>
      </c>
      <c r="E20" s="213" t="s">
        <v>97</v>
      </c>
      <c r="F20" s="213" t="s">
        <v>244</v>
      </c>
      <c r="G20" s="334" t="s">
        <v>97</v>
      </c>
      <c r="H20" s="334" t="s">
        <v>244</v>
      </c>
      <c r="I20" s="112" t="s">
        <v>97</v>
      </c>
      <c r="J20" s="112" t="s">
        <v>244</v>
      </c>
    </row>
    <row r="21" spans="2:16" x14ac:dyDescent="0.2">
      <c r="B21" t="s">
        <v>205</v>
      </c>
      <c r="C21" s="295"/>
      <c r="D21" s="295"/>
      <c r="E21" s="336"/>
      <c r="F21" s="336"/>
      <c r="G21" s="335"/>
      <c r="H21" s="335"/>
      <c r="I21" s="333"/>
      <c r="J21" s="333"/>
      <c r="M21" s="293" t="s">
        <v>206</v>
      </c>
    </row>
    <row r="22" spans="2:16" x14ac:dyDescent="0.2">
      <c r="B22" t="s">
        <v>145</v>
      </c>
      <c r="C22" s="295">
        <v>14.5</v>
      </c>
      <c r="D22" s="332" t="s">
        <v>243</v>
      </c>
      <c r="E22" s="336" t="s">
        <v>185</v>
      </c>
      <c r="F22" s="336"/>
      <c r="G22" s="335"/>
      <c r="H22" s="335"/>
      <c r="I22" s="333"/>
      <c r="J22" s="333"/>
      <c r="M22" s="294" t="s">
        <v>210</v>
      </c>
      <c r="O22" t="s">
        <v>264</v>
      </c>
    </row>
    <row r="23" spans="2:16" x14ac:dyDescent="0.2">
      <c r="B23" t="s">
        <v>29</v>
      </c>
      <c r="C23" s="295"/>
      <c r="D23" s="295"/>
      <c r="E23" s="336"/>
      <c r="F23" s="336"/>
      <c r="G23" s="335"/>
      <c r="H23" s="335"/>
      <c r="I23" s="333" t="s">
        <v>179</v>
      </c>
      <c r="J23" s="333"/>
      <c r="M23" s="294" t="s">
        <v>197</v>
      </c>
      <c r="O23" t="s">
        <v>264</v>
      </c>
    </row>
    <row r="24" spans="2:16" x14ac:dyDescent="0.2">
      <c r="B24" t="s">
        <v>32</v>
      </c>
      <c r="C24" s="295"/>
      <c r="D24" s="295"/>
      <c r="E24" s="336"/>
      <c r="F24" s="336"/>
      <c r="G24" s="335"/>
      <c r="H24" s="335"/>
      <c r="I24" s="333"/>
      <c r="J24" s="333"/>
      <c r="M24" s="293" t="s">
        <v>200</v>
      </c>
      <c r="O24" t="s">
        <v>264</v>
      </c>
    </row>
    <row r="25" spans="2:16" x14ac:dyDescent="0.2">
      <c r="B25" t="s">
        <v>39</v>
      </c>
      <c r="C25" s="295"/>
      <c r="D25" s="295"/>
      <c r="E25" s="336"/>
      <c r="F25" s="336"/>
      <c r="G25" s="335"/>
      <c r="H25" s="335"/>
      <c r="I25" s="333"/>
      <c r="J25" s="333"/>
      <c r="M25" s="293" t="s">
        <v>207</v>
      </c>
      <c r="O25" t="s">
        <v>264</v>
      </c>
    </row>
    <row r="26" spans="2:16" x14ac:dyDescent="0.2">
      <c r="B26" t="s">
        <v>33</v>
      </c>
      <c r="C26" s="295"/>
      <c r="D26" s="295"/>
      <c r="E26" s="336"/>
      <c r="F26" s="336"/>
      <c r="G26" s="335"/>
      <c r="H26" s="335"/>
      <c r="I26" s="333"/>
      <c r="J26" s="333"/>
      <c r="M26" s="293" t="s">
        <v>199</v>
      </c>
      <c r="O26" t="s">
        <v>264</v>
      </c>
    </row>
    <row r="27" spans="2:16" x14ac:dyDescent="0.2">
      <c r="B27" t="s">
        <v>35</v>
      </c>
      <c r="C27" s="295"/>
      <c r="D27" s="295"/>
      <c r="E27" s="336"/>
      <c r="F27" s="336"/>
      <c r="G27" s="335"/>
      <c r="H27" s="335"/>
      <c r="I27" s="333" t="s">
        <v>179</v>
      </c>
      <c r="J27" s="333"/>
      <c r="M27" s="293" t="s">
        <v>189</v>
      </c>
      <c r="O27" t="s">
        <v>264</v>
      </c>
    </row>
    <row r="28" spans="2:16" x14ac:dyDescent="0.2">
      <c r="B28" t="s">
        <v>183</v>
      </c>
      <c r="C28" s="295" t="s">
        <v>180</v>
      </c>
      <c r="D28" s="295"/>
      <c r="E28" s="336" t="s">
        <v>185</v>
      </c>
      <c r="F28" s="336" t="s">
        <v>314</v>
      </c>
      <c r="G28" s="335"/>
      <c r="H28" s="335"/>
      <c r="I28" s="333"/>
      <c r="J28" s="333"/>
      <c r="M28" s="294" t="s">
        <v>208</v>
      </c>
      <c r="O28" t="s">
        <v>264</v>
      </c>
    </row>
    <row r="29" spans="2:16" x14ac:dyDescent="0.2">
      <c r="B29" t="s">
        <v>36</v>
      </c>
      <c r="C29" s="295"/>
      <c r="D29" s="295"/>
      <c r="E29" s="336"/>
      <c r="F29" s="336"/>
      <c r="G29" s="335"/>
      <c r="H29" s="335"/>
      <c r="I29" s="333" t="s">
        <v>179</v>
      </c>
      <c r="J29" s="333"/>
      <c r="M29" s="293" t="s">
        <v>201</v>
      </c>
      <c r="O29" t="s">
        <v>264</v>
      </c>
    </row>
    <row r="30" spans="2:16" x14ac:dyDescent="0.2">
      <c r="B30" t="s">
        <v>30</v>
      </c>
      <c r="C30" s="295"/>
      <c r="D30" s="295"/>
      <c r="E30" s="336"/>
      <c r="F30" s="336"/>
      <c r="G30" s="335"/>
      <c r="H30" s="335"/>
      <c r="I30" s="333"/>
      <c r="J30" s="333"/>
      <c r="M30" s="293" t="s">
        <v>194</v>
      </c>
      <c r="O30" t="s">
        <v>264</v>
      </c>
    </row>
    <row r="31" spans="2:16" x14ac:dyDescent="0.2">
      <c r="B31" t="s">
        <v>24</v>
      </c>
      <c r="C31" s="295"/>
      <c r="D31" s="295"/>
      <c r="E31" s="336" t="s">
        <v>180</v>
      </c>
      <c r="F31" s="336"/>
      <c r="G31" s="337" t="s">
        <v>181</v>
      </c>
      <c r="H31" s="337"/>
      <c r="I31" s="333" t="s">
        <v>179</v>
      </c>
      <c r="J31" s="333"/>
      <c r="M31" s="294" t="s">
        <v>211</v>
      </c>
      <c r="N31" t="s">
        <v>262</v>
      </c>
      <c r="O31" t="s">
        <v>263</v>
      </c>
    </row>
    <row r="32" spans="2:16" x14ac:dyDescent="0.2">
      <c r="B32" t="s">
        <v>28</v>
      </c>
      <c r="C32" s="295"/>
      <c r="D32" s="295"/>
      <c r="E32" s="336"/>
      <c r="F32" s="336"/>
      <c r="G32" s="335"/>
      <c r="H32" s="335"/>
      <c r="I32" s="333" t="s">
        <v>179</v>
      </c>
      <c r="J32" s="333"/>
      <c r="M32" s="293" t="s">
        <v>195</v>
      </c>
      <c r="N32" t="s">
        <v>191</v>
      </c>
      <c r="O32" t="s">
        <v>264</v>
      </c>
    </row>
    <row r="33" spans="2:15" x14ac:dyDescent="0.2">
      <c r="B33" t="s">
        <v>27</v>
      </c>
      <c r="C33" s="295"/>
      <c r="D33" s="295"/>
      <c r="E33" s="336"/>
      <c r="F33" s="336"/>
      <c r="G33" s="335"/>
      <c r="H33" s="335"/>
      <c r="I33" s="333" t="s">
        <v>179</v>
      </c>
      <c r="J33" s="333"/>
      <c r="M33" s="293" t="s">
        <v>196</v>
      </c>
      <c r="O33" t="s">
        <v>264</v>
      </c>
    </row>
    <row r="34" spans="2:15" x14ac:dyDescent="0.2">
      <c r="B34" t="s">
        <v>25</v>
      </c>
      <c r="C34" s="295" t="s">
        <v>266</v>
      </c>
      <c r="D34" s="295"/>
      <c r="E34" s="336"/>
      <c r="F34" s="336"/>
      <c r="G34" s="335"/>
      <c r="H34" s="335"/>
      <c r="I34" s="333" t="s">
        <v>179</v>
      </c>
      <c r="J34" s="333"/>
      <c r="M34" s="293" t="s">
        <v>190</v>
      </c>
      <c r="N34" t="s">
        <v>191</v>
      </c>
      <c r="O34" t="s">
        <v>264</v>
      </c>
    </row>
    <row r="35" spans="2:15" x14ac:dyDescent="0.2">
      <c r="B35" t="s">
        <v>34</v>
      </c>
      <c r="C35" s="295"/>
      <c r="D35" s="295"/>
      <c r="E35" s="336"/>
      <c r="F35" s="336"/>
      <c r="G35" s="335"/>
      <c r="H35" s="335"/>
      <c r="I35" s="333"/>
      <c r="J35" s="333"/>
      <c r="M35" s="294" t="s">
        <v>190</v>
      </c>
      <c r="O35" t="s">
        <v>264</v>
      </c>
    </row>
    <row r="36" spans="2:15" x14ac:dyDescent="0.2">
      <c r="B36" t="s">
        <v>193</v>
      </c>
      <c r="C36" s="295"/>
      <c r="D36" s="295"/>
      <c r="E36" s="336" t="s">
        <v>185</v>
      </c>
      <c r="F36" s="336"/>
      <c r="G36" s="337" t="s">
        <v>181</v>
      </c>
      <c r="H36" s="337"/>
      <c r="I36" s="333" t="s">
        <v>179</v>
      </c>
      <c r="J36" s="333"/>
      <c r="M36" s="293" t="s">
        <v>192</v>
      </c>
      <c r="O36" t="s">
        <v>264</v>
      </c>
    </row>
    <row r="37" spans="2:15" x14ac:dyDescent="0.2">
      <c r="B37" t="s">
        <v>37</v>
      </c>
      <c r="C37" s="295"/>
      <c r="D37" s="295"/>
      <c r="E37" s="336" t="s">
        <v>185</v>
      </c>
      <c r="F37" s="336"/>
      <c r="G37" s="337" t="s">
        <v>181</v>
      </c>
      <c r="H37" s="337"/>
      <c r="I37" s="333" t="s">
        <v>179</v>
      </c>
      <c r="J37" s="333"/>
      <c r="M37" s="293" t="s">
        <v>202</v>
      </c>
      <c r="O37" t="s">
        <v>264</v>
      </c>
    </row>
    <row r="38" spans="2:15" x14ac:dyDescent="0.2">
      <c r="B38" t="s">
        <v>31</v>
      </c>
      <c r="C38" s="295"/>
      <c r="D38" s="295"/>
      <c r="E38" s="336"/>
      <c r="F38" s="336"/>
      <c r="G38" s="335"/>
      <c r="H38" s="335"/>
      <c r="I38" s="333"/>
      <c r="J38" s="333"/>
      <c r="M38" s="293" t="s">
        <v>198</v>
      </c>
      <c r="O38" t="s">
        <v>264</v>
      </c>
    </row>
    <row r="39" spans="2:15" x14ac:dyDescent="0.2">
      <c r="B39" t="s">
        <v>38</v>
      </c>
      <c r="C39" s="295"/>
      <c r="D39" s="295"/>
      <c r="E39" s="336"/>
      <c r="F39" s="336"/>
      <c r="G39" s="335"/>
      <c r="H39" s="335"/>
      <c r="I39" s="333"/>
      <c r="J39" s="333"/>
      <c r="M39" s="293" t="s">
        <v>203</v>
      </c>
      <c r="O39" t="s">
        <v>264</v>
      </c>
    </row>
    <row r="40" spans="2:15" x14ac:dyDescent="0.2">
      <c r="B40" t="s">
        <v>184</v>
      </c>
      <c r="C40" s="295"/>
      <c r="D40" s="295"/>
      <c r="E40" s="336"/>
      <c r="F40" s="336"/>
      <c r="G40" s="335"/>
      <c r="H40" s="335"/>
      <c r="I40" s="333"/>
      <c r="J40" s="333"/>
      <c r="M40" s="293" t="s">
        <v>204</v>
      </c>
      <c r="O40" t="s">
        <v>264</v>
      </c>
    </row>
    <row r="41" spans="2:15" x14ac:dyDescent="0.2">
      <c r="B41" t="s">
        <v>182</v>
      </c>
      <c r="C41" s="295"/>
      <c r="D41" s="295"/>
      <c r="E41" s="336"/>
      <c r="F41" s="336"/>
      <c r="G41" s="335"/>
      <c r="H41" s="335"/>
      <c r="I41" s="333"/>
      <c r="J41" s="333"/>
      <c r="M41" s="294" t="s">
        <v>209</v>
      </c>
      <c r="O41" t="s">
        <v>264</v>
      </c>
    </row>
    <row r="43" spans="2:15" x14ac:dyDescent="0.2">
      <c r="B43" s="339" t="s">
        <v>245</v>
      </c>
    </row>
    <row r="44" spans="2:15" x14ac:dyDescent="0.2">
      <c r="B44" s="340" t="s">
        <v>246</v>
      </c>
    </row>
    <row r="45" spans="2:15" ht="13.5" thickBot="1" x14ac:dyDescent="0.25">
      <c r="B45" s="341" t="s">
        <v>247</v>
      </c>
    </row>
    <row r="46" spans="2:15" ht="13.5" thickBot="1" x14ac:dyDescent="0.25">
      <c r="B46" s="342" t="s">
        <v>248</v>
      </c>
    </row>
  </sheetData>
  <mergeCells count="4">
    <mergeCell ref="E19:F19"/>
    <mergeCell ref="I19:J19"/>
    <mergeCell ref="G19:H19"/>
    <mergeCell ref="C19:D19"/>
  </mergeCells>
  <phoneticPr fontId="8" type="noConversion"/>
  <pageMargins left="0.75" right="0.75" top="1" bottom="1" header="0.5" footer="0.5"/>
  <pageSetup scale="9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A124"/>
  <sheetViews>
    <sheetView topLeftCell="A31" zoomScale="85" zoomScaleNormal="85" workbookViewId="0">
      <selection activeCell="V134" sqref="V134"/>
    </sheetView>
  </sheetViews>
  <sheetFormatPr defaultColWidth="9.140625" defaultRowHeight="12.75" x14ac:dyDescent="0.2"/>
  <cols>
    <col min="1" max="1" width="10.28515625" style="2" customWidth="1"/>
    <col min="2" max="22" width="6.5703125" style="2" customWidth="1"/>
    <col min="23" max="23" width="4.28515625" style="2" customWidth="1"/>
    <col min="24" max="25" width="9.140625" style="2"/>
    <col min="26" max="26" width="13.7109375" style="56" customWidth="1"/>
    <col min="27" max="27" width="19.5703125" style="2" customWidth="1"/>
    <col min="28" max="28" width="13.42578125" customWidth="1"/>
    <col min="29" max="32" width="8.7109375"/>
    <col min="33" max="33" width="7.7109375" customWidth="1"/>
    <col min="34" max="34" width="12.42578125" customWidth="1"/>
    <col min="35" max="35" width="12.140625" customWidth="1"/>
    <col min="36" max="41" width="8.7109375"/>
    <col min="42" max="42" width="14.42578125" bestFit="1" customWidth="1"/>
    <col min="43" max="43" width="8.7109375"/>
    <col min="44" max="44" width="11" customWidth="1"/>
    <col min="45" max="52" width="8.7109375"/>
    <col min="53" max="53" width="11.85546875" customWidth="1"/>
    <col min="54" max="58" width="8.7109375"/>
    <col min="59" max="63" width="9.140625" style="2"/>
    <col min="64" max="64" width="14.42578125" style="2" bestFit="1" customWidth="1"/>
    <col min="65" max="74" width="9.140625" style="2"/>
    <col min="75" max="75" width="10.85546875" style="2" customWidth="1"/>
    <col min="76" max="85" width="9.140625" style="2"/>
    <col min="86" max="86" width="10.5703125" style="2" bestFit="1" customWidth="1"/>
    <col min="87" max="96" width="9.140625" style="2"/>
    <col min="97" max="97" width="11.7109375" style="2" customWidth="1"/>
    <col min="98" max="16384" width="9.140625" style="2"/>
  </cols>
  <sheetData>
    <row r="1" spans="1:105" ht="18" customHeight="1" x14ac:dyDescent="0.2">
      <c r="A1" s="1002" t="s">
        <v>613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105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1:105" ht="18" customHeight="1" thickTop="1" x14ac:dyDescent="0.2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A3" s="1016" t="s">
        <v>379</v>
      </c>
      <c r="AB3" s="1016"/>
    </row>
    <row r="4" spans="1:105" ht="18" customHeight="1" x14ac:dyDescent="0.25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2" t="s">
        <v>380</v>
      </c>
      <c r="AB4" t="s">
        <v>378</v>
      </c>
      <c r="AC4" s="68" t="s">
        <v>44</v>
      </c>
      <c r="AD4" t="s">
        <v>142</v>
      </c>
      <c r="AO4" s="1013" t="s">
        <v>117</v>
      </c>
      <c r="AP4" s="1013" t="s">
        <v>118</v>
      </c>
      <c r="AQ4" s="157" t="s">
        <v>119</v>
      </c>
      <c r="AS4" s="158" t="s">
        <v>120</v>
      </c>
      <c r="AT4" s="158"/>
      <c r="AU4" s="159"/>
      <c r="AV4" s="160" t="s">
        <v>121</v>
      </c>
      <c r="AW4" s="160"/>
      <c r="AX4" s="161" t="s">
        <v>122</v>
      </c>
      <c r="AZ4" s="1013" t="s">
        <v>117</v>
      </c>
      <c r="BA4" s="1013" t="s">
        <v>118</v>
      </c>
      <c r="BB4" s="157" t="s">
        <v>119</v>
      </c>
      <c r="BD4" s="158" t="s">
        <v>120</v>
      </c>
      <c r="BE4" s="158"/>
      <c r="BF4" s="159"/>
      <c r="BG4" s="160" t="s">
        <v>121</v>
      </c>
      <c r="BH4" s="160"/>
      <c r="BI4" s="161" t="s">
        <v>122</v>
      </c>
      <c r="BK4" s="1013" t="s">
        <v>117</v>
      </c>
      <c r="BL4" s="1013" t="s">
        <v>118</v>
      </c>
      <c r="BM4" s="157" t="s">
        <v>119</v>
      </c>
      <c r="BN4"/>
      <c r="BO4" s="158" t="s">
        <v>120</v>
      </c>
      <c r="BP4" s="158"/>
      <c r="BQ4" s="159"/>
      <c r="BR4" s="160" t="s">
        <v>121</v>
      </c>
      <c r="BS4" s="160"/>
      <c r="BT4" s="161" t="s">
        <v>122</v>
      </c>
      <c r="BV4" s="1013" t="s">
        <v>117</v>
      </c>
      <c r="BW4" s="1013" t="s">
        <v>118</v>
      </c>
      <c r="BX4" s="157" t="s">
        <v>119</v>
      </c>
      <c r="BY4"/>
      <c r="BZ4" s="158" t="s">
        <v>120</v>
      </c>
      <c r="CA4" s="158"/>
      <c r="CB4" s="159"/>
      <c r="CC4" s="160" t="s">
        <v>121</v>
      </c>
      <c r="CD4" s="160"/>
      <c r="CE4" s="161" t="s">
        <v>122</v>
      </c>
      <c r="CG4" s="1013" t="s">
        <v>117</v>
      </c>
      <c r="CH4" s="1013" t="s">
        <v>118</v>
      </c>
      <c r="CI4" s="157" t="s">
        <v>119</v>
      </c>
      <c r="CJ4"/>
      <c r="CK4" s="158" t="s">
        <v>120</v>
      </c>
      <c r="CL4" s="158"/>
      <c r="CM4" s="159"/>
      <c r="CN4" s="160" t="s">
        <v>121</v>
      </c>
      <c r="CO4" s="160"/>
      <c r="CP4" s="161" t="s">
        <v>122</v>
      </c>
      <c r="CR4" s="1013" t="s">
        <v>117</v>
      </c>
      <c r="CS4" s="1013" t="s">
        <v>118</v>
      </c>
      <c r="CT4" s="157" t="s">
        <v>119</v>
      </c>
      <c r="CU4"/>
      <c r="CV4" s="158" t="s">
        <v>120</v>
      </c>
      <c r="CW4" s="158"/>
      <c r="CX4" s="159"/>
      <c r="CY4" s="160" t="s">
        <v>121</v>
      </c>
      <c r="CZ4" s="160"/>
      <c r="DA4" s="161" t="s">
        <v>122</v>
      </c>
    </row>
    <row r="5" spans="1:105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6">
        <v>159</v>
      </c>
      <c r="I5" s="198">
        <v>315</v>
      </c>
      <c r="J5" s="6">
        <v>142</v>
      </c>
      <c r="K5" s="6"/>
      <c r="L5" s="6"/>
      <c r="M5" s="6">
        <v>167</v>
      </c>
      <c r="N5" s="6">
        <v>48</v>
      </c>
      <c r="O5" s="6"/>
      <c r="P5" s="6"/>
      <c r="Q5" s="6"/>
      <c r="R5" s="6"/>
      <c r="S5" s="6"/>
      <c r="T5" s="1"/>
      <c r="U5" s="1"/>
      <c r="V5" s="1"/>
      <c r="W5" s="1"/>
      <c r="X5" s="7">
        <v>594</v>
      </c>
      <c r="Y5" s="7" t="s">
        <v>5</v>
      </c>
      <c r="Z5" s="10">
        <v>20</v>
      </c>
      <c r="AA5" s="2" t="s">
        <v>316</v>
      </c>
      <c r="AB5" t="s">
        <v>381</v>
      </c>
      <c r="AD5">
        <f t="shared" ref="AD5:AD30" si="0">X5/MAX(B5:W5)</f>
        <v>1.8857142857142857</v>
      </c>
      <c r="AE5"/>
      <c r="AF5"/>
      <c r="AG5"/>
      <c r="AH5"/>
      <c r="AI5"/>
      <c r="AJ5"/>
      <c r="AK5"/>
      <c r="AL5"/>
      <c r="AM5"/>
      <c r="AN5"/>
      <c r="AO5" s="1014"/>
      <c r="AP5" s="1014"/>
      <c r="AQ5" s="162" t="s">
        <v>123</v>
      </c>
      <c r="AR5"/>
      <c r="AS5" s="163" t="s">
        <v>124</v>
      </c>
      <c r="AT5" s="163" t="s">
        <v>125</v>
      </c>
      <c r="AU5" s="163"/>
      <c r="AV5" s="164" t="s">
        <v>126</v>
      </c>
      <c r="AW5"/>
      <c r="AX5" s="164" t="s">
        <v>126</v>
      </c>
      <c r="AY5"/>
      <c r="AZ5" s="1014"/>
      <c r="BA5" s="1014"/>
      <c r="BB5" s="162" t="s">
        <v>123</v>
      </c>
      <c r="BC5"/>
      <c r="BD5" s="163" t="s">
        <v>124</v>
      </c>
      <c r="BE5" s="163" t="s">
        <v>125</v>
      </c>
      <c r="BF5" s="163"/>
      <c r="BG5" s="164" t="s">
        <v>126</v>
      </c>
      <c r="BH5"/>
      <c r="BI5" s="164" t="s">
        <v>126</v>
      </c>
      <c r="BK5" s="1014"/>
      <c r="BL5" s="1014"/>
      <c r="BM5" s="162" t="s">
        <v>123</v>
      </c>
      <c r="BN5"/>
      <c r="BO5" s="163" t="s">
        <v>124</v>
      </c>
      <c r="BP5" s="163" t="s">
        <v>125</v>
      </c>
      <c r="BQ5" s="163"/>
      <c r="BR5" s="164" t="s">
        <v>126</v>
      </c>
      <c r="BS5"/>
      <c r="BT5" s="164" t="s">
        <v>126</v>
      </c>
      <c r="BV5" s="1014"/>
      <c r="BW5" s="1014"/>
      <c r="BX5" s="162" t="s">
        <v>123</v>
      </c>
      <c r="BY5"/>
      <c r="BZ5" s="163" t="s">
        <v>124</v>
      </c>
      <c r="CA5" s="163" t="s">
        <v>125</v>
      </c>
      <c r="CB5" s="163"/>
      <c r="CC5" s="164" t="s">
        <v>126</v>
      </c>
      <c r="CD5"/>
      <c r="CE5" s="164" t="s">
        <v>126</v>
      </c>
      <c r="CG5" s="1014"/>
      <c r="CH5" s="1014"/>
      <c r="CI5" s="162" t="s">
        <v>123</v>
      </c>
      <c r="CJ5"/>
      <c r="CK5" s="163" t="s">
        <v>124</v>
      </c>
      <c r="CL5" s="163" t="s">
        <v>125</v>
      </c>
      <c r="CM5" s="163"/>
      <c r="CN5" s="164" t="s">
        <v>126</v>
      </c>
      <c r="CO5"/>
      <c r="CP5" s="164" t="s">
        <v>126</v>
      </c>
      <c r="CR5" s="1014"/>
      <c r="CS5" s="1014"/>
      <c r="CT5" s="162" t="s">
        <v>123</v>
      </c>
      <c r="CU5"/>
      <c r="CV5" s="163" t="s">
        <v>124</v>
      </c>
      <c r="CW5" s="163" t="s">
        <v>125</v>
      </c>
      <c r="CX5" s="163"/>
      <c r="CY5" s="164" t="s">
        <v>126</v>
      </c>
      <c r="CZ5"/>
      <c r="DA5" s="164" t="s">
        <v>126</v>
      </c>
    </row>
    <row r="6" spans="1:105" s="8" customFormat="1" ht="18" customHeight="1" x14ac:dyDescent="0.2">
      <c r="A6" s="1">
        <v>1996</v>
      </c>
      <c r="B6" s="6"/>
      <c r="C6" s="6"/>
      <c r="D6" s="6">
        <v>0</v>
      </c>
      <c r="E6" s="6"/>
      <c r="F6" s="6"/>
      <c r="G6" s="6">
        <v>101</v>
      </c>
      <c r="H6" s="6">
        <v>237</v>
      </c>
      <c r="I6" s="198">
        <v>264</v>
      </c>
      <c r="J6" s="6">
        <v>150</v>
      </c>
      <c r="K6" s="6">
        <v>480</v>
      </c>
      <c r="L6" s="6"/>
      <c r="M6" s="6"/>
      <c r="N6" s="6">
        <v>21</v>
      </c>
      <c r="O6" s="6"/>
      <c r="P6" s="6">
        <v>0</v>
      </c>
      <c r="Q6" s="6"/>
      <c r="R6" s="6"/>
      <c r="S6" s="6"/>
      <c r="T6" s="1"/>
      <c r="U6" s="1"/>
      <c r="V6" s="1"/>
      <c r="W6" s="1"/>
      <c r="X6" s="7">
        <v>724</v>
      </c>
      <c r="Y6" s="7" t="s">
        <v>5</v>
      </c>
      <c r="Z6" s="10">
        <v>20</v>
      </c>
      <c r="AA6" s="8" t="s">
        <v>391</v>
      </c>
      <c r="AD6">
        <f t="shared" si="0"/>
        <v>1.5083333333333333</v>
      </c>
      <c r="AE6"/>
      <c r="AF6"/>
      <c r="AG6"/>
      <c r="AH6"/>
      <c r="AI6"/>
      <c r="AJ6"/>
      <c r="AK6"/>
      <c r="AL6"/>
      <c r="AM6"/>
      <c r="AN6"/>
      <c r="AO6" s="165"/>
      <c r="AP6" s="166"/>
      <c r="AQ6" s="167"/>
      <c r="AR6"/>
      <c r="AS6"/>
      <c r="AT6"/>
      <c r="AU6"/>
      <c r="AV6"/>
      <c r="AW6"/>
      <c r="AX6"/>
      <c r="AY6"/>
      <c r="AZ6" s="165"/>
      <c r="BA6" s="166"/>
      <c r="BB6" s="167"/>
      <c r="BC6"/>
      <c r="BD6"/>
      <c r="BE6"/>
      <c r="BF6"/>
      <c r="BG6"/>
      <c r="BH6"/>
      <c r="BI6"/>
      <c r="BK6" s="165"/>
      <c r="BL6" s="166"/>
      <c r="BM6" s="167"/>
      <c r="BN6"/>
      <c r="BO6"/>
      <c r="BP6"/>
      <c r="BQ6"/>
      <c r="BR6"/>
      <c r="BS6"/>
      <c r="BT6"/>
      <c r="BV6" s="165"/>
      <c r="BW6" s="166"/>
      <c r="BX6" s="167"/>
      <c r="BY6"/>
      <c r="BZ6"/>
      <c r="CA6"/>
      <c r="CB6"/>
      <c r="CC6"/>
      <c r="CD6"/>
      <c r="CE6"/>
      <c r="CG6" s="165"/>
      <c r="CH6" s="166"/>
      <c r="CI6" s="167"/>
      <c r="CJ6"/>
      <c r="CK6"/>
      <c r="CL6"/>
      <c r="CM6"/>
      <c r="CN6"/>
      <c r="CO6"/>
      <c r="CP6"/>
      <c r="CR6" s="165"/>
      <c r="CS6" s="166"/>
      <c r="CT6" s="167"/>
      <c r="CU6"/>
      <c r="CV6"/>
      <c r="CW6"/>
      <c r="CX6"/>
      <c r="CY6"/>
      <c r="CZ6"/>
      <c r="DA6"/>
    </row>
    <row r="7" spans="1:105" s="8" customFormat="1" ht="18" customHeight="1" x14ac:dyDescent="0.2">
      <c r="A7" s="1">
        <v>1997</v>
      </c>
      <c r="B7" s="6"/>
      <c r="C7" s="6"/>
      <c r="D7" s="6"/>
      <c r="E7" s="6"/>
      <c r="F7" s="6"/>
      <c r="G7" s="6"/>
      <c r="H7" s="6">
        <v>1302</v>
      </c>
      <c r="I7" s="198">
        <v>1547</v>
      </c>
      <c r="J7" s="6">
        <v>29</v>
      </c>
      <c r="K7" s="6">
        <v>403</v>
      </c>
      <c r="L7" s="6"/>
      <c r="M7" s="6">
        <v>17</v>
      </c>
      <c r="N7" s="6"/>
      <c r="O7" s="6">
        <v>0</v>
      </c>
      <c r="P7" s="6">
        <v>1</v>
      </c>
      <c r="Q7" s="6"/>
      <c r="R7" s="6"/>
      <c r="S7" s="6"/>
      <c r="T7" s="1"/>
      <c r="U7" s="1"/>
      <c r="V7" s="1"/>
      <c r="W7" s="1"/>
      <c r="X7" s="7">
        <v>2354</v>
      </c>
      <c r="Y7" s="7" t="s">
        <v>5</v>
      </c>
      <c r="Z7" s="614">
        <v>20</v>
      </c>
      <c r="AA7" s="8" t="s">
        <v>391</v>
      </c>
      <c r="AD7">
        <f t="shared" si="0"/>
        <v>1.5216548157724628</v>
      </c>
      <c r="AE7"/>
      <c r="AF7"/>
      <c r="AG7"/>
      <c r="AH7"/>
      <c r="AI7"/>
      <c r="AJ7"/>
      <c r="AK7"/>
      <c r="AL7"/>
      <c r="AM7"/>
      <c r="AN7"/>
      <c r="AO7" s="165"/>
      <c r="AP7" s="166"/>
      <c r="AQ7" s="167"/>
      <c r="AR7"/>
      <c r="AS7"/>
      <c r="AT7"/>
      <c r="AU7"/>
      <c r="AV7"/>
      <c r="AW7"/>
      <c r="AX7"/>
      <c r="AY7"/>
      <c r="AZ7" s="165"/>
      <c r="BA7" s="166"/>
      <c r="BB7" s="167"/>
      <c r="BC7"/>
      <c r="BD7"/>
      <c r="BE7"/>
      <c r="BF7"/>
      <c r="BG7"/>
      <c r="BH7"/>
      <c r="BI7"/>
      <c r="BK7" s="165"/>
      <c r="BL7" s="166"/>
      <c r="BM7" s="167"/>
      <c r="BN7"/>
      <c r="BO7"/>
      <c r="BP7"/>
      <c r="BQ7"/>
      <c r="BR7"/>
      <c r="BS7"/>
      <c r="BT7"/>
      <c r="BV7" s="165"/>
      <c r="BW7" s="166"/>
      <c r="BX7" s="167"/>
      <c r="BY7"/>
      <c r="BZ7"/>
      <c r="CA7"/>
      <c r="CB7"/>
      <c r="CC7"/>
      <c r="CD7"/>
      <c r="CE7"/>
      <c r="CG7" s="165"/>
      <c r="CH7" s="166"/>
      <c r="CI7" s="167"/>
      <c r="CJ7"/>
      <c r="CK7"/>
      <c r="CL7"/>
      <c r="CM7"/>
      <c r="CN7"/>
      <c r="CO7"/>
      <c r="CP7"/>
      <c r="CR7" s="165"/>
      <c r="CS7" s="166"/>
      <c r="CT7" s="167"/>
      <c r="CU7"/>
      <c r="CV7"/>
      <c r="CW7"/>
      <c r="CX7"/>
      <c r="CY7"/>
      <c r="CZ7"/>
      <c r="DA7"/>
    </row>
    <row r="8" spans="1:105" s="8" customFormat="1" ht="18" customHeight="1" x14ac:dyDescent="0.2">
      <c r="A8" s="1">
        <v>1998</v>
      </c>
      <c r="B8" s="6"/>
      <c r="C8" s="6"/>
      <c r="D8" s="6"/>
      <c r="E8" s="6"/>
      <c r="F8" s="6"/>
      <c r="G8" s="6"/>
      <c r="H8" s="6">
        <v>601</v>
      </c>
      <c r="I8" s="6"/>
      <c r="J8" s="6"/>
      <c r="K8" s="198">
        <v>1952</v>
      </c>
      <c r="L8" s="6">
        <v>200</v>
      </c>
      <c r="M8" s="6">
        <v>97</v>
      </c>
      <c r="N8" s="6">
        <v>223</v>
      </c>
      <c r="O8" s="6">
        <v>33</v>
      </c>
      <c r="P8" s="6">
        <v>14</v>
      </c>
      <c r="Q8" s="6"/>
      <c r="R8" s="6"/>
      <c r="S8" s="6"/>
      <c r="T8" s="1">
        <v>0</v>
      </c>
      <c r="U8" s="1"/>
      <c r="V8" s="1"/>
      <c r="W8" s="1"/>
      <c r="X8" s="7">
        <v>3205</v>
      </c>
      <c r="Y8" s="7" t="s">
        <v>5</v>
      </c>
      <c r="Z8" s="614">
        <v>15</v>
      </c>
      <c r="AA8" s="8" t="s">
        <v>391</v>
      </c>
      <c r="AD8">
        <f t="shared" si="0"/>
        <v>1.641905737704918</v>
      </c>
      <c r="AE8"/>
      <c r="AF8"/>
      <c r="AG8"/>
      <c r="AH8"/>
      <c r="AI8"/>
      <c r="AJ8"/>
      <c r="AK8"/>
      <c r="AL8"/>
      <c r="AM8"/>
      <c r="AN8"/>
      <c r="AO8" s="165" t="s">
        <v>127</v>
      </c>
      <c r="AP8" s="185">
        <v>41897</v>
      </c>
      <c r="AQ8" s="167">
        <v>0</v>
      </c>
      <c r="AR8"/>
      <c r="AS8"/>
      <c r="AT8" s="169">
        <v>0</v>
      </c>
      <c r="AU8"/>
      <c r="AV8"/>
      <c r="AW8"/>
      <c r="AX8"/>
      <c r="AY8"/>
      <c r="AZ8" s="165" t="s">
        <v>127</v>
      </c>
      <c r="BA8" s="185">
        <v>41518</v>
      </c>
      <c r="BB8" s="167">
        <v>0</v>
      </c>
      <c r="BC8"/>
      <c r="BD8"/>
      <c r="BE8" s="169">
        <v>0</v>
      </c>
      <c r="BF8"/>
      <c r="BG8"/>
      <c r="BH8"/>
      <c r="BI8"/>
      <c r="BK8" s="165" t="s">
        <v>127</v>
      </c>
      <c r="BL8" s="185">
        <v>41153</v>
      </c>
      <c r="BM8" s="167">
        <v>0</v>
      </c>
      <c r="BN8"/>
      <c r="BO8"/>
      <c r="BP8" s="169">
        <v>0</v>
      </c>
      <c r="BQ8"/>
      <c r="BR8"/>
      <c r="BS8"/>
      <c r="BT8"/>
      <c r="BV8" s="165" t="s">
        <v>127</v>
      </c>
      <c r="BW8" s="185">
        <v>40786</v>
      </c>
      <c r="BX8" s="167">
        <v>0</v>
      </c>
      <c r="BY8"/>
      <c r="BZ8"/>
      <c r="CA8" s="169">
        <v>0</v>
      </c>
      <c r="CB8"/>
      <c r="CC8"/>
      <c r="CD8"/>
      <c r="CE8"/>
      <c r="CG8" s="165" t="s">
        <v>127</v>
      </c>
      <c r="CH8" s="185">
        <v>40405</v>
      </c>
      <c r="CI8" s="167">
        <v>0</v>
      </c>
      <c r="CJ8"/>
      <c r="CK8"/>
      <c r="CL8" s="169">
        <v>0</v>
      </c>
      <c r="CM8"/>
      <c r="CN8"/>
      <c r="CO8"/>
      <c r="CP8"/>
      <c r="CR8" s="165" t="s">
        <v>127</v>
      </c>
      <c r="CS8" s="185">
        <v>40057</v>
      </c>
      <c r="CT8" s="167">
        <v>0</v>
      </c>
      <c r="CU8"/>
      <c r="CV8"/>
      <c r="CW8" s="169">
        <v>0</v>
      </c>
      <c r="CX8"/>
      <c r="CY8"/>
      <c r="CZ8"/>
      <c r="DA8"/>
    </row>
    <row r="9" spans="1:105" s="8" customFormat="1" ht="18" customHeight="1" x14ac:dyDescent="0.2">
      <c r="A9" s="1">
        <v>1999</v>
      </c>
      <c r="B9" s="6"/>
      <c r="C9" s="6"/>
      <c r="D9" s="6"/>
      <c r="E9" s="6"/>
      <c r="F9" s="6"/>
      <c r="G9" s="6"/>
      <c r="H9" s="6">
        <v>486</v>
      </c>
      <c r="I9" s="198">
        <v>1153</v>
      </c>
      <c r="J9" s="6"/>
      <c r="K9" s="6">
        <v>565</v>
      </c>
      <c r="L9" s="6"/>
      <c r="M9" s="6"/>
      <c r="N9" s="6">
        <v>78</v>
      </c>
      <c r="O9" s="6"/>
      <c r="P9" s="6"/>
      <c r="Q9" s="6"/>
      <c r="R9" s="6">
        <v>5</v>
      </c>
      <c r="S9" s="6"/>
      <c r="T9" s="1"/>
      <c r="U9" s="1"/>
      <c r="V9" s="1"/>
      <c r="W9" s="1"/>
      <c r="X9" s="9">
        <v>2399</v>
      </c>
      <c r="Y9" s="7" t="s">
        <v>5</v>
      </c>
      <c r="Z9" s="613">
        <v>15</v>
      </c>
      <c r="AA9" s="8" t="s">
        <v>391</v>
      </c>
      <c r="AD9">
        <f t="shared" si="0"/>
        <v>2.0806591500433651</v>
      </c>
      <c r="AE9"/>
      <c r="AF9"/>
      <c r="AG9"/>
      <c r="AH9"/>
      <c r="AI9"/>
      <c r="AJ9"/>
      <c r="AK9"/>
      <c r="AL9"/>
      <c r="AM9"/>
      <c r="AN9"/>
      <c r="AO9" s="165"/>
      <c r="AP9" s="185">
        <v>41904</v>
      </c>
      <c r="AQ9" s="170">
        <v>40</v>
      </c>
      <c r="AR9"/>
      <c r="AS9" s="171">
        <f>AQ9/AT9</f>
        <v>0.9</v>
      </c>
      <c r="AT9" s="172">
        <v>44.444444444444443</v>
      </c>
      <c r="AU9"/>
      <c r="AV9" s="172">
        <f>(AP9-AP8)*(AQ9+AQ8)</f>
        <v>280</v>
      </c>
      <c r="AW9"/>
      <c r="AX9" s="172">
        <f>(AP9-AP8)*(AT9+AT8)</f>
        <v>311.11111111111109</v>
      </c>
      <c r="AY9"/>
      <c r="AZ9" s="165"/>
      <c r="BA9" s="185">
        <v>41522</v>
      </c>
      <c r="BB9" s="170">
        <v>43</v>
      </c>
      <c r="BC9"/>
      <c r="BD9" s="171">
        <f>BB9/BE9</f>
        <v>1</v>
      </c>
      <c r="BE9" s="172">
        <v>43</v>
      </c>
      <c r="BF9"/>
      <c r="BG9" s="172">
        <f>(BA9-BA8)*(BB9+BB8)</f>
        <v>172</v>
      </c>
      <c r="BH9"/>
      <c r="BI9" s="172">
        <f>(BA9-BA8)*(BE9+BE8)</f>
        <v>172</v>
      </c>
      <c r="BK9" s="165"/>
      <c r="BL9" s="185">
        <v>41157</v>
      </c>
      <c r="BM9" s="170">
        <v>31</v>
      </c>
      <c r="BN9"/>
      <c r="BO9" s="183">
        <f>BM9/BP9</f>
        <v>0.81578947368421051</v>
      </c>
      <c r="BP9" s="182">
        <v>38</v>
      </c>
      <c r="BQ9"/>
      <c r="BR9" s="172">
        <f>(BL9-BL8)*(BM9+BM8)</f>
        <v>124</v>
      </c>
      <c r="BS9"/>
      <c r="BT9" s="172">
        <f>(BL9-BL8)*(BP9+BP8)</f>
        <v>152</v>
      </c>
      <c r="BV9" s="165"/>
      <c r="BW9" s="185">
        <v>40804</v>
      </c>
      <c r="BX9" s="170">
        <v>475</v>
      </c>
      <c r="BY9"/>
      <c r="BZ9" s="171">
        <f>BX9/CA9</f>
        <v>1</v>
      </c>
      <c r="CA9" s="182">
        <v>475</v>
      </c>
      <c r="CB9"/>
      <c r="CC9" s="172">
        <f>(BW9-BW8)*(BX9+BX8)</f>
        <v>8550</v>
      </c>
      <c r="CD9"/>
      <c r="CE9" s="172">
        <f>(BW9-BW8)*(CA9+CA8)</f>
        <v>8550</v>
      </c>
      <c r="CG9" s="165"/>
      <c r="CH9" s="185">
        <v>40414</v>
      </c>
      <c r="CI9" s="170">
        <v>0</v>
      </c>
      <c r="CJ9"/>
      <c r="CK9" s="171"/>
      <c r="CL9" s="182">
        <v>0</v>
      </c>
      <c r="CM9"/>
      <c r="CN9" s="172">
        <f>(CH9-CH8)*(CI9+CI8)</f>
        <v>0</v>
      </c>
      <c r="CO9"/>
      <c r="CP9" s="172">
        <f>(CH9-CH8)*(CL9+CL8)</f>
        <v>0</v>
      </c>
      <c r="CR9" s="165"/>
      <c r="CS9" s="185">
        <v>40077</v>
      </c>
      <c r="CT9" s="170">
        <v>919</v>
      </c>
      <c r="CU9"/>
      <c r="CV9" s="171">
        <f t="shared" ref="CV9:CV14" si="1">CT9/CW9</f>
        <v>0.75020408163265306</v>
      </c>
      <c r="CW9" s="172">
        <v>1225</v>
      </c>
      <c r="CX9"/>
      <c r="CY9" s="172">
        <f>(CS9-CS8)*(CT9+CT8)</f>
        <v>18380</v>
      </c>
      <c r="CZ9"/>
      <c r="DA9" s="172">
        <f>(CS9-CS8)*(CW9+CW8)</f>
        <v>24500</v>
      </c>
    </row>
    <row r="10" spans="1:105" s="8" customFormat="1" ht="18" customHeight="1" x14ac:dyDescent="0.2">
      <c r="A10" s="1">
        <v>2000</v>
      </c>
      <c r="B10" s="6"/>
      <c r="C10" s="6"/>
      <c r="D10" s="6"/>
      <c r="E10" s="6"/>
      <c r="F10" s="6"/>
      <c r="G10" s="6"/>
      <c r="H10" s="6"/>
      <c r="I10" s="198">
        <v>129</v>
      </c>
      <c r="J10" s="6">
        <v>54</v>
      </c>
      <c r="K10" s="6">
        <v>61</v>
      </c>
      <c r="L10" s="6">
        <v>29</v>
      </c>
      <c r="M10" s="6"/>
      <c r="N10" s="6">
        <v>7</v>
      </c>
      <c r="O10" s="6"/>
      <c r="P10" s="6"/>
      <c r="Q10" s="6"/>
      <c r="R10" s="6"/>
      <c r="S10" s="6"/>
      <c r="T10" s="1"/>
      <c r="U10" s="1"/>
      <c r="V10" s="1"/>
      <c r="W10" s="1"/>
      <c r="X10" s="10">
        <v>212</v>
      </c>
      <c r="Y10" s="7" t="s">
        <v>5</v>
      </c>
      <c r="Z10" s="613">
        <v>15</v>
      </c>
      <c r="AA10" s="8" t="s">
        <v>391</v>
      </c>
      <c r="AD10">
        <f t="shared" si="0"/>
        <v>1.6434108527131783</v>
      </c>
      <c r="AE10"/>
      <c r="AF10"/>
      <c r="AG10"/>
      <c r="AH10"/>
      <c r="AI10"/>
      <c r="AJ10"/>
      <c r="AK10"/>
      <c r="AL10"/>
      <c r="AM10"/>
      <c r="AN10"/>
      <c r="AO10" s="165"/>
      <c r="AP10" s="185">
        <v>41909</v>
      </c>
      <c r="AQ10" s="170">
        <v>550</v>
      </c>
      <c r="AR10"/>
      <c r="AS10" s="171">
        <f>AQ10/AT10</f>
        <v>0.9</v>
      </c>
      <c r="AT10" s="172">
        <v>611.11111111111109</v>
      </c>
      <c r="AU10"/>
      <c r="AV10" s="172">
        <f>(AP10-AP9)*(AQ10+AQ9)</f>
        <v>2950</v>
      </c>
      <c r="AW10"/>
      <c r="AX10" s="172">
        <f>(AP10-AP9)*(AT10+AT9)</f>
        <v>3277.7777777777778</v>
      </c>
      <c r="AY10"/>
      <c r="AZ10" s="165"/>
      <c r="BA10" s="185">
        <v>41524</v>
      </c>
      <c r="BB10" s="217">
        <v>360</v>
      </c>
      <c r="BD10" s="183">
        <f t="shared" ref="BD10:BD21" si="2">BB10/BE10</f>
        <v>0.81081081081081086</v>
      </c>
      <c r="BE10" s="217">
        <v>444</v>
      </c>
      <c r="BF10"/>
      <c r="BG10" s="172">
        <f>(BA10-BA9)*(BB10+BB9)</f>
        <v>806</v>
      </c>
      <c r="BH10"/>
      <c r="BI10" s="172">
        <f>(BA10-BA9)*(BE10+BE9)</f>
        <v>974</v>
      </c>
      <c r="BK10" s="165"/>
      <c r="BL10" s="185">
        <v>41162</v>
      </c>
      <c r="BM10" s="170">
        <v>44</v>
      </c>
      <c r="BN10"/>
      <c r="BO10" s="183">
        <f t="shared" ref="BO10:BO35" si="3">BM10/BP10</f>
        <v>0.84615384615384615</v>
      </c>
      <c r="BP10" s="182">
        <v>52</v>
      </c>
      <c r="BQ10"/>
      <c r="BR10" s="172">
        <f>(BL10-BL9)*(BM10+BM9)</f>
        <v>375</v>
      </c>
      <c r="BS10"/>
      <c r="BT10" s="172">
        <f>(BL10-BL9)*(BP10+BP9)</f>
        <v>450</v>
      </c>
      <c r="BV10" s="165"/>
      <c r="BW10" s="185">
        <v>40806</v>
      </c>
      <c r="BX10" s="217">
        <v>706</v>
      </c>
      <c r="BZ10" s="183">
        <f>BX10/CA10</f>
        <v>1</v>
      </c>
      <c r="CA10" s="217">
        <v>706</v>
      </c>
      <c r="CB10"/>
      <c r="CC10" s="172">
        <f>(BW10-BW9)*(BX10+BX9)</f>
        <v>2362</v>
      </c>
      <c r="CD10"/>
      <c r="CE10" s="172">
        <f>(BW10-BW9)*(CA10+CA9)</f>
        <v>2362</v>
      </c>
      <c r="CG10" s="165"/>
      <c r="CH10" s="185">
        <v>40435</v>
      </c>
      <c r="CI10" s="217">
        <v>471</v>
      </c>
      <c r="CK10" s="183">
        <f>CI10/CL10</f>
        <v>0.9005736137667304</v>
      </c>
      <c r="CL10" s="217">
        <v>523</v>
      </c>
      <c r="CM10"/>
      <c r="CN10" s="172">
        <f>(CH10-CH9)*(CI10+CI9)</f>
        <v>9891</v>
      </c>
      <c r="CO10"/>
      <c r="CP10" s="172">
        <f>(CH10-CH9)*(CL10+CL9)</f>
        <v>10983</v>
      </c>
      <c r="CR10" s="165"/>
      <c r="CS10" s="185">
        <v>40084</v>
      </c>
      <c r="CT10" s="170">
        <v>836</v>
      </c>
      <c r="CU10"/>
      <c r="CV10" s="171">
        <f t="shared" si="1"/>
        <v>0.8</v>
      </c>
      <c r="CW10" s="172">
        <v>1045</v>
      </c>
      <c r="CX10"/>
      <c r="CY10" s="172">
        <f t="shared" ref="CY10:CY17" si="4">(CS10-CS9)*(CT10+CT9)</f>
        <v>12285</v>
      </c>
      <c r="CZ10"/>
      <c r="DA10" s="172">
        <f t="shared" ref="DA10:DA17" si="5">(CS10-CS9)*(CW10+CW9)</f>
        <v>15890</v>
      </c>
    </row>
    <row r="11" spans="1:105" s="8" customFormat="1" ht="18" customHeight="1" x14ac:dyDescent="0.2">
      <c r="A11" s="1">
        <v>2001</v>
      </c>
      <c r="B11" s="6"/>
      <c r="C11" s="6"/>
      <c r="D11" s="6"/>
      <c r="E11" s="6"/>
      <c r="F11" s="6"/>
      <c r="G11" s="6">
        <v>28</v>
      </c>
      <c r="H11" s="6"/>
      <c r="I11" s="6">
        <v>64</v>
      </c>
      <c r="J11" s="198">
        <v>67</v>
      </c>
      <c r="K11" s="6"/>
      <c r="L11" s="6">
        <v>18</v>
      </c>
      <c r="M11" s="6">
        <v>13</v>
      </c>
      <c r="N11" s="6">
        <v>0</v>
      </c>
      <c r="O11" s="6">
        <v>1</v>
      </c>
      <c r="P11" s="6"/>
      <c r="Q11" s="6"/>
      <c r="R11" s="6">
        <v>0</v>
      </c>
      <c r="S11" s="6"/>
      <c r="T11" s="1"/>
      <c r="U11" s="1"/>
      <c r="V11" s="1"/>
      <c r="W11" s="1"/>
      <c r="X11" s="7">
        <v>107</v>
      </c>
      <c r="Y11" s="7" t="s">
        <v>5</v>
      </c>
      <c r="Z11" s="613">
        <v>20</v>
      </c>
      <c r="AA11" s="8" t="s">
        <v>391</v>
      </c>
      <c r="AD11">
        <f t="shared" si="0"/>
        <v>1.5970149253731343</v>
      </c>
      <c r="AE11"/>
      <c r="AF11"/>
      <c r="AG11"/>
      <c r="AH11"/>
      <c r="AI11"/>
      <c r="AJ11"/>
      <c r="AK11"/>
      <c r="AL11"/>
      <c r="AM11"/>
      <c r="AN11"/>
      <c r="AP11" s="185">
        <v>41912</v>
      </c>
      <c r="AQ11" s="170">
        <v>431</v>
      </c>
      <c r="AR11"/>
      <c r="AS11" s="171">
        <v>0.39613970588235292</v>
      </c>
      <c r="AT11" s="172">
        <v>1088</v>
      </c>
      <c r="AU11"/>
      <c r="AV11" s="172">
        <f t="shared" ref="AV11:AV16" si="6">(AP11-AP10)*(AQ11+AQ10)</f>
        <v>2943</v>
      </c>
      <c r="AW11"/>
      <c r="AX11" s="172">
        <f t="shared" ref="AX11:AX16" si="7">(AP11-AP10)*(AT11+AT10)</f>
        <v>5097.333333333333</v>
      </c>
      <c r="AY11"/>
      <c r="BA11" s="185">
        <v>41527</v>
      </c>
      <c r="BB11" s="217">
        <v>265</v>
      </c>
      <c r="BD11" s="183">
        <f t="shared" si="2"/>
        <v>1</v>
      </c>
      <c r="BE11" s="217">
        <v>265</v>
      </c>
      <c r="BF11"/>
      <c r="BG11" s="172">
        <f t="shared" ref="BG11:BG22" si="8">(BA11-BA10)*(BB11+BB10)</f>
        <v>1875</v>
      </c>
      <c r="BH11"/>
      <c r="BI11" s="172">
        <f t="shared" ref="BI11:BI22" si="9">(BA11-BA10)*(BE11+BE10)</f>
        <v>2127</v>
      </c>
      <c r="BL11" s="185">
        <v>41165</v>
      </c>
      <c r="BM11" s="217">
        <v>127</v>
      </c>
      <c r="BO11" s="183">
        <f t="shared" si="3"/>
        <v>1</v>
      </c>
      <c r="BP11" s="217">
        <v>127</v>
      </c>
      <c r="BQ11"/>
      <c r="BR11" s="172">
        <f t="shared" ref="BR11:BR36" si="10">(BL11-BL10)*(BM11+BM10)</f>
        <v>513</v>
      </c>
      <c r="BS11"/>
      <c r="BT11" s="172">
        <f t="shared" ref="BT11:BT36" si="11">(BL11-BL10)*(BP11+BP10)</f>
        <v>537</v>
      </c>
      <c r="BW11" s="185">
        <v>40816</v>
      </c>
      <c r="BX11" s="217">
        <v>967</v>
      </c>
      <c r="BZ11" s="183">
        <f t="shared" ref="BZ11:BZ16" si="12">BX11/CA11</f>
        <v>1</v>
      </c>
      <c r="CA11" s="217">
        <v>967</v>
      </c>
      <c r="CB11"/>
      <c r="CC11" s="172">
        <f t="shared" ref="CC11:CC17" si="13">(BW11-BW10)*(BX11+BX10)</f>
        <v>16730</v>
      </c>
      <c r="CD11"/>
      <c r="CE11" s="172">
        <f t="shared" ref="CE11:CE17" si="14">(BW11-BW10)*(CA11+CA10)</f>
        <v>16730</v>
      </c>
      <c r="CH11" s="185">
        <v>40437</v>
      </c>
      <c r="CI11" s="217">
        <v>1063</v>
      </c>
      <c r="CK11" s="183">
        <f>CI11/CL11</f>
        <v>1</v>
      </c>
      <c r="CL11" s="217">
        <v>1063</v>
      </c>
      <c r="CM11"/>
      <c r="CN11" s="172">
        <f t="shared" ref="CN11:CN20" si="15">(CH11-CH10)*(CI11+CI10)</f>
        <v>3068</v>
      </c>
      <c r="CO11"/>
      <c r="CP11" s="172">
        <f t="shared" ref="CP11:CP20" si="16">(CH11-CH10)*(CL11+CL10)</f>
        <v>3172</v>
      </c>
      <c r="CS11" s="185">
        <v>40096</v>
      </c>
      <c r="CT11" s="170">
        <v>271</v>
      </c>
      <c r="CU11"/>
      <c r="CV11" s="171">
        <f t="shared" si="1"/>
        <v>0.80177514792899407</v>
      </c>
      <c r="CW11" s="172">
        <v>338</v>
      </c>
      <c r="CX11"/>
      <c r="CY11" s="172">
        <f t="shared" si="4"/>
        <v>13284</v>
      </c>
      <c r="CZ11"/>
      <c r="DA11" s="172">
        <f t="shared" si="5"/>
        <v>16596</v>
      </c>
    </row>
    <row r="12" spans="1:105" s="8" customFormat="1" ht="18" customHeight="1" x14ac:dyDescent="0.2">
      <c r="A12" s="1">
        <v>2002</v>
      </c>
      <c r="B12" s="6"/>
      <c r="C12" s="6"/>
      <c r="D12" s="6"/>
      <c r="E12" s="6"/>
      <c r="F12" s="6"/>
      <c r="G12" s="6">
        <v>377</v>
      </c>
      <c r="H12" s="198">
        <v>405</v>
      </c>
      <c r="I12" s="6">
        <v>103</v>
      </c>
      <c r="J12" s="6"/>
      <c r="K12" s="6">
        <v>169</v>
      </c>
      <c r="L12" s="6">
        <v>8</v>
      </c>
      <c r="M12" s="6">
        <v>0</v>
      </c>
      <c r="N12" s="6"/>
      <c r="O12" s="6">
        <v>0</v>
      </c>
      <c r="P12" s="6">
        <v>0</v>
      </c>
      <c r="Q12" s="6"/>
      <c r="R12" s="6">
        <v>1</v>
      </c>
      <c r="S12" s="6">
        <v>0</v>
      </c>
      <c r="T12" s="1"/>
      <c r="U12" s="1"/>
      <c r="V12" s="1"/>
      <c r="W12" s="1"/>
      <c r="X12" s="7">
        <f>440+24</f>
        <v>464</v>
      </c>
      <c r="Y12" s="7" t="s">
        <v>5</v>
      </c>
      <c r="Z12" s="613">
        <v>20</v>
      </c>
      <c r="AA12" s="8" t="s">
        <v>392</v>
      </c>
      <c r="AD12">
        <f t="shared" si="0"/>
        <v>1.145679012345679</v>
      </c>
      <c r="AE12"/>
      <c r="AF12"/>
      <c r="AG12"/>
      <c r="AH12"/>
      <c r="AI12"/>
      <c r="AJ12"/>
      <c r="AK12"/>
      <c r="AL12"/>
      <c r="AM12"/>
      <c r="AN12"/>
      <c r="AP12" s="185">
        <v>41919</v>
      </c>
      <c r="AQ12" s="170">
        <v>265</v>
      </c>
      <c r="AR12"/>
      <c r="AS12" s="171">
        <v>0.89999999999999991</v>
      </c>
      <c r="AT12" s="172">
        <v>294.44444444444446</v>
      </c>
      <c r="AU12"/>
      <c r="AV12" s="172">
        <f t="shared" si="6"/>
        <v>4872</v>
      </c>
      <c r="AW12"/>
      <c r="AX12" s="172">
        <f t="shared" si="7"/>
        <v>9677.1111111111095</v>
      </c>
      <c r="AY12"/>
      <c r="BA12" s="185">
        <v>41530</v>
      </c>
      <c r="BB12" s="217">
        <v>225</v>
      </c>
      <c r="BD12" s="183">
        <f t="shared" si="2"/>
        <v>1</v>
      </c>
      <c r="BE12" s="217">
        <v>225</v>
      </c>
      <c r="BF12"/>
      <c r="BG12" s="172">
        <f t="shared" si="8"/>
        <v>1470</v>
      </c>
      <c r="BH12"/>
      <c r="BI12" s="172">
        <f t="shared" si="9"/>
        <v>1470</v>
      </c>
      <c r="BL12" s="185">
        <v>41167</v>
      </c>
      <c r="BM12" s="217">
        <v>141</v>
      </c>
      <c r="BO12" s="183">
        <f t="shared" si="3"/>
        <v>0.75</v>
      </c>
      <c r="BP12" s="217">
        <v>188</v>
      </c>
      <c r="BQ12"/>
      <c r="BR12" s="172">
        <f t="shared" si="10"/>
        <v>536</v>
      </c>
      <c r="BS12"/>
      <c r="BT12" s="172">
        <f t="shared" si="11"/>
        <v>630</v>
      </c>
      <c r="BW12" s="185">
        <v>40823</v>
      </c>
      <c r="BX12" s="217">
        <v>308</v>
      </c>
      <c r="BZ12" s="183">
        <f t="shared" si="12"/>
        <v>1</v>
      </c>
      <c r="CA12" s="217">
        <v>308</v>
      </c>
      <c r="CB12"/>
      <c r="CC12" s="172">
        <f t="shared" si="13"/>
        <v>8925</v>
      </c>
      <c r="CD12"/>
      <c r="CE12" s="172">
        <f t="shared" si="14"/>
        <v>8925</v>
      </c>
      <c r="CH12" s="185">
        <v>40448</v>
      </c>
      <c r="CI12" s="217">
        <v>444</v>
      </c>
      <c r="CK12" s="183">
        <f>CI12/CL12</f>
        <v>1</v>
      </c>
      <c r="CL12" s="217">
        <v>444</v>
      </c>
      <c r="CM12"/>
      <c r="CN12" s="172">
        <f t="shared" si="15"/>
        <v>16577</v>
      </c>
      <c r="CO12"/>
      <c r="CP12" s="172">
        <f t="shared" si="16"/>
        <v>16577</v>
      </c>
      <c r="CS12" s="185">
        <v>40099</v>
      </c>
      <c r="CT12" s="170">
        <v>122</v>
      </c>
      <c r="CU12"/>
      <c r="CV12" s="171">
        <f t="shared" si="1"/>
        <v>0.73053892215568861</v>
      </c>
      <c r="CW12" s="172">
        <v>167</v>
      </c>
      <c r="CX12"/>
      <c r="CY12" s="172">
        <f t="shared" si="4"/>
        <v>1179</v>
      </c>
      <c r="CZ12"/>
      <c r="DA12" s="172">
        <f t="shared" si="5"/>
        <v>1515</v>
      </c>
    </row>
    <row r="13" spans="1:105" s="8" customFormat="1" ht="18" customHeight="1" x14ac:dyDescent="0.2">
      <c r="A13" s="1">
        <v>2003</v>
      </c>
      <c r="B13" s="6"/>
      <c r="C13" s="6"/>
      <c r="D13" s="6"/>
      <c r="E13" s="6"/>
      <c r="F13" s="6"/>
      <c r="G13" s="6"/>
      <c r="H13" s="6">
        <v>59</v>
      </c>
      <c r="I13" s="198">
        <v>671</v>
      </c>
      <c r="J13" s="6">
        <v>359</v>
      </c>
      <c r="K13" s="6">
        <v>238</v>
      </c>
      <c r="L13" s="6">
        <v>0</v>
      </c>
      <c r="M13" s="6"/>
      <c r="N13" s="6">
        <v>7</v>
      </c>
      <c r="O13" s="6">
        <v>2</v>
      </c>
      <c r="P13" s="6">
        <v>0</v>
      </c>
      <c r="Q13" s="6"/>
      <c r="R13" s="6"/>
      <c r="S13" s="6"/>
      <c r="T13" s="1"/>
      <c r="U13" s="1"/>
      <c r="V13" s="1"/>
      <c r="W13" s="1"/>
      <c r="X13" s="7">
        <v>768</v>
      </c>
      <c r="Y13" s="7" t="s">
        <v>5</v>
      </c>
      <c r="Z13" s="613">
        <v>15</v>
      </c>
      <c r="AA13" s="8" t="s">
        <v>394</v>
      </c>
      <c r="AD13">
        <f t="shared" si="0"/>
        <v>1.1445603576751118</v>
      </c>
      <c r="AE13"/>
      <c r="AF13"/>
      <c r="AG13"/>
      <c r="AH13"/>
      <c r="AI13"/>
      <c r="AJ13"/>
      <c r="AK13"/>
      <c r="AL13"/>
      <c r="AM13"/>
      <c r="AN13"/>
      <c r="AP13" s="185">
        <v>41958</v>
      </c>
      <c r="AQ13" s="170">
        <v>0</v>
      </c>
      <c r="AR13"/>
      <c r="AS13" s="171"/>
      <c r="AT13" s="172">
        <v>0</v>
      </c>
      <c r="AU13"/>
      <c r="AV13" s="172">
        <f t="shared" si="6"/>
        <v>10335</v>
      </c>
      <c r="AW13"/>
      <c r="AX13" s="172">
        <f t="shared" si="7"/>
        <v>11483.333333333334</v>
      </c>
      <c r="AY13"/>
      <c r="BA13" s="185">
        <v>41533</v>
      </c>
      <c r="BB13" s="217">
        <v>316</v>
      </c>
      <c r="BD13" s="183">
        <f t="shared" si="2"/>
        <v>1</v>
      </c>
      <c r="BE13" s="217">
        <v>316</v>
      </c>
      <c r="BF13"/>
      <c r="BG13" s="172">
        <f t="shared" si="8"/>
        <v>1623</v>
      </c>
      <c r="BH13"/>
      <c r="BI13" s="172">
        <f t="shared" si="9"/>
        <v>1623</v>
      </c>
      <c r="BL13" s="185">
        <v>41169</v>
      </c>
      <c r="BM13" s="217">
        <v>254</v>
      </c>
      <c r="BO13" s="183">
        <f t="shared" si="3"/>
        <v>0.81150159744408945</v>
      </c>
      <c r="BP13" s="217">
        <v>313</v>
      </c>
      <c r="BQ13"/>
      <c r="BR13" s="172">
        <f t="shared" si="10"/>
        <v>790</v>
      </c>
      <c r="BS13"/>
      <c r="BT13" s="172">
        <f t="shared" si="11"/>
        <v>1002</v>
      </c>
      <c r="BW13" s="185">
        <v>40824</v>
      </c>
      <c r="BX13" s="217">
        <v>357</v>
      </c>
      <c r="BZ13" s="183">
        <f t="shared" si="12"/>
        <v>0.85611510791366907</v>
      </c>
      <c r="CA13" s="217">
        <v>417</v>
      </c>
      <c r="CB13"/>
      <c r="CC13" s="172">
        <f t="shared" si="13"/>
        <v>665</v>
      </c>
      <c r="CD13"/>
      <c r="CE13" s="172">
        <f t="shared" si="14"/>
        <v>725</v>
      </c>
      <c r="CH13" s="185">
        <v>40451</v>
      </c>
      <c r="CI13" s="217">
        <v>619</v>
      </c>
      <c r="CK13" s="183">
        <f t="shared" ref="CK13:CK18" si="17">CI13/CL13</f>
        <v>1</v>
      </c>
      <c r="CL13" s="217">
        <v>619</v>
      </c>
      <c r="CM13"/>
      <c r="CN13" s="172">
        <f t="shared" si="15"/>
        <v>3189</v>
      </c>
      <c r="CO13"/>
      <c r="CP13" s="172">
        <f t="shared" si="16"/>
        <v>3189</v>
      </c>
      <c r="CS13" s="185">
        <v>40106</v>
      </c>
      <c r="CT13" s="170">
        <v>132</v>
      </c>
      <c r="CU13"/>
      <c r="CV13" s="171">
        <f t="shared" si="1"/>
        <v>0.75</v>
      </c>
      <c r="CW13" s="172">
        <v>176</v>
      </c>
      <c r="CX13"/>
      <c r="CY13" s="172">
        <f t="shared" si="4"/>
        <v>1778</v>
      </c>
      <c r="CZ13"/>
      <c r="DA13" s="172">
        <f t="shared" si="5"/>
        <v>2401</v>
      </c>
    </row>
    <row r="14" spans="1:105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6"/>
      <c r="I14" s="198">
        <v>2353</v>
      </c>
      <c r="J14" s="6"/>
      <c r="K14" s="6">
        <v>606</v>
      </c>
      <c r="L14" s="6">
        <v>319</v>
      </c>
      <c r="M14" s="6"/>
      <c r="N14" s="6">
        <v>5</v>
      </c>
      <c r="O14" s="6">
        <v>0</v>
      </c>
      <c r="P14" s="6"/>
      <c r="Q14" s="6">
        <v>0</v>
      </c>
      <c r="R14" s="6"/>
      <c r="S14" s="6"/>
      <c r="T14" s="1"/>
      <c r="U14" s="1"/>
      <c r="V14" s="1"/>
      <c r="W14" s="1"/>
      <c r="X14" s="11">
        <v>2636</v>
      </c>
      <c r="Y14" s="7" t="s">
        <v>5</v>
      </c>
      <c r="Z14" s="613">
        <v>21</v>
      </c>
      <c r="AA14" s="8" t="s">
        <v>393</v>
      </c>
      <c r="AD14">
        <f t="shared" si="0"/>
        <v>1.1202719932001699</v>
      </c>
      <c r="AE14"/>
      <c r="AF14"/>
      <c r="AG14"/>
      <c r="AH14"/>
      <c r="AI14"/>
      <c r="AJ14"/>
      <c r="AK14"/>
      <c r="AL14"/>
      <c r="AM14"/>
      <c r="AN14"/>
      <c r="AP14" s="185">
        <v>41958</v>
      </c>
      <c r="AQ14" s="170">
        <v>0</v>
      </c>
      <c r="AR14"/>
      <c r="AS14" s="171"/>
      <c r="AT14" s="172">
        <v>0</v>
      </c>
      <c r="AU14"/>
      <c r="AV14" s="172">
        <f t="shared" si="6"/>
        <v>0</v>
      </c>
      <c r="AW14"/>
      <c r="AX14" s="172">
        <f t="shared" si="7"/>
        <v>0</v>
      </c>
      <c r="AY14"/>
      <c r="BA14" s="185">
        <v>41535</v>
      </c>
      <c r="BB14" s="217">
        <v>568</v>
      </c>
      <c r="BD14" s="183">
        <f t="shared" si="2"/>
        <v>1</v>
      </c>
      <c r="BE14" s="217">
        <v>568</v>
      </c>
      <c r="BF14"/>
      <c r="BG14" s="172">
        <f t="shared" si="8"/>
        <v>1768</v>
      </c>
      <c r="BH14"/>
      <c r="BI14" s="172">
        <f t="shared" si="9"/>
        <v>1768</v>
      </c>
      <c r="BL14" s="185">
        <v>41170</v>
      </c>
      <c r="BM14" s="217">
        <v>251</v>
      </c>
      <c r="BO14" s="183">
        <f t="shared" si="3"/>
        <v>0.65025906735751293</v>
      </c>
      <c r="BP14" s="217">
        <v>386</v>
      </c>
      <c r="BQ14"/>
      <c r="BR14" s="172">
        <f t="shared" si="10"/>
        <v>505</v>
      </c>
      <c r="BS14"/>
      <c r="BT14" s="172">
        <f t="shared" si="11"/>
        <v>699</v>
      </c>
      <c r="BW14" s="185">
        <v>40828</v>
      </c>
      <c r="BX14" s="217">
        <v>60</v>
      </c>
      <c r="BZ14" s="183">
        <f t="shared" si="12"/>
        <v>1</v>
      </c>
      <c r="CA14" s="217">
        <v>60</v>
      </c>
      <c r="CB14"/>
      <c r="CC14" s="172">
        <f t="shared" si="13"/>
        <v>1668</v>
      </c>
      <c r="CD14"/>
      <c r="CE14" s="172">
        <f t="shared" si="14"/>
        <v>1908</v>
      </c>
      <c r="CH14" s="185">
        <v>40455</v>
      </c>
      <c r="CI14" s="170">
        <v>385</v>
      </c>
      <c r="CJ14"/>
      <c r="CK14" s="183">
        <f t="shared" si="17"/>
        <v>1</v>
      </c>
      <c r="CL14" s="182">
        <v>385</v>
      </c>
      <c r="CM14"/>
      <c r="CN14" s="172">
        <f t="shared" si="15"/>
        <v>4016</v>
      </c>
      <c r="CO14"/>
      <c r="CP14" s="172">
        <f t="shared" si="16"/>
        <v>4016</v>
      </c>
      <c r="CS14" s="185">
        <v>40121</v>
      </c>
      <c r="CT14" s="170">
        <v>3</v>
      </c>
      <c r="CU14"/>
      <c r="CV14" s="171">
        <f t="shared" si="1"/>
        <v>1</v>
      </c>
      <c r="CW14" s="172">
        <v>3</v>
      </c>
      <c r="CX14"/>
      <c r="CY14" s="172">
        <f t="shared" si="4"/>
        <v>2025</v>
      </c>
      <c r="CZ14"/>
      <c r="DA14" s="172">
        <f t="shared" si="5"/>
        <v>2685</v>
      </c>
    </row>
    <row r="15" spans="1:105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6"/>
      <c r="I15" s="6"/>
      <c r="J15" s="6">
        <v>223</v>
      </c>
      <c r="K15" s="198">
        <v>509</v>
      </c>
      <c r="L15" s="6"/>
      <c r="M15" s="6">
        <v>48</v>
      </c>
      <c r="N15" s="6">
        <v>1</v>
      </c>
      <c r="O15" s="6"/>
      <c r="P15" s="6">
        <v>0</v>
      </c>
      <c r="Q15" s="6"/>
      <c r="R15" s="6">
        <v>0</v>
      </c>
      <c r="S15" s="6"/>
      <c r="T15" s="1"/>
      <c r="U15" s="1"/>
      <c r="V15" s="1"/>
      <c r="W15" s="1"/>
      <c r="X15" s="11">
        <v>642</v>
      </c>
      <c r="Y15" s="7" t="s">
        <v>5</v>
      </c>
      <c r="Z15" s="54">
        <v>20</v>
      </c>
      <c r="AA15" s="8" t="s">
        <v>394</v>
      </c>
      <c r="AD15">
        <f t="shared" si="0"/>
        <v>1.2612966601178781</v>
      </c>
      <c r="AE15"/>
      <c r="AF15"/>
      <c r="AG15"/>
      <c r="AH15"/>
      <c r="AI15"/>
      <c r="AJ15"/>
      <c r="AK15"/>
      <c r="AL15"/>
      <c r="AM15"/>
      <c r="AN15"/>
      <c r="AP15" s="185"/>
      <c r="AQ15" s="170">
        <v>0</v>
      </c>
      <c r="AR15"/>
      <c r="AS15" s="171"/>
      <c r="AT15" s="172">
        <v>0</v>
      </c>
      <c r="AU15"/>
      <c r="AV15" s="172">
        <f t="shared" si="6"/>
        <v>0</v>
      </c>
      <c r="AW15"/>
      <c r="AX15" s="172">
        <f t="shared" si="7"/>
        <v>0</v>
      </c>
      <c r="AY15"/>
      <c r="BA15" s="185">
        <v>41541</v>
      </c>
      <c r="BB15" s="217">
        <v>2860</v>
      </c>
      <c r="BD15" s="183">
        <f t="shared" si="2"/>
        <v>1</v>
      </c>
      <c r="BE15" s="217">
        <v>2860</v>
      </c>
      <c r="BF15"/>
      <c r="BG15" s="172">
        <f t="shared" si="8"/>
        <v>20568</v>
      </c>
      <c r="BH15"/>
      <c r="BI15" s="172">
        <f t="shared" si="9"/>
        <v>20568</v>
      </c>
      <c r="BL15" s="185">
        <v>41176</v>
      </c>
      <c r="BM15" s="217">
        <v>312</v>
      </c>
      <c r="BO15" s="183">
        <f t="shared" si="3"/>
        <v>0.80829015544041449</v>
      </c>
      <c r="BP15" s="217">
        <v>386</v>
      </c>
      <c r="BQ15"/>
      <c r="BR15" s="172">
        <f t="shared" si="10"/>
        <v>3378</v>
      </c>
      <c r="BS15"/>
      <c r="BT15" s="172">
        <f t="shared" si="11"/>
        <v>4632</v>
      </c>
      <c r="BW15" s="185">
        <v>40834</v>
      </c>
      <c r="BX15" s="170">
        <v>67</v>
      </c>
      <c r="BY15"/>
      <c r="BZ15" s="183">
        <f t="shared" si="12"/>
        <v>1</v>
      </c>
      <c r="CA15" s="182">
        <v>67</v>
      </c>
      <c r="CB15"/>
      <c r="CC15" s="172">
        <f t="shared" si="13"/>
        <v>762</v>
      </c>
      <c r="CD15"/>
      <c r="CE15" s="172">
        <f t="shared" si="14"/>
        <v>762</v>
      </c>
      <c r="CH15" s="185">
        <v>40457</v>
      </c>
      <c r="CI15" s="170">
        <v>279</v>
      </c>
      <c r="CJ15"/>
      <c r="CK15" s="183">
        <f t="shared" si="17"/>
        <v>1</v>
      </c>
      <c r="CL15" s="182">
        <v>279</v>
      </c>
      <c r="CM15"/>
      <c r="CN15" s="172">
        <f t="shared" si="15"/>
        <v>1328</v>
      </c>
      <c r="CO15"/>
      <c r="CP15" s="172">
        <f t="shared" si="16"/>
        <v>1328</v>
      </c>
      <c r="CS15" s="185">
        <v>40122</v>
      </c>
      <c r="CT15" s="170">
        <v>0</v>
      </c>
      <c r="CU15"/>
      <c r="CV15" s="171"/>
      <c r="CW15" s="172">
        <v>0</v>
      </c>
      <c r="CX15"/>
      <c r="CY15" s="172">
        <f t="shared" si="4"/>
        <v>3</v>
      </c>
      <c r="CZ15"/>
      <c r="DA15" s="172">
        <f t="shared" si="5"/>
        <v>3</v>
      </c>
    </row>
    <row r="16" spans="1:105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198">
        <v>198</v>
      </c>
      <c r="I16" s="6">
        <v>126</v>
      </c>
      <c r="J16" s="6">
        <v>59</v>
      </c>
      <c r="K16" s="6">
        <v>30</v>
      </c>
      <c r="L16" s="6">
        <v>49</v>
      </c>
      <c r="M16" s="6">
        <v>14</v>
      </c>
      <c r="N16" s="6">
        <v>31</v>
      </c>
      <c r="O16" s="6"/>
      <c r="P16" s="6"/>
      <c r="Q16" s="6"/>
      <c r="R16" s="6"/>
      <c r="S16" s="6"/>
      <c r="T16" s="1"/>
      <c r="U16" s="1"/>
      <c r="V16" s="1"/>
      <c r="W16" s="1"/>
      <c r="X16" s="12">
        <v>516</v>
      </c>
      <c r="Y16" s="7" t="s">
        <v>5</v>
      </c>
      <c r="Z16" s="613">
        <v>12</v>
      </c>
      <c r="AA16" s="8" t="s">
        <v>394</v>
      </c>
      <c r="AD16">
        <f t="shared" si="0"/>
        <v>2.606060606060606</v>
      </c>
      <c r="AE16"/>
      <c r="AF16"/>
      <c r="AG16"/>
      <c r="AH16"/>
      <c r="AI16"/>
      <c r="AJ16"/>
      <c r="AK16"/>
      <c r="AL16"/>
      <c r="AM16"/>
      <c r="AN16"/>
      <c r="AP16" s="185"/>
      <c r="AQ16" s="170"/>
      <c r="AR16"/>
      <c r="AS16" s="171"/>
      <c r="AT16" s="172">
        <v>0</v>
      </c>
      <c r="AU16"/>
      <c r="AV16" s="172">
        <f t="shared" si="6"/>
        <v>0</v>
      </c>
      <c r="AW16"/>
      <c r="AX16" s="172">
        <f t="shared" si="7"/>
        <v>0</v>
      </c>
      <c r="AY16"/>
      <c r="BA16" s="185">
        <v>41542</v>
      </c>
      <c r="BB16" s="170">
        <v>6279</v>
      </c>
      <c r="BC16"/>
      <c r="BD16" s="183">
        <f t="shared" si="2"/>
        <v>0.79997451904701233</v>
      </c>
      <c r="BE16" s="182">
        <v>7849</v>
      </c>
      <c r="BF16"/>
      <c r="BG16" s="172">
        <f t="shared" si="8"/>
        <v>9139</v>
      </c>
      <c r="BH16"/>
      <c r="BI16" s="172">
        <f t="shared" si="9"/>
        <v>10709</v>
      </c>
      <c r="BL16" s="185">
        <v>41178</v>
      </c>
      <c r="BM16" s="217">
        <v>243</v>
      </c>
      <c r="BO16" s="183">
        <f t="shared" si="3"/>
        <v>0.84965034965034969</v>
      </c>
      <c r="BP16" s="217">
        <v>286</v>
      </c>
      <c r="BQ16"/>
      <c r="BR16" s="172">
        <f t="shared" si="10"/>
        <v>1110</v>
      </c>
      <c r="BS16"/>
      <c r="BT16" s="172">
        <f t="shared" si="11"/>
        <v>1344</v>
      </c>
      <c r="BW16" s="185">
        <v>40840</v>
      </c>
      <c r="BX16" s="170">
        <v>21</v>
      </c>
      <c r="BY16"/>
      <c r="BZ16" s="183">
        <f t="shared" si="12"/>
        <v>1</v>
      </c>
      <c r="CA16" s="182">
        <v>21</v>
      </c>
      <c r="CB16"/>
      <c r="CC16" s="172">
        <f t="shared" si="13"/>
        <v>528</v>
      </c>
      <c r="CD16"/>
      <c r="CE16" s="172">
        <f t="shared" si="14"/>
        <v>528</v>
      </c>
      <c r="CH16" s="185">
        <v>40466</v>
      </c>
      <c r="CI16" s="170">
        <v>157</v>
      </c>
      <c r="CJ16"/>
      <c r="CK16" s="183">
        <f t="shared" si="17"/>
        <v>1</v>
      </c>
      <c r="CL16" s="182">
        <v>157</v>
      </c>
      <c r="CM16"/>
      <c r="CN16" s="172">
        <f t="shared" si="15"/>
        <v>3924</v>
      </c>
      <c r="CO16"/>
      <c r="CP16" s="172">
        <f t="shared" si="16"/>
        <v>3924</v>
      </c>
      <c r="CS16" s="185"/>
      <c r="CT16" s="170"/>
      <c r="CU16"/>
      <c r="CV16" s="171"/>
      <c r="CW16" s="172">
        <v>0</v>
      </c>
      <c r="CX16"/>
      <c r="CY16" s="172">
        <f t="shared" si="4"/>
        <v>0</v>
      </c>
      <c r="CZ16"/>
      <c r="DA16" s="172">
        <f t="shared" si="5"/>
        <v>0</v>
      </c>
    </row>
    <row r="17" spans="1:105" s="8" customFormat="1" ht="18" customHeight="1" x14ac:dyDescent="0.2">
      <c r="A17" s="1">
        <v>2007</v>
      </c>
      <c r="B17" s="6"/>
      <c r="C17" s="6"/>
      <c r="D17" s="6"/>
      <c r="E17" s="6"/>
      <c r="F17" s="6"/>
      <c r="G17" s="6"/>
      <c r="H17" s="6"/>
      <c r="I17" s="6">
        <v>48</v>
      </c>
      <c r="J17" s="198">
        <v>132</v>
      </c>
      <c r="K17" s="6">
        <v>4</v>
      </c>
      <c r="L17" s="6">
        <v>57</v>
      </c>
      <c r="M17" s="6">
        <v>18</v>
      </c>
      <c r="N17" s="6">
        <v>23</v>
      </c>
      <c r="O17" s="6">
        <v>13</v>
      </c>
      <c r="P17" s="6"/>
      <c r="Q17" s="6">
        <v>0</v>
      </c>
      <c r="R17" s="6"/>
      <c r="S17" s="6"/>
      <c r="T17" s="1"/>
      <c r="U17" s="1"/>
      <c r="V17" s="1"/>
      <c r="W17" s="1"/>
      <c r="X17" s="12">
        <v>353</v>
      </c>
      <c r="Y17" s="7" t="s">
        <v>5</v>
      </c>
      <c r="Z17" s="613">
        <v>17.5</v>
      </c>
      <c r="AA17" s="8" t="s">
        <v>393</v>
      </c>
      <c r="AD17">
        <f t="shared" si="0"/>
        <v>2.6742424242424243</v>
      </c>
      <c r="AE17"/>
      <c r="AF17"/>
      <c r="AG17"/>
      <c r="AH17"/>
      <c r="AI17"/>
      <c r="AJ17"/>
      <c r="AK17"/>
      <c r="AL17"/>
      <c r="AM17"/>
      <c r="AN17"/>
      <c r="AO17" s="165" t="s">
        <v>128</v>
      </c>
      <c r="AP17" s="175"/>
      <c r="AQ17" s="176"/>
      <c r="AR17"/>
      <c r="AS17" s="177"/>
      <c r="AT17" s="178"/>
      <c r="AU17" s="179"/>
      <c r="AV17" s="172">
        <f>(AP17-AP16)*(AQ17+AQ16)</f>
        <v>0</v>
      </c>
      <c r="AW17"/>
      <c r="AX17" s="172">
        <f>(AP17-AP16)*(AT17+AT16)</f>
        <v>0</v>
      </c>
      <c r="AY17"/>
      <c r="BA17" s="185">
        <v>41549</v>
      </c>
      <c r="BB17" s="170">
        <v>1893</v>
      </c>
      <c r="BC17"/>
      <c r="BD17" s="183">
        <f t="shared" si="2"/>
        <v>1</v>
      </c>
      <c r="BE17" s="182">
        <v>1893</v>
      </c>
      <c r="BF17"/>
      <c r="BG17" s="172">
        <f t="shared" si="8"/>
        <v>57204</v>
      </c>
      <c r="BH17"/>
      <c r="BI17" s="172">
        <f t="shared" si="9"/>
        <v>68194</v>
      </c>
      <c r="BL17" s="185">
        <v>41180</v>
      </c>
      <c r="BM17" s="170">
        <v>136</v>
      </c>
      <c r="BN17"/>
      <c r="BO17" s="183">
        <f t="shared" si="3"/>
        <v>0.85</v>
      </c>
      <c r="BP17" s="182">
        <v>160</v>
      </c>
      <c r="BQ17"/>
      <c r="BR17" s="172">
        <f t="shared" si="10"/>
        <v>758</v>
      </c>
      <c r="BS17"/>
      <c r="BT17" s="172">
        <f t="shared" si="11"/>
        <v>892</v>
      </c>
      <c r="BW17" s="185">
        <v>40847</v>
      </c>
      <c r="BX17" s="170">
        <v>0</v>
      </c>
      <c r="BY17"/>
      <c r="BZ17" s="183"/>
      <c r="CA17" s="182">
        <v>0</v>
      </c>
      <c r="CB17"/>
      <c r="CC17" s="172">
        <f t="shared" si="13"/>
        <v>147</v>
      </c>
      <c r="CD17"/>
      <c r="CE17" s="172">
        <f t="shared" si="14"/>
        <v>147</v>
      </c>
      <c r="CH17" s="185">
        <v>40469</v>
      </c>
      <c r="CI17" s="170">
        <v>197</v>
      </c>
      <c r="CJ17"/>
      <c r="CK17" s="183">
        <f t="shared" si="17"/>
        <v>1</v>
      </c>
      <c r="CL17" s="182">
        <v>197</v>
      </c>
      <c r="CM17"/>
      <c r="CN17" s="172">
        <f t="shared" si="15"/>
        <v>1062</v>
      </c>
      <c r="CO17"/>
      <c r="CP17" s="172">
        <f t="shared" si="16"/>
        <v>1062</v>
      </c>
      <c r="CR17" s="165" t="s">
        <v>128</v>
      </c>
      <c r="CS17" s="175"/>
      <c r="CT17" s="176"/>
      <c r="CU17"/>
      <c r="CV17" s="177"/>
      <c r="CW17" s="178"/>
      <c r="CX17" s="179"/>
      <c r="CY17" s="172">
        <f t="shared" si="4"/>
        <v>0</v>
      </c>
      <c r="CZ17"/>
      <c r="DA17" s="172">
        <f t="shared" si="5"/>
        <v>0</v>
      </c>
    </row>
    <row r="18" spans="1:105" s="8" customFormat="1" ht="18" customHeight="1" x14ac:dyDescent="0.2">
      <c r="A18" s="1">
        <v>2008</v>
      </c>
      <c r="B18" s="1"/>
      <c r="C18" s="1"/>
      <c r="D18" s="1"/>
      <c r="E18" s="1"/>
      <c r="F18" s="1">
        <v>4</v>
      </c>
      <c r="G18" s="1"/>
      <c r="H18" s="1"/>
      <c r="I18" s="1">
        <v>91</v>
      </c>
      <c r="J18" s="1">
        <v>53</v>
      </c>
      <c r="K18" s="129">
        <v>294</v>
      </c>
      <c r="L18" s="1">
        <v>200</v>
      </c>
      <c r="M18" s="1"/>
      <c r="N18" s="1">
        <v>55</v>
      </c>
      <c r="O18" s="1"/>
      <c r="P18" s="1"/>
      <c r="Q18" s="1"/>
      <c r="R18" s="1"/>
      <c r="S18" s="1"/>
      <c r="T18" s="1"/>
      <c r="U18" s="1"/>
      <c r="V18" s="1"/>
      <c r="W18" s="1"/>
      <c r="X18" s="1">
        <v>515</v>
      </c>
      <c r="Y18" s="7" t="s">
        <v>5</v>
      </c>
      <c r="Z18" s="613">
        <v>17.5</v>
      </c>
      <c r="AA18" s="8" t="s">
        <v>393</v>
      </c>
      <c r="AD18">
        <f t="shared" si="0"/>
        <v>1.7517006802721089</v>
      </c>
      <c r="AE18"/>
      <c r="AF18" s="1" t="s">
        <v>526</v>
      </c>
      <c r="AG18" s="434" t="s">
        <v>223</v>
      </c>
      <c r="AH18" s="1015" t="s">
        <v>217</v>
      </c>
      <c r="AI18" s="1015"/>
      <c r="AJ18" s="1015"/>
      <c r="AK18"/>
      <c r="AL18"/>
      <c r="AM18"/>
      <c r="AN18"/>
      <c r="AO18" s="165" t="s">
        <v>2</v>
      </c>
      <c r="AP18" s="167">
        <v>7</v>
      </c>
      <c r="AQ18" s="167"/>
      <c r="AR18" s="167"/>
      <c r="AS18"/>
      <c r="AT18"/>
      <c r="AU18"/>
      <c r="AV18"/>
      <c r="AW18"/>
      <c r="AX18"/>
      <c r="AY18"/>
      <c r="BA18" s="185">
        <v>41554</v>
      </c>
      <c r="BB18" s="170">
        <v>164</v>
      </c>
      <c r="BC18"/>
      <c r="BD18" s="183">
        <f t="shared" si="2"/>
        <v>1</v>
      </c>
      <c r="BE18" s="182">
        <v>164</v>
      </c>
      <c r="BF18"/>
      <c r="BG18" s="172">
        <f t="shared" si="8"/>
        <v>10285</v>
      </c>
      <c r="BH18"/>
      <c r="BI18" s="172">
        <f t="shared" si="9"/>
        <v>10285</v>
      </c>
      <c r="BL18" s="185">
        <v>41187</v>
      </c>
      <c r="BM18" s="170">
        <v>123</v>
      </c>
      <c r="BN18"/>
      <c r="BO18" s="183">
        <f t="shared" si="3"/>
        <v>0.84827586206896555</v>
      </c>
      <c r="BP18" s="182">
        <v>145</v>
      </c>
      <c r="BQ18"/>
      <c r="BR18" s="172">
        <f t="shared" si="10"/>
        <v>1813</v>
      </c>
      <c r="BS18"/>
      <c r="BT18" s="172">
        <f t="shared" si="11"/>
        <v>2135</v>
      </c>
      <c r="BW18" s="185">
        <v>40847</v>
      </c>
      <c r="BX18" s="170">
        <v>0</v>
      </c>
      <c r="BY18"/>
      <c r="BZ18" s="183"/>
      <c r="CA18" s="182"/>
      <c r="CB18"/>
      <c r="CC18" s="172">
        <f>(BW18-BW17)*(BX18+BX17)</f>
        <v>0</v>
      </c>
      <c r="CD18"/>
      <c r="CE18" s="172">
        <f>(BW18-BW17)*(CA18+CA17)</f>
        <v>0</v>
      </c>
      <c r="CH18" s="185">
        <v>40478</v>
      </c>
      <c r="CI18" s="170">
        <v>3</v>
      </c>
      <c r="CJ18"/>
      <c r="CK18" s="183">
        <f t="shared" si="17"/>
        <v>1</v>
      </c>
      <c r="CL18" s="182">
        <v>3</v>
      </c>
      <c r="CM18"/>
      <c r="CN18" s="172">
        <f t="shared" si="15"/>
        <v>1800</v>
      </c>
      <c r="CO18"/>
      <c r="CP18" s="172">
        <f t="shared" si="16"/>
        <v>1800</v>
      </c>
      <c r="CR18" s="165" t="s">
        <v>2</v>
      </c>
      <c r="CS18" s="167">
        <v>7</v>
      </c>
      <c r="CT18" s="167"/>
      <c r="CU18" s="167"/>
      <c r="CV18"/>
      <c r="CW18"/>
      <c r="CX18"/>
      <c r="CY18"/>
      <c r="CZ18"/>
      <c r="DA18"/>
    </row>
    <row r="19" spans="1:105" s="8" customFormat="1" ht="18" customHeight="1" x14ac:dyDescent="0.2">
      <c r="A19" s="1">
        <v>2009</v>
      </c>
      <c r="B19" s="1"/>
      <c r="C19" s="1"/>
      <c r="D19" s="1"/>
      <c r="E19" s="1"/>
      <c r="F19" s="1"/>
      <c r="G19" s="1"/>
      <c r="H19" s="1"/>
      <c r="I19" s="129">
        <v>919</v>
      </c>
      <c r="J19" s="1">
        <v>836</v>
      </c>
      <c r="K19" s="1">
        <v>271</v>
      </c>
      <c r="L19" s="1">
        <v>122</v>
      </c>
      <c r="M19" s="1">
        <v>132</v>
      </c>
      <c r="N19" s="1"/>
      <c r="O19" s="1">
        <v>3</v>
      </c>
      <c r="P19" s="1"/>
      <c r="Q19" s="1"/>
      <c r="R19" s="1"/>
      <c r="S19" s="1"/>
      <c r="T19" s="1"/>
      <c r="U19" s="1"/>
      <c r="V19" s="1"/>
      <c r="W19" s="1"/>
      <c r="X19" s="1">
        <v>1800</v>
      </c>
      <c r="Y19" s="7" t="s">
        <v>5</v>
      </c>
      <c r="Z19" s="613">
        <v>17</v>
      </c>
      <c r="AA19" s="8" t="s">
        <v>395</v>
      </c>
      <c r="AD19">
        <f t="shared" si="0"/>
        <v>1.9586507072905333</v>
      </c>
      <c r="AE19">
        <v>2009</v>
      </c>
      <c r="AF19" s="1">
        <v>1500</v>
      </c>
      <c r="AG19" s="434">
        <v>1587</v>
      </c>
      <c r="AH19" s="434">
        <v>1774</v>
      </c>
      <c r="AI19" s="434" t="s">
        <v>218</v>
      </c>
      <c r="AJ19" s="434"/>
      <c r="AK19">
        <f>AH19/MAX(B19:W19)</f>
        <v>1.9303590859630033</v>
      </c>
      <c r="AL19"/>
      <c r="AM19"/>
      <c r="AN19"/>
      <c r="AO19" s="165" t="s">
        <v>129</v>
      </c>
      <c r="AP19" s="167"/>
      <c r="AQ19" s="167">
        <f>MAX(AQ8:AQ17)</f>
        <v>550</v>
      </c>
      <c r="AR19" s="167"/>
      <c r="AS19" s="167"/>
      <c r="AT19" s="167">
        <f>MAX(AT8:AT17)</f>
        <v>1088</v>
      </c>
      <c r="AU19" s="167"/>
      <c r="AV19" s="167"/>
      <c r="AW19" s="180"/>
      <c r="AX19"/>
      <c r="AY19"/>
      <c r="BA19" s="185">
        <v>41557</v>
      </c>
      <c r="BB19" s="170">
        <v>287</v>
      </c>
      <c r="BC19"/>
      <c r="BD19" s="183">
        <f t="shared" si="2"/>
        <v>1</v>
      </c>
      <c r="BE19" s="182">
        <v>287</v>
      </c>
      <c r="BF19"/>
      <c r="BG19" s="172">
        <f t="shared" si="8"/>
        <v>1353</v>
      </c>
      <c r="BH19"/>
      <c r="BI19" s="172">
        <f t="shared" si="9"/>
        <v>1353</v>
      </c>
      <c r="BL19" s="185">
        <v>41188</v>
      </c>
      <c r="BM19" s="170">
        <v>134</v>
      </c>
      <c r="BN19"/>
      <c r="BO19" s="183">
        <f t="shared" si="3"/>
        <v>0.64114832535885169</v>
      </c>
      <c r="BP19" s="182">
        <v>209</v>
      </c>
      <c r="BQ19"/>
      <c r="BR19" s="172">
        <f t="shared" si="10"/>
        <v>257</v>
      </c>
      <c r="BS19"/>
      <c r="BT19" s="172">
        <f t="shared" si="11"/>
        <v>354</v>
      </c>
      <c r="BW19" s="185"/>
      <c r="BX19" s="170"/>
      <c r="BY19"/>
      <c r="BZ19" s="183"/>
      <c r="CA19" s="182"/>
      <c r="CB19"/>
      <c r="CC19" s="172"/>
      <c r="CD19"/>
      <c r="CE19" s="172"/>
      <c r="CH19" s="185">
        <v>40482</v>
      </c>
      <c r="CI19" s="170">
        <v>0</v>
      </c>
      <c r="CJ19"/>
      <c r="CK19" s="183"/>
      <c r="CL19" s="182">
        <v>0</v>
      </c>
      <c r="CM19"/>
      <c r="CN19" s="172">
        <f t="shared" si="15"/>
        <v>12</v>
      </c>
      <c r="CO19"/>
      <c r="CP19" s="172">
        <f>(CH19-CH18)*(CL19+CL18)</f>
        <v>12</v>
      </c>
      <c r="CR19" s="165" t="s">
        <v>129</v>
      </c>
      <c r="CS19" s="167"/>
      <c r="CT19" s="167">
        <f>MAX(CT8:CT17)</f>
        <v>919</v>
      </c>
      <c r="CU19" s="167"/>
      <c r="CV19" s="167"/>
      <c r="CW19" s="167">
        <f>MAX(CW8:CW17)</f>
        <v>1225</v>
      </c>
      <c r="CX19" s="167"/>
      <c r="CY19" s="167"/>
      <c r="CZ19" s="180"/>
      <c r="DA19"/>
    </row>
    <row r="20" spans="1:105" s="8" customFormat="1" ht="18" customHeight="1" x14ac:dyDescent="0.2">
      <c r="A20" s="1">
        <v>2010</v>
      </c>
      <c r="B20" s="1"/>
      <c r="C20" s="1"/>
      <c r="D20" s="1"/>
      <c r="E20" s="1">
        <v>0</v>
      </c>
      <c r="F20" s="1"/>
      <c r="G20" s="1"/>
      <c r="H20" s="129">
        <v>1083</v>
      </c>
      <c r="I20" s="1"/>
      <c r="J20" s="1">
        <v>795</v>
      </c>
      <c r="K20" s="1">
        <v>385</v>
      </c>
      <c r="L20" s="1">
        <v>157</v>
      </c>
      <c r="M20" s="1">
        <v>197</v>
      </c>
      <c r="N20" s="1">
        <v>3</v>
      </c>
      <c r="O20" s="1"/>
      <c r="P20" s="1"/>
      <c r="Q20" s="1"/>
      <c r="R20" s="1"/>
      <c r="S20" s="1"/>
      <c r="T20" s="1"/>
      <c r="U20" s="1"/>
      <c r="V20" s="1"/>
      <c r="W20" s="1"/>
      <c r="X20" s="1">
        <v>2825</v>
      </c>
      <c r="Y20" s="7" t="s">
        <v>5</v>
      </c>
      <c r="Z20" s="613">
        <v>10</v>
      </c>
      <c r="AA20" s="8" t="s">
        <v>394</v>
      </c>
      <c r="AC20" s="8">
        <v>11</v>
      </c>
      <c r="AD20">
        <f t="shared" si="0"/>
        <v>2.6084949215143123</v>
      </c>
      <c r="AE20">
        <v>2010</v>
      </c>
      <c r="AF20" s="1">
        <v>2825</v>
      </c>
      <c r="AG20" s="434">
        <v>2453</v>
      </c>
      <c r="AH20" s="434">
        <v>2674</v>
      </c>
      <c r="AI20" s="434" t="s">
        <v>219</v>
      </c>
      <c r="AJ20" s="434"/>
      <c r="AK20">
        <f>AH20/MAX(B20:W20)</f>
        <v>2.469067405355494</v>
      </c>
      <c r="AL20"/>
      <c r="AM20"/>
      <c r="AN20"/>
      <c r="AO20" s="165" t="s">
        <v>130</v>
      </c>
      <c r="AP20" s="167"/>
      <c r="AQ20" s="169">
        <v>15</v>
      </c>
      <c r="AR20" s="167"/>
      <c r="AS20"/>
      <c r="AT20" s="169">
        <v>10</v>
      </c>
      <c r="AY20"/>
      <c r="BA20" s="185">
        <v>41560</v>
      </c>
      <c r="BB20" s="170">
        <v>55</v>
      </c>
      <c r="BC20"/>
      <c r="BD20" s="183">
        <f t="shared" si="2"/>
        <v>0.90163934426229508</v>
      </c>
      <c r="BE20" s="182">
        <v>61</v>
      </c>
      <c r="BF20"/>
      <c r="BG20" s="172">
        <f t="shared" si="8"/>
        <v>1026</v>
      </c>
      <c r="BH20"/>
      <c r="BI20" s="172">
        <f t="shared" si="9"/>
        <v>1044</v>
      </c>
      <c r="BL20" s="185">
        <v>41189</v>
      </c>
      <c r="BM20" s="170">
        <v>87</v>
      </c>
      <c r="BN20"/>
      <c r="BO20" s="183">
        <f t="shared" si="3"/>
        <v>0.8529411764705882</v>
      </c>
      <c r="BP20" s="182">
        <v>102</v>
      </c>
      <c r="BQ20"/>
      <c r="BR20" s="172">
        <f t="shared" si="10"/>
        <v>221</v>
      </c>
      <c r="BS20"/>
      <c r="BT20" s="172">
        <f t="shared" si="11"/>
        <v>311</v>
      </c>
      <c r="BV20" s="165" t="s">
        <v>128</v>
      </c>
      <c r="BW20" s="175"/>
      <c r="BX20" s="176"/>
      <c r="BY20"/>
      <c r="BZ20" s="177"/>
      <c r="CA20" s="178"/>
      <c r="CB20" s="179"/>
      <c r="CC20" s="172"/>
      <c r="CD20"/>
      <c r="CE20" s="172"/>
      <c r="CG20" s="165" t="s">
        <v>128</v>
      </c>
      <c r="CH20" s="219">
        <v>40482</v>
      </c>
      <c r="CI20" s="176">
        <v>0</v>
      </c>
      <c r="CJ20"/>
      <c r="CK20" s="177"/>
      <c r="CL20" s="178"/>
      <c r="CM20" s="179"/>
      <c r="CN20" s="172">
        <f t="shared" si="15"/>
        <v>0</v>
      </c>
      <c r="CO20"/>
      <c r="CP20" s="172">
        <f t="shared" si="16"/>
        <v>0</v>
      </c>
      <c r="CR20" s="165" t="s">
        <v>130</v>
      </c>
      <c r="CS20" s="167"/>
      <c r="CT20" s="169">
        <v>17</v>
      </c>
      <c r="CU20" s="167"/>
      <c r="CV20"/>
      <c r="CW20" s="169">
        <v>17</v>
      </c>
    </row>
    <row r="21" spans="1:105" s="8" customFormat="1" ht="18" customHeight="1" x14ac:dyDescent="0.2">
      <c r="A21" s="1">
        <v>2011</v>
      </c>
      <c r="B21" s="1"/>
      <c r="C21" s="1"/>
      <c r="D21" s="1"/>
      <c r="E21" s="1"/>
      <c r="F21" s="1"/>
      <c r="G21" s="1"/>
      <c r="H21" s="1"/>
      <c r="I21" s="1">
        <v>706</v>
      </c>
      <c r="J21" s="129">
        <v>967</v>
      </c>
      <c r="K21" s="1">
        <v>357</v>
      </c>
      <c r="L21" s="1">
        <v>60</v>
      </c>
      <c r="M21" s="1">
        <v>67</v>
      </c>
      <c r="N21" s="1">
        <v>21</v>
      </c>
      <c r="O21" s="1"/>
      <c r="P21" s="1"/>
      <c r="Q21" s="1"/>
      <c r="R21" s="1"/>
      <c r="S21" s="1"/>
      <c r="T21" s="1"/>
      <c r="U21" s="1"/>
      <c r="V21" s="1"/>
      <c r="W21" s="1"/>
      <c r="X21" s="1">
        <v>2024</v>
      </c>
      <c r="Y21" s="7" t="s">
        <v>58</v>
      </c>
      <c r="Z21" s="613">
        <v>10</v>
      </c>
      <c r="AA21" s="8" t="s">
        <v>394</v>
      </c>
      <c r="AC21" s="8">
        <v>9</v>
      </c>
      <c r="AD21">
        <f t="shared" si="0"/>
        <v>2.0930713547052742</v>
      </c>
      <c r="AE21">
        <v>2011</v>
      </c>
      <c r="AF21" s="1">
        <v>2024</v>
      </c>
      <c r="AG21" s="434">
        <v>4325</v>
      </c>
      <c r="AH21" s="434">
        <v>4515</v>
      </c>
      <c r="AI21" s="434" t="s">
        <v>220</v>
      </c>
      <c r="AJ21" s="434"/>
      <c r="AK21">
        <f>AH21/MAX(B21:W21)</f>
        <v>4.6690796277145807</v>
      </c>
      <c r="AL21"/>
      <c r="AM21"/>
      <c r="AN21"/>
      <c r="AO21" s="165" t="s">
        <v>131</v>
      </c>
      <c r="AP21" s="167"/>
      <c r="AQ21" s="181">
        <f>(0.5*SUM(AV9:AV17))/AQ20</f>
        <v>712.66666666666663</v>
      </c>
      <c r="AR21" s="167"/>
      <c r="AS21"/>
      <c r="AT21" s="181">
        <f>(0.5*SUM(AX9:AX17))/AT20</f>
        <v>1492.3333333333333</v>
      </c>
      <c r="AY21"/>
      <c r="BA21" s="185">
        <v>41564</v>
      </c>
      <c r="BB21" s="217">
        <v>28</v>
      </c>
      <c r="BD21" s="183">
        <f t="shared" si="2"/>
        <v>1</v>
      </c>
      <c r="BE21" s="217">
        <v>28</v>
      </c>
      <c r="BF21"/>
      <c r="BG21" s="172">
        <f t="shared" si="8"/>
        <v>332</v>
      </c>
      <c r="BH21"/>
      <c r="BI21" s="172">
        <f t="shared" si="9"/>
        <v>356</v>
      </c>
      <c r="BL21" s="185">
        <v>41197</v>
      </c>
      <c r="BM21" s="170">
        <v>123</v>
      </c>
      <c r="BN21"/>
      <c r="BO21" s="183">
        <f t="shared" si="3"/>
        <v>0.79870129870129869</v>
      </c>
      <c r="BP21" s="182">
        <v>154</v>
      </c>
      <c r="BQ21"/>
      <c r="BR21" s="172">
        <f t="shared" si="10"/>
        <v>1680</v>
      </c>
      <c r="BS21"/>
      <c r="BT21" s="172">
        <f t="shared" si="11"/>
        <v>2048</v>
      </c>
      <c r="BV21" s="165" t="s">
        <v>2</v>
      </c>
      <c r="BW21" s="167">
        <v>7</v>
      </c>
      <c r="BX21" s="167"/>
      <c r="BY21" s="167"/>
      <c r="BZ21"/>
      <c r="CA21"/>
      <c r="CB21"/>
      <c r="CC21"/>
      <c r="CD21"/>
      <c r="CE21"/>
      <c r="CG21" s="165" t="s">
        <v>2</v>
      </c>
      <c r="CH21" s="167">
        <v>7</v>
      </c>
      <c r="CI21" s="167"/>
      <c r="CJ21" s="167"/>
      <c r="CK21"/>
      <c r="CL21"/>
      <c r="CM21"/>
      <c r="CN21"/>
      <c r="CO21"/>
      <c r="CP21"/>
      <c r="CR21" s="165" t="s">
        <v>131</v>
      </c>
      <c r="CS21" s="167"/>
      <c r="CT21" s="181">
        <f>(0.5*SUM(CY9:CY17))/CT20</f>
        <v>1439.2352941176471</v>
      </c>
      <c r="CU21" s="167"/>
      <c r="CV21"/>
      <c r="CW21" s="181">
        <f>(0.5*SUM(DA9:DA17))/CW20</f>
        <v>1870.2941176470588</v>
      </c>
    </row>
    <row r="22" spans="1:105" s="8" customFormat="1" ht="18" customHeight="1" x14ac:dyDescent="0.2">
      <c r="A22" s="1">
        <v>2012</v>
      </c>
      <c r="B22" s="1"/>
      <c r="C22" s="1"/>
      <c r="D22" s="1"/>
      <c r="E22" s="1"/>
      <c r="F22" s="1">
        <v>31</v>
      </c>
      <c r="G22" s="1">
        <v>142</v>
      </c>
      <c r="H22" s="1">
        <v>274</v>
      </c>
      <c r="I22" s="1">
        <v>346</v>
      </c>
      <c r="J22" s="1">
        <v>170</v>
      </c>
      <c r="K22" s="1">
        <v>86</v>
      </c>
      <c r="L22" s="129">
        <v>721</v>
      </c>
      <c r="M22" s="1">
        <v>523</v>
      </c>
      <c r="N22" s="1">
        <v>98</v>
      </c>
      <c r="O22" s="1">
        <v>9</v>
      </c>
      <c r="P22" s="1"/>
      <c r="Q22" s="1"/>
      <c r="R22" s="1"/>
      <c r="S22" s="1"/>
      <c r="T22" s="1"/>
      <c r="U22" s="1"/>
      <c r="V22" s="1"/>
      <c r="W22" s="1"/>
      <c r="X22" s="1">
        <v>1215</v>
      </c>
      <c r="Y22" s="7" t="s">
        <v>5</v>
      </c>
      <c r="Z22" s="613">
        <v>15</v>
      </c>
      <c r="AA22" s="8" t="s">
        <v>394</v>
      </c>
      <c r="AD22">
        <f t="shared" si="0"/>
        <v>1.6851595006934812</v>
      </c>
      <c r="AE22">
        <v>2012</v>
      </c>
      <c r="AF22" s="1">
        <v>1003</v>
      </c>
      <c r="AG22" s="434">
        <v>3966</v>
      </c>
      <c r="AH22" s="434">
        <v>5168</v>
      </c>
      <c r="AI22" s="434" t="s">
        <v>221</v>
      </c>
      <c r="AJ22" s="434"/>
      <c r="AK22">
        <f>AH22/MAX(B22:W22)</f>
        <v>7.1678224687933429</v>
      </c>
      <c r="AL22"/>
      <c r="AM22"/>
      <c r="AN22"/>
      <c r="AO22" s="174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BA22" s="185">
        <v>41578</v>
      </c>
      <c r="BB22" s="170">
        <v>0</v>
      </c>
      <c r="BC22"/>
      <c r="BD22" s="171"/>
      <c r="BE22" s="172">
        <v>0</v>
      </c>
      <c r="BF22"/>
      <c r="BG22" s="172">
        <f t="shared" si="8"/>
        <v>392</v>
      </c>
      <c r="BH22"/>
      <c r="BI22" s="172">
        <f t="shared" si="9"/>
        <v>392</v>
      </c>
      <c r="BL22" s="185">
        <v>41199</v>
      </c>
      <c r="BM22" s="217">
        <v>725</v>
      </c>
      <c r="BO22" s="183">
        <f t="shared" si="3"/>
        <v>0.74974146845915202</v>
      </c>
      <c r="BP22" s="217">
        <v>967</v>
      </c>
      <c r="BR22" s="172">
        <f t="shared" si="10"/>
        <v>1696</v>
      </c>
      <c r="BS22"/>
      <c r="BT22" s="172">
        <f t="shared" si="11"/>
        <v>2242</v>
      </c>
      <c r="BV22" s="165" t="s">
        <v>129</v>
      </c>
      <c r="BW22" s="167"/>
      <c r="BX22" s="167">
        <f>MAX(BX8:BX20)</f>
        <v>967</v>
      </c>
      <c r="BY22" s="167"/>
      <c r="BZ22" s="167"/>
      <c r="CA22" s="167">
        <f>MAX(CA8:CA20)</f>
        <v>967</v>
      </c>
      <c r="CB22" s="167"/>
      <c r="CC22" s="167"/>
      <c r="CD22" s="180"/>
      <c r="CE22"/>
      <c r="CG22" s="165" t="s">
        <v>129</v>
      </c>
      <c r="CH22" s="167"/>
      <c r="CI22" s="167">
        <f>MAX(CI8:CI20)</f>
        <v>1063</v>
      </c>
      <c r="CJ22" s="167"/>
      <c r="CK22" s="167"/>
      <c r="CL22" s="167">
        <f>MAX(CL8:CL20)</f>
        <v>1063</v>
      </c>
      <c r="CM22" s="167"/>
      <c r="CN22" s="167"/>
      <c r="CO22" s="180"/>
      <c r="CP22"/>
    </row>
    <row r="23" spans="1:105" s="8" customFormat="1" ht="18" customHeight="1" x14ac:dyDescent="0.2">
      <c r="A23" s="1">
        <v>2013</v>
      </c>
      <c r="B23" s="1"/>
      <c r="C23" s="1"/>
      <c r="D23" s="1"/>
      <c r="E23" s="1"/>
      <c r="F23" s="106">
        <v>360</v>
      </c>
      <c r="G23" s="106">
        <v>265</v>
      </c>
      <c r="H23" s="106">
        <v>568</v>
      </c>
      <c r="I23" s="156">
        <v>6279</v>
      </c>
      <c r="J23" s="106">
        <v>1893</v>
      </c>
      <c r="K23" s="106">
        <v>287</v>
      </c>
      <c r="L23" s="106">
        <v>55</v>
      </c>
      <c r="M23" s="106">
        <v>2</v>
      </c>
      <c r="N23" s="106">
        <v>7</v>
      </c>
      <c r="O23" s="1"/>
      <c r="P23" s="1"/>
      <c r="Q23" s="1"/>
      <c r="R23" s="1"/>
      <c r="S23" s="1"/>
      <c r="T23" s="1"/>
      <c r="U23" s="1"/>
      <c r="V23" s="1"/>
      <c r="W23" s="1"/>
      <c r="X23" s="1">
        <v>8285</v>
      </c>
      <c r="Y23" s="7" t="s">
        <v>5</v>
      </c>
      <c r="Z23" s="613">
        <v>8</v>
      </c>
      <c r="AA23" s="8" t="s">
        <v>394</v>
      </c>
      <c r="AD23">
        <f t="shared" si="0"/>
        <v>1.31947762382545</v>
      </c>
      <c r="AE23">
        <v>2013</v>
      </c>
      <c r="AF23" s="1">
        <v>8285</v>
      </c>
      <c r="AG23" s="434">
        <v>5647</v>
      </c>
      <c r="AH23" s="434">
        <v>10331</v>
      </c>
      <c r="AI23" s="434" t="s">
        <v>222</v>
      </c>
      <c r="AJ23" s="434"/>
      <c r="AK23">
        <f>AH23/MAX(B23:W23)</f>
        <v>1.6453256888039496</v>
      </c>
      <c r="AL23"/>
      <c r="AM23"/>
      <c r="AN23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65" t="s">
        <v>128</v>
      </c>
      <c r="BA23" s="175"/>
      <c r="BB23" s="176"/>
      <c r="BC23"/>
      <c r="BD23" s="177"/>
      <c r="BE23" s="178"/>
      <c r="BF23" s="179"/>
      <c r="BG23" s="172">
        <f>(BA23-BA22)*(BB23+BB22)</f>
        <v>0</v>
      </c>
      <c r="BH23"/>
      <c r="BI23" s="172">
        <f>(BA23-BA22)*(BE23+BE22)</f>
        <v>0</v>
      </c>
      <c r="BL23" s="185">
        <v>41203</v>
      </c>
      <c r="BM23" s="217">
        <v>312</v>
      </c>
      <c r="BO23" s="183">
        <f t="shared" si="3"/>
        <v>0.85013623978201636</v>
      </c>
      <c r="BP23" s="217">
        <v>367</v>
      </c>
      <c r="BR23" s="172">
        <f t="shared" si="10"/>
        <v>4148</v>
      </c>
      <c r="BS23"/>
      <c r="BT23" s="172">
        <f t="shared" si="11"/>
        <v>5336</v>
      </c>
      <c r="BV23" s="165" t="s">
        <v>130</v>
      </c>
      <c r="BW23" s="167"/>
      <c r="BX23" s="169">
        <v>10</v>
      </c>
      <c r="BY23" s="167"/>
      <c r="BZ23"/>
      <c r="CA23" s="169">
        <v>10</v>
      </c>
      <c r="CG23" s="165" t="s">
        <v>130</v>
      </c>
      <c r="CH23" s="167"/>
      <c r="CI23" s="169">
        <v>10</v>
      </c>
      <c r="CJ23" s="167"/>
      <c r="CK23"/>
      <c r="CL23" s="169">
        <v>10</v>
      </c>
    </row>
    <row r="24" spans="1:105" s="8" customFormat="1" ht="18" customHeight="1" x14ac:dyDescent="0.2">
      <c r="A24" s="1">
        <v>2014</v>
      </c>
      <c r="B24" s="1"/>
      <c r="C24" s="1"/>
      <c r="D24" s="1"/>
      <c r="E24" s="1">
        <v>0</v>
      </c>
      <c r="F24" s="1"/>
      <c r="G24" s="1"/>
      <c r="H24" s="1">
        <v>0</v>
      </c>
      <c r="I24" s="129">
        <v>550</v>
      </c>
      <c r="J24" s="1">
        <v>431</v>
      </c>
      <c r="K24" s="1">
        <v>265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>
        <v>2808</v>
      </c>
      <c r="Y24" s="7" t="s">
        <v>135</v>
      </c>
      <c r="Z24" s="615" t="s">
        <v>136</v>
      </c>
      <c r="AA24" s="8" t="s">
        <v>393</v>
      </c>
      <c r="AD24">
        <f t="shared" si="0"/>
        <v>5.1054545454545455</v>
      </c>
      <c r="AE24">
        <v>2014</v>
      </c>
      <c r="AF24" s="1">
        <v>2808</v>
      </c>
      <c r="AG24" s="434">
        <v>2235</v>
      </c>
      <c r="AH24" s="434"/>
      <c r="AI24" s="434"/>
      <c r="AJ24" s="434"/>
      <c r="AK24"/>
      <c r="AL24"/>
      <c r="AM24"/>
      <c r="AN24"/>
      <c r="AY24"/>
      <c r="AZ24" s="165" t="s">
        <v>2</v>
      </c>
      <c r="BA24" s="167">
        <v>7</v>
      </c>
      <c r="BB24" s="167"/>
      <c r="BC24" s="167"/>
      <c r="BD24"/>
      <c r="BE24"/>
      <c r="BF24"/>
      <c r="BG24"/>
      <c r="BH24"/>
      <c r="BI24"/>
      <c r="BL24" s="185">
        <v>41204</v>
      </c>
      <c r="BM24" s="217">
        <v>529</v>
      </c>
      <c r="BO24" s="183">
        <f t="shared" si="3"/>
        <v>0.85048231511254024</v>
      </c>
      <c r="BP24" s="217">
        <v>622</v>
      </c>
      <c r="BR24" s="172">
        <f t="shared" si="10"/>
        <v>841</v>
      </c>
      <c r="BS24"/>
      <c r="BT24" s="172">
        <f t="shared" si="11"/>
        <v>989</v>
      </c>
      <c r="BV24" s="165" t="s">
        <v>131</v>
      </c>
      <c r="BW24" s="167"/>
      <c r="BX24" s="181">
        <f>(0.5*SUM(CC9:CC20))/BX23</f>
        <v>2016.85</v>
      </c>
      <c r="BY24" s="167"/>
      <c r="BZ24"/>
      <c r="CA24" s="181">
        <f>(0.5*SUM(CE9:CE20))/CA23</f>
        <v>2031.85</v>
      </c>
      <c r="CG24" s="165" t="s">
        <v>131</v>
      </c>
      <c r="CH24" s="167"/>
      <c r="CI24" s="181">
        <f>(0.5*SUM(CN9:CN20))/CI23</f>
        <v>2243.35</v>
      </c>
      <c r="CJ24" s="167"/>
      <c r="CK24"/>
      <c r="CL24" s="181">
        <f>(0.5*SUM(CP9:CP20))/CL23</f>
        <v>2303.15</v>
      </c>
    </row>
    <row r="25" spans="1:105" s="8" customFormat="1" ht="18" customHeight="1" x14ac:dyDescent="0.2">
      <c r="A25" s="1">
        <v>2015</v>
      </c>
      <c r="B25" s="1"/>
      <c r="C25" s="1"/>
      <c r="D25" s="1"/>
      <c r="E25" s="239">
        <v>200</v>
      </c>
      <c r="F25" s="106">
        <v>450</v>
      </c>
      <c r="G25" s="106">
        <v>924</v>
      </c>
      <c r="H25" s="106">
        <v>1690</v>
      </c>
      <c r="I25" s="106">
        <v>578</v>
      </c>
      <c r="J25" s="156">
        <v>3795</v>
      </c>
      <c r="K25" s="106">
        <v>1712</v>
      </c>
      <c r="L25" s="106">
        <v>568</v>
      </c>
      <c r="M25" s="106">
        <v>1062</v>
      </c>
      <c r="N25" s="106">
        <v>334</v>
      </c>
      <c r="O25" s="106">
        <v>55</v>
      </c>
      <c r="P25" s="106">
        <v>11</v>
      </c>
      <c r="Q25" s="1"/>
      <c r="R25" s="1"/>
      <c r="S25" s="1"/>
      <c r="T25" s="1"/>
      <c r="U25" s="1"/>
      <c r="V25" s="1"/>
      <c r="W25" s="1"/>
      <c r="X25" s="1">
        <v>6035</v>
      </c>
      <c r="Y25" s="7" t="s">
        <v>5</v>
      </c>
      <c r="Z25" s="613">
        <v>15</v>
      </c>
      <c r="AA25" s="8" t="s">
        <v>394</v>
      </c>
      <c r="AD25">
        <f t="shared" si="0"/>
        <v>1.5902503293807642</v>
      </c>
      <c r="AE25">
        <v>2015</v>
      </c>
      <c r="AF25" s="1">
        <v>6035</v>
      </c>
      <c r="AG25" s="434">
        <v>22349</v>
      </c>
      <c r="AH25" s="434"/>
      <c r="AI25" s="434"/>
      <c r="AJ25" s="434"/>
      <c r="AK25"/>
      <c r="AL25"/>
      <c r="AM25"/>
      <c r="AN25"/>
      <c r="AY25"/>
      <c r="AZ25" s="165" t="s">
        <v>129</v>
      </c>
      <c r="BA25" s="167"/>
      <c r="BB25" s="167">
        <f>MAX(BB8:BB23)</f>
        <v>6279</v>
      </c>
      <c r="BC25" s="167"/>
      <c r="BD25" s="167"/>
      <c r="BE25" s="167">
        <f>MAX(BE8:BE23)</f>
        <v>7849</v>
      </c>
      <c r="BF25" s="167"/>
      <c r="BG25" s="167"/>
      <c r="BH25" s="180"/>
      <c r="BI25"/>
      <c r="BL25" s="185">
        <v>41208</v>
      </c>
      <c r="BM25" s="217">
        <v>359</v>
      </c>
      <c r="BO25" s="183">
        <f t="shared" si="3"/>
        <v>0.85071090047393361</v>
      </c>
      <c r="BP25" s="217">
        <v>422</v>
      </c>
      <c r="BR25" s="172">
        <f t="shared" si="10"/>
        <v>3552</v>
      </c>
      <c r="BS25"/>
      <c r="BT25" s="172">
        <f t="shared" si="11"/>
        <v>4176</v>
      </c>
    </row>
    <row r="26" spans="1:105" s="8" customFormat="1" ht="18" customHeight="1" x14ac:dyDescent="0.2">
      <c r="A26" s="1">
        <v>2016</v>
      </c>
      <c r="B26" s="1"/>
      <c r="C26" s="1"/>
      <c r="D26" s="1"/>
      <c r="E26" s="1"/>
      <c r="F26" s="106">
        <v>1160</v>
      </c>
      <c r="G26" s="106">
        <v>708</v>
      </c>
      <c r="H26" s="106">
        <v>5461</v>
      </c>
      <c r="I26" s="106">
        <v>9140</v>
      </c>
      <c r="J26" s="106">
        <v>1567</v>
      </c>
      <c r="K26" s="106">
        <v>573</v>
      </c>
      <c r="L26" s="106">
        <v>159</v>
      </c>
      <c r="M26" s="106">
        <v>323</v>
      </c>
      <c r="N26" s="106">
        <v>98</v>
      </c>
      <c r="O26" s="106">
        <v>4</v>
      </c>
      <c r="P26" s="1"/>
      <c r="Q26" s="1"/>
      <c r="R26" s="1"/>
      <c r="S26" s="1"/>
      <c r="T26" s="1"/>
      <c r="U26" s="1"/>
      <c r="V26" s="1"/>
      <c r="W26" s="1"/>
      <c r="X26" s="1">
        <v>10534</v>
      </c>
      <c r="Y26" s="7" t="s">
        <v>5</v>
      </c>
      <c r="Z26" s="613">
        <v>14</v>
      </c>
      <c r="AA26" s="8" t="s">
        <v>393</v>
      </c>
      <c r="AD26">
        <f t="shared" si="0"/>
        <v>1.1525164113785558</v>
      </c>
      <c r="AE26">
        <v>2016</v>
      </c>
      <c r="AF26" s="1">
        <v>10534</v>
      </c>
      <c r="AG26" s="434">
        <v>10314</v>
      </c>
      <c r="AH26" s="434"/>
      <c r="AI26" s="434"/>
      <c r="AJ26" s="434"/>
      <c r="AK26"/>
      <c r="AL26"/>
      <c r="AM26"/>
      <c r="AN26"/>
      <c r="AY26"/>
      <c r="AZ26" s="165"/>
      <c r="BA26" s="167"/>
      <c r="BB26" s="167"/>
      <c r="BC26" s="167"/>
      <c r="BD26" s="167"/>
      <c r="BE26" s="167"/>
      <c r="BF26" s="167"/>
      <c r="BG26" s="167"/>
      <c r="BH26" s="180"/>
      <c r="BI26"/>
      <c r="BL26" s="185"/>
      <c r="BM26" s="217"/>
      <c r="BO26" s="183"/>
      <c r="BP26" s="217"/>
      <c r="BR26" s="172"/>
      <c r="BS26"/>
      <c r="BT26" s="172"/>
    </row>
    <row r="27" spans="1:105" s="8" customFormat="1" ht="18" customHeight="1" x14ac:dyDescent="0.2">
      <c r="A27" s="1">
        <v>2017</v>
      </c>
      <c r="B27" s="1"/>
      <c r="C27" s="1"/>
      <c r="D27" s="1"/>
      <c r="E27" s="239">
        <v>0</v>
      </c>
      <c r="F27" s="106">
        <v>100</v>
      </c>
      <c r="G27" s="106">
        <v>26</v>
      </c>
      <c r="H27" s="106">
        <v>45</v>
      </c>
      <c r="I27" s="106">
        <v>70</v>
      </c>
      <c r="J27" s="106">
        <v>557</v>
      </c>
      <c r="K27" s="106">
        <v>76</v>
      </c>
      <c r="L27" s="1"/>
      <c r="M27" s="498">
        <v>239</v>
      </c>
      <c r="N27" s="106">
        <v>260</v>
      </c>
      <c r="O27" s="156">
        <v>140</v>
      </c>
      <c r="P27" s="1"/>
      <c r="Q27" s="1"/>
      <c r="R27" s="1"/>
      <c r="S27" s="1"/>
      <c r="T27" s="1"/>
      <c r="U27" s="1"/>
      <c r="V27" s="1"/>
      <c r="W27" s="1"/>
      <c r="X27" s="1">
        <v>1072</v>
      </c>
      <c r="Y27" s="7"/>
      <c r="Z27" s="613">
        <v>10</v>
      </c>
      <c r="AD27">
        <f t="shared" si="0"/>
        <v>1.9245960502692998</v>
      </c>
      <c r="AE27">
        <v>2017</v>
      </c>
      <c r="AF27" s="1">
        <v>1149</v>
      </c>
      <c r="AG27" s="434">
        <v>9142</v>
      </c>
      <c r="AH27" s="434"/>
      <c r="AI27" s="434"/>
      <c r="AJ27" s="434"/>
      <c r="AK27"/>
      <c r="AL27"/>
      <c r="AM27"/>
      <c r="AN27"/>
      <c r="AY27"/>
      <c r="AZ27" s="165"/>
      <c r="BA27" s="167"/>
      <c r="BB27" s="167"/>
      <c r="BC27" s="167"/>
      <c r="BD27" s="167"/>
      <c r="BE27" s="167"/>
      <c r="BF27" s="167"/>
      <c r="BG27" s="167"/>
      <c r="BH27" s="180"/>
      <c r="BI27"/>
      <c r="BL27" s="185"/>
      <c r="BM27" s="217"/>
      <c r="BO27" s="183"/>
      <c r="BP27" s="217"/>
      <c r="BR27" s="172"/>
      <c r="BS27"/>
      <c r="BT27" s="172"/>
    </row>
    <row r="28" spans="1:105" s="8" customFormat="1" ht="18" customHeight="1" x14ac:dyDescent="0.2">
      <c r="A28" s="1">
        <v>2018</v>
      </c>
      <c r="B28" s="1"/>
      <c r="C28" s="1"/>
      <c r="D28" s="1"/>
      <c r="E28" s="1"/>
      <c r="F28" s="1"/>
      <c r="G28" s="156">
        <v>851</v>
      </c>
      <c r="H28" s="156">
        <v>657</v>
      </c>
      <c r="I28" s="156">
        <v>1230</v>
      </c>
      <c r="J28" s="1"/>
      <c r="K28" s="156">
        <v>468</v>
      </c>
      <c r="L28" s="1"/>
      <c r="M28" s="156">
        <v>523</v>
      </c>
      <c r="N28" s="156">
        <v>146</v>
      </c>
      <c r="O28" s="156">
        <v>19</v>
      </c>
      <c r="P28" s="1"/>
      <c r="Q28" s="1"/>
      <c r="R28" s="1"/>
      <c r="S28" s="1"/>
      <c r="T28" s="1"/>
      <c r="U28" s="1"/>
      <c r="V28" s="1"/>
      <c r="W28" s="1"/>
      <c r="X28" s="1">
        <v>3525</v>
      </c>
      <c r="Y28" s="7"/>
      <c r="Z28" s="613">
        <v>15</v>
      </c>
      <c r="AD28">
        <f t="shared" si="0"/>
        <v>2.8658536585365852</v>
      </c>
      <c r="AE28">
        <v>2018</v>
      </c>
      <c r="AF28" s="1">
        <v>3525</v>
      </c>
      <c r="AG28" s="434">
        <v>5000</v>
      </c>
      <c r="AH28" s="434"/>
      <c r="AI28" s="434"/>
      <c r="AJ28" s="434"/>
      <c r="AK28"/>
      <c r="AL28"/>
      <c r="AM28"/>
      <c r="AN28"/>
      <c r="AY28"/>
      <c r="AZ28" s="165"/>
      <c r="BA28" s="167"/>
      <c r="BB28" s="167"/>
      <c r="BC28" s="167"/>
      <c r="BD28" s="167"/>
      <c r="BE28" s="167"/>
      <c r="BF28" s="167"/>
      <c r="BG28" s="167"/>
      <c r="BH28" s="180"/>
      <c r="BI28"/>
      <c r="BL28" s="185"/>
      <c r="BM28" s="217"/>
      <c r="BO28" s="183"/>
      <c r="BP28" s="217"/>
      <c r="BR28" s="172"/>
      <c r="BS28"/>
      <c r="BT28" s="172"/>
    </row>
    <row r="29" spans="1:105" s="8" customFormat="1" ht="18" customHeight="1" x14ac:dyDescent="0.2">
      <c r="A29" s="1">
        <v>2019</v>
      </c>
      <c r="B29" s="1"/>
      <c r="C29" s="1"/>
      <c r="D29" s="1"/>
      <c r="E29" s="1"/>
      <c r="F29" s="1"/>
      <c r="G29" s="536">
        <v>859</v>
      </c>
      <c r="H29" s="245">
        <v>339</v>
      </c>
      <c r="I29" s="688">
        <v>467</v>
      </c>
      <c r="J29" s="156">
        <v>444</v>
      </c>
      <c r="K29" s="536">
        <v>147</v>
      </c>
      <c r="L29" s="156">
        <v>154</v>
      </c>
      <c r="M29" s="683">
        <v>81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>
        <f>1888+63</f>
        <v>1951</v>
      </c>
      <c r="Y29" s="7" t="s">
        <v>5</v>
      </c>
      <c r="Z29" s="613">
        <v>15</v>
      </c>
      <c r="AA29" s="8" t="s">
        <v>393</v>
      </c>
      <c r="AD29">
        <f t="shared" si="0"/>
        <v>2.2712456344586727</v>
      </c>
      <c r="AE29"/>
      <c r="AF29"/>
      <c r="AG29"/>
      <c r="AH29"/>
      <c r="AI29"/>
      <c r="AJ29"/>
      <c r="AK29"/>
      <c r="AL29"/>
      <c r="AM29"/>
      <c r="AN29"/>
      <c r="AY29"/>
      <c r="AZ29" s="165"/>
      <c r="BA29" s="167"/>
      <c r="BB29" s="167"/>
      <c r="BC29" s="167"/>
      <c r="BD29" s="167"/>
      <c r="BE29" s="167"/>
      <c r="BF29" s="167"/>
      <c r="BG29" s="167"/>
      <c r="BH29" s="180"/>
      <c r="BI29"/>
      <c r="BL29" s="185"/>
      <c r="BM29" s="217"/>
      <c r="BO29" s="183"/>
      <c r="BP29" s="217"/>
      <c r="BR29" s="172"/>
      <c r="BS29"/>
      <c r="BT29" s="172"/>
    </row>
    <row r="30" spans="1:105" s="8" customFormat="1" ht="18" customHeight="1" x14ac:dyDescent="0.2">
      <c r="A30" s="1">
        <v>2020</v>
      </c>
      <c r="B30" s="1"/>
      <c r="C30" s="1"/>
      <c r="D30" s="1"/>
      <c r="E30" s="1"/>
      <c r="F30" s="1"/>
      <c r="G30" s="156">
        <v>28</v>
      </c>
      <c r="H30" s="156">
        <v>110</v>
      </c>
      <c r="I30" s="1"/>
      <c r="J30" s="156">
        <v>891</v>
      </c>
      <c r="K30" s="1"/>
      <c r="L30" s="1"/>
      <c r="M30" s="156">
        <v>120</v>
      </c>
      <c r="N30" s="106">
        <v>24</v>
      </c>
      <c r="O30" s="1"/>
      <c r="P30" s="1"/>
      <c r="Q30" s="1"/>
      <c r="R30" s="1"/>
      <c r="S30" s="1"/>
      <c r="T30" s="1"/>
      <c r="U30" s="1"/>
      <c r="V30" s="1"/>
      <c r="W30" s="1"/>
      <c r="X30" s="1">
        <v>2496</v>
      </c>
      <c r="Y30" s="7" t="s">
        <v>5</v>
      </c>
      <c r="Z30" s="613">
        <v>15</v>
      </c>
      <c r="AD30">
        <f t="shared" si="0"/>
        <v>2.8013468013468015</v>
      </c>
      <c r="AE30"/>
      <c r="AF30"/>
      <c r="AG30"/>
      <c r="AH30"/>
      <c r="AI30"/>
      <c r="AJ30"/>
      <c r="AK30"/>
      <c r="AL30"/>
      <c r="AM30"/>
      <c r="AN30"/>
      <c r="AY30"/>
      <c r="AZ30" s="165"/>
      <c r="BA30" s="167"/>
      <c r="BB30" s="167"/>
      <c r="BC30" s="167"/>
      <c r="BD30" s="167"/>
      <c r="BE30" s="167"/>
      <c r="BF30" s="167"/>
      <c r="BG30" s="167"/>
      <c r="BH30" s="180"/>
      <c r="BI30"/>
      <c r="BL30" s="185"/>
      <c r="BM30" s="217"/>
      <c r="BO30" s="183"/>
      <c r="BP30" s="217"/>
      <c r="BR30" s="172"/>
      <c r="BS30"/>
      <c r="BT30" s="172"/>
    </row>
    <row r="31" spans="1:105" s="94" customFormat="1" ht="18" customHeight="1" x14ac:dyDescent="0.2">
      <c r="A31" s="227">
        <v>2021</v>
      </c>
      <c r="B31" s="227"/>
      <c r="C31" s="227"/>
      <c r="D31" s="227"/>
      <c r="E31" s="227"/>
      <c r="F31" s="106">
        <v>0</v>
      </c>
      <c r="G31" s="558"/>
      <c r="H31" s="558"/>
      <c r="I31" s="156">
        <v>2081</v>
      </c>
      <c r="J31" s="558"/>
      <c r="K31" s="156">
        <v>771</v>
      </c>
      <c r="L31" s="227"/>
      <c r="M31" s="558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>
        <v>4548</v>
      </c>
      <c r="Y31" s="11"/>
      <c r="Z31" s="746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Y31" s="151"/>
      <c r="AZ31" s="299"/>
      <c r="BA31" s="369"/>
      <c r="BB31" s="369"/>
      <c r="BC31" s="369"/>
      <c r="BD31" s="369"/>
      <c r="BE31" s="369"/>
      <c r="BF31" s="369"/>
      <c r="BG31" s="369"/>
      <c r="BH31" s="747"/>
      <c r="BI31" s="151"/>
      <c r="BL31" s="185"/>
      <c r="BO31" s="748"/>
      <c r="BR31" s="749"/>
      <c r="BS31" s="151"/>
      <c r="BT31" s="749"/>
    </row>
    <row r="32" spans="1:105" s="94" customFormat="1" ht="18" customHeight="1" x14ac:dyDescent="0.2">
      <c r="A32" s="227">
        <v>2022</v>
      </c>
      <c r="B32" s="227"/>
      <c r="C32" s="227"/>
      <c r="D32" s="227"/>
      <c r="E32" s="227"/>
      <c r="F32" s="227"/>
      <c r="G32" s="240">
        <v>489</v>
      </c>
      <c r="H32" s="240">
        <v>650</v>
      </c>
      <c r="I32" s="558"/>
      <c r="J32" s="156">
        <v>486</v>
      </c>
      <c r="K32" s="558"/>
      <c r="L32" s="156">
        <v>87</v>
      </c>
      <c r="M32" s="558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>
        <v>1131</v>
      </c>
      <c r="Y32" s="7" t="s">
        <v>5</v>
      </c>
      <c r="Z32" s="746">
        <v>20</v>
      </c>
      <c r="AA32" s="8" t="s">
        <v>393</v>
      </c>
      <c r="AB32" s="94" t="s">
        <v>569</v>
      </c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Y32" s="151"/>
      <c r="AZ32" s="299"/>
      <c r="BA32" s="369"/>
      <c r="BB32" s="369"/>
      <c r="BC32" s="369"/>
      <c r="BD32" s="369"/>
      <c r="BE32" s="369"/>
      <c r="BF32" s="369"/>
      <c r="BG32" s="369"/>
      <c r="BH32" s="747"/>
      <c r="BI32" s="151"/>
      <c r="BL32" s="185"/>
      <c r="BO32" s="748"/>
      <c r="BR32" s="749"/>
      <c r="BS32" s="151"/>
      <c r="BT32" s="749"/>
    </row>
    <row r="33" spans="1:73" s="94" customFormat="1" ht="18" customHeight="1" x14ac:dyDescent="0.2">
      <c r="A33" s="227">
        <v>2023</v>
      </c>
      <c r="B33" s="227"/>
      <c r="C33" s="227"/>
      <c r="D33" s="227"/>
      <c r="E33" s="227"/>
      <c r="F33" s="106">
        <v>4500</v>
      </c>
      <c r="G33" s="106">
        <v>4500</v>
      </c>
      <c r="H33" s="227"/>
      <c r="I33" s="227"/>
      <c r="J33" s="106">
        <v>926</v>
      </c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7"/>
      <c r="Z33" s="746"/>
      <c r="AA33" s="8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Y33" s="151"/>
      <c r="AZ33" s="299"/>
      <c r="BA33" s="369"/>
      <c r="BB33" s="369"/>
      <c r="BC33" s="369"/>
      <c r="BD33" s="369"/>
      <c r="BE33" s="369"/>
      <c r="BF33" s="369"/>
      <c r="BG33" s="369"/>
      <c r="BH33" s="747"/>
      <c r="BI33" s="151"/>
      <c r="BL33" s="185"/>
      <c r="BO33" s="748"/>
      <c r="BR33" s="749"/>
      <c r="BS33" s="151"/>
      <c r="BT33" s="749"/>
    </row>
    <row r="34" spans="1:73" s="8" customFormat="1" ht="18" customHeight="1" x14ac:dyDescent="0.2">
      <c r="A34" s="64" t="s">
        <v>17</v>
      </c>
      <c r="B34" s="16"/>
      <c r="C34" s="16"/>
      <c r="D34" s="16">
        <f>AVERAGE(D5:D25)</f>
        <v>0</v>
      </c>
      <c r="E34" s="16">
        <f>AVERAGE(E5:E25)</f>
        <v>66.666666666666671</v>
      </c>
      <c r="F34" s="16">
        <f>AVERAGE(F5:F25)</f>
        <v>211.25</v>
      </c>
      <c r="G34" s="16">
        <f t="shared" ref="G34:T34" si="18">AVERAGE(G5:G25)</f>
        <v>306.16666666666669</v>
      </c>
      <c r="H34" s="16">
        <f t="shared" si="18"/>
        <v>543.23076923076928</v>
      </c>
      <c r="I34" s="16">
        <f t="shared" si="18"/>
        <v>902.33333333333337</v>
      </c>
      <c r="J34" s="16">
        <f t="shared" si="18"/>
        <v>597.35294117647061</v>
      </c>
      <c r="K34" s="16">
        <f t="shared" si="18"/>
        <v>456.5263157894737</v>
      </c>
      <c r="L34" s="16">
        <f t="shared" si="18"/>
        <v>170.86666666666667</v>
      </c>
      <c r="M34" s="16">
        <f t="shared" si="18"/>
        <v>168.35714285714286</v>
      </c>
      <c r="N34" s="16">
        <f t="shared" si="18"/>
        <v>56.588235294117645</v>
      </c>
      <c r="O34" s="16">
        <f t="shared" si="18"/>
        <v>11.6</v>
      </c>
      <c r="P34" s="16">
        <f t="shared" si="18"/>
        <v>3.7142857142857144</v>
      </c>
      <c r="Q34" s="16">
        <f t="shared" si="18"/>
        <v>0</v>
      </c>
      <c r="R34" s="16">
        <f t="shared" si="18"/>
        <v>1.5</v>
      </c>
      <c r="S34" s="16">
        <f t="shared" si="18"/>
        <v>0</v>
      </c>
      <c r="T34" s="16">
        <f t="shared" si="18"/>
        <v>0</v>
      </c>
      <c r="U34" s="16"/>
      <c r="V34" s="16"/>
      <c r="W34" s="16"/>
      <c r="X34" s="16">
        <f>AVERAGE(X5:X19)</f>
        <v>1152.5999999999999</v>
      </c>
      <c r="Y34" s="17"/>
      <c r="Z34" s="16">
        <f>AVERAGE(Z5:Z19)</f>
        <v>17.666666666666668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Y34"/>
      <c r="AZ34" s="165" t="s">
        <v>130</v>
      </c>
      <c r="BA34" s="167"/>
      <c r="BB34" s="169">
        <v>8</v>
      </c>
      <c r="BC34" s="167"/>
      <c r="BD34"/>
      <c r="BE34" s="169">
        <v>8</v>
      </c>
      <c r="BL34" s="185">
        <v>41210</v>
      </c>
      <c r="BM34" s="217">
        <v>55</v>
      </c>
      <c r="BO34" s="183">
        <f t="shared" si="3"/>
        <v>0.70512820512820518</v>
      </c>
      <c r="BP34" s="217">
        <v>78</v>
      </c>
      <c r="BR34" s="172">
        <f>(BL34-BL25)*(BM34+BM25)</f>
        <v>828</v>
      </c>
      <c r="BS34"/>
      <c r="BT34" s="172">
        <f>(BL34-BL25)*(BP34+BP25)</f>
        <v>1000</v>
      </c>
    </row>
    <row r="35" spans="1:73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Z35" s="165" t="s">
        <v>131</v>
      </c>
      <c r="BA35" s="167"/>
      <c r="BB35" s="181">
        <f>(0.5*SUM(BG9:BG23))/BB34</f>
        <v>6750.8125</v>
      </c>
      <c r="BC35" s="167"/>
      <c r="BE35" s="181">
        <f>(0.5*SUM(BI9:BI23))/BE34</f>
        <v>7564.6875</v>
      </c>
      <c r="BF35" s="8"/>
      <c r="BG35" s="8"/>
      <c r="BH35" s="8"/>
      <c r="BI35" s="8"/>
      <c r="BL35" s="185">
        <v>41223</v>
      </c>
      <c r="BM35" s="218">
        <v>7</v>
      </c>
      <c r="BO35" s="183">
        <f t="shared" si="3"/>
        <v>0.77777777777777779</v>
      </c>
      <c r="BP35" s="218">
        <v>9</v>
      </c>
      <c r="BR35" s="172">
        <f t="shared" si="10"/>
        <v>806</v>
      </c>
      <c r="BS35"/>
      <c r="BT35" s="172">
        <f t="shared" si="11"/>
        <v>1131</v>
      </c>
      <c r="BU35" s="8"/>
    </row>
    <row r="36" spans="1:73" ht="18" customHeight="1" x14ac:dyDescent="0.2">
      <c r="A36" s="1002" t="s">
        <v>612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BK36" s="8"/>
      <c r="BL36" s="185">
        <v>41228</v>
      </c>
      <c r="BM36" s="170">
        <v>0</v>
      </c>
      <c r="BN36"/>
      <c r="BO36" s="171"/>
      <c r="BP36" s="182">
        <v>0</v>
      </c>
      <c r="BQ36"/>
      <c r="BR36" s="172">
        <f t="shared" si="10"/>
        <v>35</v>
      </c>
      <c r="BS36"/>
      <c r="BT36" s="172">
        <f t="shared" si="11"/>
        <v>45</v>
      </c>
      <c r="BU36" s="8"/>
    </row>
    <row r="37" spans="1:73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  <c r="BK37" s="165" t="s">
        <v>128</v>
      </c>
      <c r="BL37" s="175"/>
      <c r="BM37" s="176"/>
      <c r="BN37"/>
      <c r="BO37" s="177"/>
      <c r="BP37" s="178"/>
      <c r="BQ37" s="179"/>
      <c r="BR37" s="172">
        <f>(BL37-BL36)*(BM37+BM36)</f>
        <v>0</v>
      </c>
      <c r="BS37"/>
      <c r="BT37" s="172">
        <f>(BL37-BL36)*(BP37+BP36)</f>
        <v>0</v>
      </c>
      <c r="BU37" s="8"/>
    </row>
    <row r="38" spans="1:73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  <c r="AA38" s="1016" t="s">
        <v>379</v>
      </c>
      <c r="AB38" s="1016"/>
      <c r="BK38" s="165" t="s">
        <v>2</v>
      </c>
      <c r="BL38" s="167">
        <v>7</v>
      </c>
      <c r="BM38" s="167"/>
      <c r="BN38" s="167"/>
      <c r="BO38"/>
      <c r="BP38"/>
      <c r="BQ38"/>
      <c r="BR38"/>
      <c r="BS38"/>
      <c r="BT38"/>
    </row>
    <row r="39" spans="1:73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A39" s="2" t="s">
        <v>380</v>
      </c>
      <c r="AB39" t="s">
        <v>378</v>
      </c>
      <c r="AC39" t="s">
        <v>142</v>
      </c>
      <c r="BK39" s="165" t="s">
        <v>129</v>
      </c>
      <c r="BL39" s="167"/>
      <c r="BM39" s="167">
        <f>MAX(BM8:BM37)</f>
        <v>725</v>
      </c>
      <c r="BN39" s="167"/>
      <c r="BO39" s="167"/>
      <c r="BP39" s="167">
        <f>MAX(BP8:BP37)</f>
        <v>967</v>
      </c>
      <c r="BQ39" s="167"/>
      <c r="BR39" s="167"/>
      <c r="BS39" s="180"/>
      <c r="BT39"/>
    </row>
    <row r="40" spans="1:73" ht="18" customHeight="1" x14ac:dyDescent="0.2">
      <c r="A40" s="1">
        <v>1995</v>
      </c>
      <c r="B40" s="6"/>
      <c r="C40" s="6"/>
      <c r="D40" s="6"/>
      <c r="E40" s="6"/>
      <c r="F40" s="6"/>
      <c r="G40" s="6"/>
      <c r="H40" s="6">
        <v>10</v>
      </c>
      <c r="I40" s="6">
        <v>4</v>
      </c>
      <c r="J40" s="6">
        <v>47</v>
      </c>
      <c r="K40" s="6"/>
      <c r="L40" s="6"/>
      <c r="M40" s="6">
        <v>768</v>
      </c>
      <c r="N40" s="6">
        <v>888</v>
      </c>
      <c r="O40" s="6"/>
      <c r="P40" s="6"/>
      <c r="Q40" s="6"/>
      <c r="R40" s="6"/>
      <c r="S40" s="6"/>
      <c r="T40" s="13"/>
      <c r="U40" s="13"/>
      <c r="V40" s="13"/>
      <c r="W40" s="13"/>
      <c r="X40" s="29">
        <v>888</v>
      </c>
      <c r="Y40" s="7" t="s">
        <v>7</v>
      </c>
      <c r="Z40" s="58"/>
      <c r="AA40" s="2" t="s">
        <v>316</v>
      </c>
      <c r="AB40" t="s">
        <v>381</v>
      </c>
      <c r="AC40">
        <f t="shared" ref="AC40:AC65" si="19">X40/MAX(B40:W40)</f>
        <v>1</v>
      </c>
      <c r="BK40" s="165" t="s">
        <v>130</v>
      </c>
      <c r="BL40" s="167"/>
      <c r="BM40" s="169">
        <v>15</v>
      </c>
      <c r="BN40" s="167"/>
      <c r="BO40"/>
      <c r="BP40" s="169">
        <v>15</v>
      </c>
      <c r="BQ40" s="8"/>
      <c r="BR40" s="8"/>
      <c r="BS40" s="8"/>
      <c r="BT40" s="8"/>
    </row>
    <row r="41" spans="1:73" ht="18" customHeight="1" x14ac:dyDescent="0.2">
      <c r="A41" s="1">
        <v>1996</v>
      </c>
      <c r="B41" s="6"/>
      <c r="C41" s="6"/>
      <c r="D41" s="6">
        <v>3</v>
      </c>
      <c r="E41" s="6"/>
      <c r="F41" s="6"/>
      <c r="G41" s="6">
        <v>11</v>
      </c>
      <c r="H41" s="6">
        <v>1</v>
      </c>
      <c r="I41" s="6">
        <v>0</v>
      </c>
      <c r="J41" s="6">
        <v>0</v>
      </c>
      <c r="K41" s="6">
        <v>163</v>
      </c>
      <c r="L41" s="6"/>
      <c r="M41" s="6"/>
      <c r="N41" s="6">
        <v>503</v>
      </c>
      <c r="O41" s="6"/>
      <c r="P41" s="6">
        <v>714</v>
      </c>
      <c r="Q41" s="6"/>
      <c r="R41" s="6"/>
      <c r="S41" s="6"/>
      <c r="T41" s="13"/>
      <c r="U41" s="13"/>
      <c r="V41" s="13"/>
      <c r="W41" s="13"/>
      <c r="X41" s="29">
        <v>714</v>
      </c>
      <c r="Y41" s="7" t="s">
        <v>7</v>
      </c>
      <c r="Z41" s="60"/>
      <c r="AA41" s="2" t="s">
        <v>388</v>
      </c>
      <c r="AB41" t="s">
        <v>381</v>
      </c>
      <c r="AC41">
        <f t="shared" si="19"/>
        <v>1</v>
      </c>
      <c r="BK41" s="165" t="s">
        <v>131</v>
      </c>
      <c r="BL41" s="167"/>
      <c r="BM41" s="181">
        <f>(0.5*SUM(BR9:BR37))/BM40</f>
        <v>798.86666666666667</v>
      </c>
      <c r="BN41" s="167"/>
      <c r="BO41"/>
      <c r="BP41" s="181">
        <f>(0.5*SUM(BT9:BT37))/BP40</f>
        <v>1003.5</v>
      </c>
      <c r="BQ41" s="8"/>
      <c r="BR41" s="8"/>
      <c r="BS41" s="8"/>
      <c r="BT41" s="8"/>
    </row>
    <row r="42" spans="1:73" ht="18" customHeight="1" x14ac:dyDescent="0.2">
      <c r="A42" s="1">
        <v>1997</v>
      </c>
      <c r="B42" s="6"/>
      <c r="C42" s="6"/>
      <c r="D42" s="6"/>
      <c r="E42" s="6"/>
      <c r="F42" s="6"/>
      <c r="G42" s="6"/>
      <c r="H42" s="6">
        <v>2</v>
      </c>
      <c r="I42" s="6">
        <v>18</v>
      </c>
      <c r="J42" s="6">
        <v>5</v>
      </c>
      <c r="K42" s="6">
        <v>336</v>
      </c>
      <c r="L42" s="6"/>
      <c r="M42" s="6">
        <v>231</v>
      </c>
      <c r="N42" s="6"/>
      <c r="O42" s="6">
        <v>58</v>
      </c>
      <c r="P42" s="6">
        <v>397</v>
      </c>
      <c r="Q42" s="6"/>
      <c r="R42" s="6"/>
      <c r="S42" s="6"/>
      <c r="T42" s="13"/>
      <c r="U42" s="13"/>
      <c r="V42" s="13"/>
      <c r="W42" s="13"/>
      <c r="X42" s="29">
        <v>510</v>
      </c>
      <c r="Y42" s="7" t="s">
        <v>5</v>
      </c>
      <c r="Z42" s="58">
        <v>35</v>
      </c>
      <c r="AA42" s="2" t="s">
        <v>389</v>
      </c>
      <c r="AB42" t="s">
        <v>381</v>
      </c>
      <c r="AC42">
        <f t="shared" si="19"/>
        <v>1.2846347607052897</v>
      </c>
    </row>
    <row r="43" spans="1:73" ht="18" customHeight="1" x14ac:dyDescent="0.2">
      <c r="A43" s="1">
        <v>1998</v>
      </c>
      <c r="B43" s="6"/>
      <c r="C43" s="6">
        <v>0</v>
      </c>
      <c r="D43" s="6"/>
      <c r="E43" s="6"/>
      <c r="F43" s="6"/>
      <c r="G43" s="6"/>
      <c r="H43" s="6">
        <v>0</v>
      </c>
      <c r="I43" s="6"/>
      <c r="J43" s="6"/>
      <c r="K43" s="6">
        <v>52</v>
      </c>
      <c r="L43" s="6"/>
      <c r="M43" s="6">
        <v>575</v>
      </c>
      <c r="N43" s="6">
        <v>248</v>
      </c>
      <c r="O43" s="6">
        <v>424</v>
      </c>
      <c r="P43" s="6">
        <v>284</v>
      </c>
      <c r="Q43" s="6"/>
      <c r="R43" s="6"/>
      <c r="S43" s="6"/>
      <c r="T43" s="13">
        <v>78</v>
      </c>
      <c r="U43" s="13"/>
      <c r="V43" s="13"/>
      <c r="W43" s="13"/>
      <c r="X43" s="29">
        <v>860</v>
      </c>
      <c r="Y43" s="7" t="s">
        <v>5</v>
      </c>
      <c r="Z43" s="58">
        <v>25</v>
      </c>
      <c r="AA43" s="2" t="s">
        <v>370</v>
      </c>
      <c r="AB43" t="s">
        <v>381</v>
      </c>
      <c r="AC43">
        <f t="shared" si="19"/>
        <v>1.4956521739130435</v>
      </c>
    </row>
    <row r="44" spans="1:73" ht="18" customHeight="1" x14ac:dyDescent="0.2">
      <c r="A44" s="1">
        <v>1999</v>
      </c>
      <c r="B44" s="6"/>
      <c r="C44" s="6"/>
      <c r="D44" s="6"/>
      <c r="E44" s="6"/>
      <c r="F44" s="6"/>
      <c r="G44" s="6"/>
      <c r="H44" s="6">
        <v>7</v>
      </c>
      <c r="I44" s="6">
        <v>9</v>
      </c>
      <c r="J44" s="6"/>
      <c r="K44" s="6">
        <v>41</v>
      </c>
      <c r="L44" s="6"/>
      <c r="M44" s="6"/>
      <c r="N44" s="6">
        <v>122</v>
      </c>
      <c r="O44" s="6"/>
      <c r="P44" s="6"/>
      <c r="Q44" s="6"/>
      <c r="R44" s="6">
        <v>330</v>
      </c>
      <c r="S44" s="6"/>
      <c r="T44" s="13"/>
      <c r="U44" s="13"/>
      <c r="V44" s="13"/>
      <c r="W44" s="13"/>
      <c r="X44" s="29">
        <v>654</v>
      </c>
      <c r="Y44" s="7" t="s">
        <v>5</v>
      </c>
      <c r="Z44" s="58">
        <v>30</v>
      </c>
      <c r="AA44" s="2" t="s">
        <v>370</v>
      </c>
      <c r="AB44" t="s">
        <v>381</v>
      </c>
      <c r="AC44">
        <f t="shared" si="19"/>
        <v>1.9818181818181819</v>
      </c>
    </row>
    <row r="45" spans="1:73" ht="18" customHeight="1" x14ac:dyDescent="0.2">
      <c r="A45" s="1">
        <v>2000</v>
      </c>
      <c r="B45" s="6"/>
      <c r="C45" s="6"/>
      <c r="D45" s="6"/>
      <c r="E45" s="6"/>
      <c r="F45" s="6"/>
      <c r="G45" s="6"/>
      <c r="H45" s="6"/>
      <c r="I45" s="6">
        <v>11</v>
      </c>
      <c r="J45" s="6">
        <v>7</v>
      </c>
      <c r="K45" s="6">
        <v>19</v>
      </c>
      <c r="L45" s="6">
        <v>27</v>
      </c>
      <c r="M45" s="6"/>
      <c r="N45" s="6">
        <v>101</v>
      </c>
      <c r="O45" s="6"/>
      <c r="P45" s="6"/>
      <c r="Q45" s="6">
        <v>19</v>
      </c>
      <c r="R45" s="6"/>
      <c r="S45" s="6"/>
      <c r="T45" s="13"/>
      <c r="U45" s="13"/>
      <c r="V45" s="13"/>
      <c r="W45" s="13"/>
      <c r="X45" s="29">
        <v>750</v>
      </c>
      <c r="Y45" s="7" t="s">
        <v>7</v>
      </c>
      <c r="Z45" s="58"/>
      <c r="AA45" s="2" t="s">
        <v>389</v>
      </c>
      <c r="AB45" t="s">
        <v>381</v>
      </c>
      <c r="AC45">
        <f t="shared" si="19"/>
        <v>7.4257425742574261</v>
      </c>
    </row>
    <row r="46" spans="1:73" ht="18" customHeight="1" x14ac:dyDescent="0.2">
      <c r="A46" s="1">
        <v>2001</v>
      </c>
      <c r="B46" s="6"/>
      <c r="C46" s="6"/>
      <c r="D46" s="6"/>
      <c r="E46" s="6"/>
      <c r="F46" s="6"/>
      <c r="G46" s="6">
        <v>0</v>
      </c>
      <c r="H46" s="6"/>
      <c r="I46" s="6">
        <v>35</v>
      </c>
      <c r="J46" s="6">
        <v>104</v>
      </c>
      <c r="K46" s="6"/>
      <c r="L46" s="6">
        <v>188</v>
      </c>
      <c r="M46" s="6">
        <v>250</v>
      </c>
      <c r="N46" s="6">
        <v>274</v>
      </c>
      <c r="O46" s="6">
        <v>7</v>
      </c>
      <c r="P46" s="6"/>
      <c r="Q46" s="6"/>
      <c r="R46" s="6">
        <v>376</v>
      </c>
      <c r="S46" s="6"/>
      <c r="T46" s="13"/>
      <c r="U46" s="13"/>
      <c r="V46" s="13"/>
      <c r="W46" s="13"/>
      <c r="X46" s="29">
        <v>477</v>
      </c>
      <c r="Y46" s="7" t="s">
        <v>5</v>
      </c>
      <c r="Z46" s="58">
        <v>45</v>
      </c>
      <c r="AA46" s="2" t="s">
        <v>370</v>
      </c>
      <c r="AB46" t="s">
        <v>381</v>
      </c>
      <c r="AC46">
        <f t="shared" si="19"/>
        <v>1.2686170212765957</v>
      </c>
    </row>
    <row r="47" spans="1:73" ht="18" customHeight="1" x14ac:dyDescent="0.2">
      <c r="A47" s="1">
        <v>2002</v>
      </c>
      <c r="B47" s="6"/>
      <c r="C47" s="6"/>
      <c r="D47" s="6"/>
      <c r="E47" s="6"/>
      <c r="F47" s="6"/>
      <c r="G47" s="6">
        <v>5</v>
      </c>
      <c r="H47" s="6">
        <v>15</v>
      </c>
      <c r="I47" s="6">
        <v>26</v>
      </c>
      <c r="J47" s="6"/>
      <c r="K47" s="6">
        <v>16</v>
      </c>
      <c r="L47" s="6">
        <v>3</v>
      </c>
      <c r="M47" s="6">
        <v>2</v>
      </c>
      <c r="N47" s="6"/>
      <c r="O47" s="6">
        <v>6</v>
      </c>
      <c r="P47" s="6">
        <v>74</v>
      </c>
      <c r="Q47" s="6"/>
      <c r="R47" s="6">
        <v>235</v>
      </c>
      <c r="S47" s="6">
        <v>280</v>
      </c>
      <c r="T47" s="13"/>
      <c r="U47" s="13"/>
      <c r="V47" s="13"/>
      <c r="W47" s="13"/>
      <c r="X47" s="29">
        <v>326</v>
      </c>
      <c r="Y47" s="7" t="s">
        <v>5</v>
      </c>
      <c r="Z47" s="60">
        <v>30</v>
      </c>
      <c r="AA47" s="2" t="s">
        <v>372</v>
      </c>
      <c r="AB47" t="s">
        <v>381</v>
      </c>
      <c r="AC47">
        <f t="shared" si="19"/>
        <v>1.1642857142857144</v>
      </c>
    </row>
    <row r="48" spans="1:73" ht="18" customHeight="1" x14ac:dyDescent="0.2">
      <c r="A48" s="1">
        <v>2003</v>
      </c>
      <c r="B48" s="6"/>
      <c r="C48" s="6"/>
      <c r="D48" s="6"/>
      <c r="E48" s="6"/>
      <c r="F48" s="6"/>
      <c r="G48" s="6"/>
      <c r="H48" s="6">
        <v>0</v>
      </c>
      <c r="I48" s="6">
        <v>19</v>
      </c>
      <c r="J48" s="6">
        <v>8</v>
      </c>
      <c r="K48" s="6">
        <v>32</v>
      </c>
      <c r="L48" s="6">
        <v>0</v>
      </c>
      <c r="M48" s="6"/>
      <c r="N48" s="6">
        <v>1058</v>
      </c>
      <c r="O48" s="6">
        <v>1273</v>
      </c>
      <c r="P48" s="6">
        <v>656</v>
      </c>
      <c r="Q48" s="6"/>
      <c r="R48" s="6"/>
      <c r="S48" s="6"/>
      <c r="T48" s="13"/>
      <c r="U48" s="13"/>
      <c r="V48" s="13"/>
      <c r="W48" s="13"/>
      <c r="X48" s="29">
        <v>1719</v>
      </c>
      <c r="Y48" s="7" t="s">
        <v>5</v>
      </c>
      <c r="Z48" s="58">
        <v>21</v>
      </c>
      <c r="AA48" s="2" t="s">
        <v>374</v>
      </c>
      <c r="AB48" t="s">
        <v>381</v>
      </c>
      <c r="AC48">
        <f t="shared" si="19"/>
        <v>1.3503534956794971</v>
      </c>
    </row>
    <row r="49" spans="1:58" ht="18" customHeight="1" x14ac:dyDescent="0.2">
      <c r="A49" s="1">
        <v>2004</v>
      </c>
      <c r="B49" s="6"/>
      <c r="C49" s="6"/>
      <c r="D49" s="6"/>
      <c r="E49" s="6"/>
      <c r="F49" s="6"/>
      <c r="G49" s="6"/>
      <c r="H49" s="6"/>
      <c r="I49" s="6">
        <v>274</v>
      </c>
      <c r="J49" s="6"/>
      <c r="K49" s="6">
        <v>188</v>
      </c>
      <c r="L49" s="6">
        <v>1506</v>
      </c>
      <c r="M49" s="6"/>
      <c r="N49" s="6">
        <v>1591</v>
      </c>
      <c r="O49" s="6">
        <v>1099</v>
      </c>
      <c r="P49" s="6"/>
      <c r="Q49" s="6">
        <v>77</v>
      </c>
      <c r="R49" s="6"/>
      <c r="S49" s="6"/>
      <c r="T49" s="13"/>
      <c r="U49" s="13"/>
      <c r="V49" s="13"/>
      <c r="W49" s="13"/>
      <c r="X49" s="21">
        <v>2252</v>
      </c>
      <c r="Y49" s="7" t="s">
        <v>5</v>
      </c>
      <c r="Z49" s="59">
        <v>22</v>
      </c>
      <c r="AA49" s="2" t="s">
        <v>374</v>
      </c>
      <c r="AB49" t="s">
        <v>381</v>
      </c>
      <c r="AC49">
        <f t="shared" si="19"/>
        <v>1.4154619736015084</v>
      </c>
    </row>
    <row r="50" spans="1:58" ht="18" customHeight="1" x14ac:dyDescent="0.2">
      <c r="A50" s="1">
        <v>2005</v>
      </c>
      <c r="B50" s="6"/>
      <c r="C50" s="6"/>
      <c r="D50" s="6"/>
      <c r="E50" s="6"/>
      <c r="F50" s="6"/>
      <c r="G50" s="6"/>
      <c r="H50" s="6"/>
      <c r="I50" s="6"/>
      <c r="J50" s="6">
        <v>709</v>
      </c>
      <c r="K50" s="6">
        <v>638</v>
      </c>
      <c r="L50" s="6"/>
      <c r="M50" s="6">
        <v>180</v>
      </c>
      <c r="N50" s="6">
        <v>428</v>
      </c>
      <c r="O50" s="6"/>
      <c r="P50" s="6">
        <v>2016</v>
      </c>
      <c r="Q50" s="6"/>
      <c r="R50" s="6">
        <v>1700</v>
      </c>
      <c r="S50" s="6"/>
      <c r="T50" s="13"/>
      <c r="U50" s="13"/>
      <c r="V50" s="13"/>
      <c r="W50" s="13"/>
      <c r="X50" s="29">
        <v>2513</v>
      </c>
      <c r="Y50" s="7" t="s">
        <v>5</v>
      </c>
      <c r="Z50" s="60">
        <v>37.5</v>
      </c>
      <c r="AA50" s="2" t="s">
        <v>372</v>
      </c>
      <c r="AB50" t="s">
        <v>381</v>
      </c>
      <c r="AC50">
        <f t="shared" si="19"/>
        <v>1.2465277777777777</v>
      </c>
    </row>
    <row r="51" spans="1:58" ht="18" customHeight="1" x14ac:dyDescent="0.2">
      <c r="A51" s="1">
        <v>2006</v>
      </c>
      <c r="B51" s="6"/>
      <c r="C51" s="6"/>
      <c r="D51" s="6"/>
      <c r="E51" s="6"/>
      <c r="F51" s="6"/>
      <c r="G51" s="6"/>
      <c r="H51" s="6">
        <v>2</v>
      </c>
      <c r="I51" s="6">
        <v>101</v>
      </c>
      <c r="J51" s="6">
        <v>98</v>
      </c>
      <c r="K51" s="6">
        <v>5</v>
      </c>
      <c r="L51" s="6">
        <v>30</v>
      </c>
      <c r="M51" s="6">
        <v>22</v>
      </c>
      <c r="N51" s="6">
        <v>356</v>
      </c>
      <c r="O51" s="6"/>
      <c r="P51" s="6"/>
      <c r="Q51" s="6"/>
      <c r="R51" s="6"/>
      <c r="S51" s="6"/>
      <c r="T51" s="13"/>
      <c r="U51" s="13"/>
      <c r="V51" s="13"/>
      <c r="W51" s="13"/>
      <c r="X51" s="30">
        <v>380</v>
      </c>
      <c r="Y51" s="7" t="s">
        <v>5</v>
      </c>
      <c r="Z51" s="53">
        <v>30</v>
      </c>
      <c r="AA51" s="2" t="s">
        <v>374</v>
      </c>
      <c r="AB51" t="s">
        <v>381</v>
      </c>
      <c r="AC51">
        <f t="shared" si="19"/>
        <v>1.0674157303370786</v>
      </c>
    </row>
    <row r="52" spans="1:58" ht="18" customHeight="1" x14ac:dyDescent="0.2">
      <c r="A52" s="1">
        <v>2007</v>
      </c>
      <c r="B52" s="6"/>
      <c r="C52" s="6"/>
      <c r="D52" s="6"/>
      <c r="E52" s="6"/>
      <c r="F52" s="6"/>
      <c r="G52" s="6"/>
      <c r="H52" s="6"/>
      <c r="I52" s="6">
        <v>16</v>
      </c>
      <c r="J52" s="6">
        <v>115</v>
      </c>
      <c r="K52" s="6">
        <v>0</v>
      </c>
      <c r="L52" s="6">
        <v>145</v>
      </c>
      <c r="M52" s="6">
        <v>113</v>
      </c>
      <c r="N52" s="6">
        <v>250</v>
      </c>
      <c r="O52" s="6">
        <v>139</v>
      </c>
      <c r="P52" s="6"/>
      <c r="Q52" s="6">
        <v>151</v>
      </c>
      <c r="R52" s="6"/>
      <c r="S52" s="6"/>
      <c r="T52" s="13"/>
      <c r="U52" s="13"/>
      <c r="V52" s="13"/>
      <c r="W52" s="13"/>
      <c r="X52" s="30">
        <v>294</v>
      </c>
      <c r="Y52" s="7" t="s">
        <v>5</v>
      </c>
      <c r="Z52" s="60">
        <v>37.5</v>
      </c>
      <c r="AA52" s="2" t="s">
        <v>374</v>
      </c>
      <c r="AB52" t="s">
        <v>381</v>
      </c>
      <c r="AC52">
        <f t="shared" si="19"/>
        <v>1.1759999999999999</v>
      </c>
    </row>
    <row r="53" spans="1:58" s="55" customFormat="1" ht="18" customHeight="1" x14ac:dyDescent="0.2">
      <c r="A53" s="13">
        <v>2008</v>
      </c>
      <c r="B53" s="13"/>
      <c r="C53" s="13"/>
      <c r="D53" s="13"/>
      <c r="E53" s="13"/>
      <c r="F53" s="13">
        <v>0</v>
      </c>
      <c r="G53" s="13"/>
      <c r="H53" s="13"/>
      <c r="I53" s="13">
        <v>68</v>
      </c>
      <c r="J53" s="13">
        <v>13</v>
      </c>
      <c r="K53" s="13">
        <v>255</v>
      </c>
      <c r="L53" s="13">
        <v>516</v>
      </c>
      <c r="M53" s="13"/>
      <c r="N53" s="13">
        <v>571</v>
      </c>
      <c r="O53" s="13"/>
      <c r="P53" s="13"/>
      <c r="Q53" s="13"/>
      <c r="R53" s="13"/>
      <c r="S53" s="13"/>
      <c r="T53" s="13"/>
      <c r="U53" s="13"/>
      <c r="V53" s="13"/>
      <c r="W53" s="13"/>
      <c r="X53" s="29">
        <v>791</v>
      </c>
      <c r="Y53" s="7" t="s">
        <v>5</v>
      </c>
      <c r="Z53" s="58">
        <v>37.5</v>
      </c>
      <c r="AA53" s="2" t="s">
        <v>374</v>
      </c>
      <c r="AB53" t="s">
        <v>381</v>
      </c>
      <c r="AC53">
        <f t="shared" si="19"/>
        <v>1.3852889667250439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ht="18" customHeight="1" x14ac:dyDescent="0.2">
      <c r="A54" s="13">
        <v>2009</v>
      </c>
      <c r="B54" s="13"/>
      <c r="C54" s="13"/>
      <c r="D54" s="13"/>
      <c r="E54" s="13"/>
      <c r="F54" s="13"/>
      <c r="G54" s="13"/>
      <c r="H54" s="13"/>
      <c r="I54" s="13">
        <v>86</v>
      </c>
      <c r="J54" s="13">
        <v>389</v>
      </c>
      <c r="K54" s="13">
        <v>445</v>
      </c>
      <c r="L54" s="13">
        <v>150</v>
      </c>
      <c r="M54" s="13">
        <v>692</v>
      </c>
      <c r="N54" s="13"/>
      <c r="O54" s="13">
        <v>1046</v>
      </c>
      <c r="P54" s="13"/>
      <c r="Q54" s="13"/>
      <c r="R54" s="13"/>
      <c r="S54" s="13"/>
      <c r="T54" s="13"/>
      <c r="U54" s="13"/>
      <c r="V54" s="13"/>
      <c r="W54" s="13"/>
      <c r="X54" s="29">
        <v>1520</v>
      </c>
      <c r="Y54" s="7" t="s">
        <v>5</v>
      </c>
      <c r="Z54" s="58">
        <v>40</v>
      </c>
      <c r="AA54" s="2" t="s">
        <v>386</v>
      </c>
      <c r="AB54" t="s">
        <v>381</v>
      </c>
      <c r="AC54">
        <f t="shared" si="19"/>
        <v>1.4531548757170172</v>
      </c>
    </row>
    <row r="55" spans="1:58" ht="18" customHeight="1" x14ac:dyDescent="0.2">
      <c r="A55" s="13">
        <v>2010</v>
      </c>
      <c r="B55" s="13"/>
      <c r="C55" s="13"/>
      <c r="D55" s="13"/>
      <c r="E55" s="13">
        <v>0</v>
      </c>
      <c r="F55" s="13"/>
      <c r="G55" s="13"/>
      <c r="H55" s="13">
        <v>145</v>
      </c>
      <c r="I55" s="13"/>
      <c r="J55" s="13">
        <v>167</v>
      </c>
      <c r="K55" s="13">
        <v>234</v>
      </c>
      <c r="L55" s="13">
        <v>662</v>
      </c>
      <c r="M55" s="13">
        <v>639</v>
      </c>
      <c r="N55" s="13">
        <v>744</v>
      </c>
      <c r="O55" s="13"/>
      <c r="P55" s="13"/>
      <c r="Q55" s="13"/>
      <c r="R55" s="13"/>
      <c r="S55" s="13"/>
      <c r="T55" s="13"/>
      <c r="U55" s="13"/>
      <c r="V55" s="13"/>
      <c r="W55" s="13"/>
      <c r="X55" s="29">
        <v>1565</v>
      </c>
      <c r="Y55" s="7"/>
      <c r="Z55" s="58"/>
      <c r="AA55" s="2" t="s">
        <v>386</v>
      </c>
      <c r="AB55" t="s">
        <v>381</v>
      </c>
      <c r="AC55">
        <f t="shared" si="19"/>
        <v>2.103494623655914</v>
      </c>
    </row>
    <row r="56" spans="1:58" ht="18" customHeight="1" x14ac:dyDescent="0.2">
      <c r="A56" s="13">
        <v>2011</v>
      </c>
      <c r="B56" s="13"/>
      <c r="C56" s="13"/>
      <c r="D56" s="13"/>
      <c r="E56" s="13"/>
      <c r="F56" s="13"/>
      <c r="G56" s="13"/>
      <c r="H56" s="13"/>
      <c r="I56" s="13">
        <v>83</v>
      </c>
      <c r="J56" s="13">
        <v>206</v>
      </c>
      <c r="K56" s="13">
        <v>1254</v>
      </c>
      <c r="L56" s="13">
        <v>317</v>
      </c>
      <c r="M56" s="13">
        <v>322</v>
      </c>
      <c r="N56" s="13">
        <v>244</v>
      </c>
      <c r="O56" s="13"/>
      <c r="P56" s="13"/>
      <c r="Q56" s="13"/>
      <c r="R56" s="13"/>
      <c r="S56" s="13"/>
      <c r="T56" s="13"/>
      <c r="U56" s="13"/>
      <c r="V56" s="13"/>
      <c r="W56" s="13"/>
      <c r="X56" s="29">
        <v>1461</v>
      </c>
      <c r="Y56" s="7" t="s">
        <v>9</v>
      </c>
      <c r="Z56" s="58"/>
      <c r="AA56" s="2" t="s">
        <v>374</v>
      </c>
      <c r="AB56" t="s">
        <v>381</v>
      </c>
      <c r="AC56">
        <f t="shared" si="19"/>
        <v>1.1650717703349283</v>
      </c>
    </row>
    <row r="57" spans="1:58" ht="18" customHeight="1" x14ac:dyDescent="0.2">
      <c r="A57" s="13">
        <v>2012</v>
      </c>
      <c r="B57" s="13"/>
      <c r="C57" s="13"/>
      <c r="D57" s="13"/>
      <c r="E57" s="13"/>
      <c r="F57" s="13">
        <v>11</v>
      </c>
      <c r="G57" s="13">
        <v>10</v>
      </c>
      <c r="H57" s="13">
        <v>43</v>
      </c>
      <c r="I57" s="13">
        <v>51</v>
      </c>
      <c r="J57" s="13">
        <v>20</v>
      </c>
      <c r="K57" s="13">
        <v>31</v>
      </c>
      <c r="L57" s="13">
        <v>364</v>
      </c>
      <c r="M57" s="13">
        <v>541</v>
      </c>
      <c r="N57" s="13">
        <v>798</v>
      </c>
      <c r="O57" s="13">
        <v>1142</v>
      </c>
      <c r="P57" s="13"/>
      <c r="Q57" s="13"/>
      <c r="R57" s="13"/>
      <c r="S57" s="13"/>
      <c r="T57" s="13"/>
      <c r="U57" s="13"/>
      <c r="V57" s="13"/>
      <c r="W57" s="13"/>
      <c r="X57" s="29">
        <v>1635</v>
      </c>
      <c r="Y57" s="7" t="s">
        <v>5</v>
      </c>
      <c r="Z57" s="58">
        <v>30</v>
      </c>
      <c r="AA57" s="2" t="s">
        <v>372</v>
      </c>
      <c r="AB57" t="s">
        <v>381</v>
      </c>
      <c r="AC57">
        <f t="shared" si="19"/>
        <v>1.4316987740805605</v>
      </c>
    </row>
    <row r="58" spans="1:58" ht="18" customHeight="1" x14ac:dyDescent="0.2">
      <c r="A58" s="13">
        <v>2013</v>
      </c>
      <c r="B58" s="13"/>
      <c r="C58" s="13"/>
      <c r="D58" s="13"/>
      <c r="E58" s="13"/>
      <c r="F58" s="109">
        <v>52</v>
      </c>
      <c r="G58" s="109">
        <v>26</v>
      </c>
      <c r="H58" s="109">
        <v>48</v>
      </c>
      <c r="I58" s="109">
        <v>560</v>
      </c>
      <c r="J58" s="109">
        <v>366</v>
      </c>
      <c r="K58" s="109">
        <v>567</v>
      </c>
      <c r="L58" s="155">
        <v>1038</v>
      </c>
      <c r="M58" s="109">
        <v>308</v>
      </c>
      <c r="N58" s="109">
        <v>863</v>
      </c>
      <c r="O58" s="13"/>
      <c r="P58" s="13"/>
      <c r="Q58" s="13"/>
      <c r="R58" s="13"/>
      <c r="S58" s="13"/>
      <c r="T58" s="13"/>
      <c r="U58" s="13"/>
      <c r="V58" s="13"/>
      <c r="W58" s="13"/>
      <c r="X58" s="29">
        <v>1542</v>
      </c>
      <c r="Y58" s="7" t="s">
        <v>5</v>
      </c>
      <c r="Z58" s="58">
        <v>20</v>
      </c>
      <c r="AA58" s="2" t="s">
        <v>372</v>
      </c>
      <c r="AB58" t="s">
        <v>381</v>
      </c>
      <c r="AC58">
        <f t="shared" si="19"/>
        <v>1.4855491329479769</v>
      </c>
    </row>
    <row r="59" spans="1:58" ht="18" customHeight="1" x14ac:dyDescent="0.2">
      <c r="A59" s="13">
        <v>2014</v>
      </c>
      <c r="B59" s="13"/>
      <c r="C59" s="13"/>
      <c r="D59" s="13"/>
      <c r="E59" s="13">
        <v>0</v>
      </c>
      <c r="F59" s="13"/>
      <c r="G59" s="13"/>
      <c r="H59" s="13">
        <v>0</v>
      </c>
      <c r="I59" s="13">
        <v>515</v>
      </c>
      <c r="J59" s="13">
        <v>89</v>
      </c>
      <c r="K59" s="13">
        <v>414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29">
        <v>572</v>
      </c>
      <c r="Y59" s="7" t="s">
        <v>9</v>
      </c>
      <c r="Z59" s="58"/>
      <c r="AA59" s="2" t="s">
        <v>374</v>
      </c>
      <c r="AB59" t="s">
        <v>381</v>
      </c>
      <c r="AC59">
        <f t="shared" si="19"/>
        <v>1.1106796116504853</v>
      </c>
    </row>
    <row r="60" spans="1:58" ht="18" customHeight="1" x14ac:dyDescent="0.2">
      <c r="A60" s="13">
        <v>2015</v>
      </c>
      <c r="B60" s="13"/>
      <c r="C60" s="13"/>
      <c r="D60" s="13"/>
      <c r="E60" s="239"/>
      <c r="F60" s="106">
        <v>0</v>
      </c>
      <c r="G60" s="106">
        <v>175</v>
      </c>
      <c r="H60" s="106">
        <v>146</v>
      </c>
      <c r="I60" s="106">
        <v>48</v>
      </c>
      <c r="J60" s="240">
        <v>327</v>
      </c>
      <c r="K60" s="106">
        <v>209</v>
      </c>
      <c r="L60" s="106">
        <v>241</v>
      </c>
      <c r="M60" s="156">
        <v>829</v>
      </c>
      <c r="N60" s="106">
        <v>652</v>
      </c>
      <c r="O60" s="106">
        <v>687</v>
      </c>
      <c r="P60" s="106">
        <v>273</v>
      </c>
      <c r="Q60" s="13"/>
      <c r="R60" s="13"/>
      <c r="S60" s="13"/>
      <c r="T60" s="13"/>
      <c r="U60" s="13"/>
      <c r="V60" s="13"/>
      <c r="W60" s="13"/>
      <c r="X60" s="29">
        <v>1334</v>
      </c>
      <c r="Y60" s="7" t="s">
        <v>5</v>
      </c>
      <c r="Z60" s="58">
        <v>25</v>
      </c>
      <c r="AA60" s="2" t="s">
        <v>372</v>
      </c>
      <c r="AB60" t="s">
        <v>381</v>
      </c>
      <c r="AC60">
        <f t="shared" si="19"/>
        <v>1.6091676718938479</v>
      </c>
    </row>
    <row r="61" spans="1:58" ht="18" customHeight="1" x14ac:dyDescent="0.2">
      <c r="A61" s="13">
        <v>2016</v>
      </c>
      <c r="B61" s="13"/>
      <c r="C61" s="13"/>
      <c r="D61" s="13"/>
      <c r="E61" s="13"/>
      <c r="F61" s="106">
        <v>0</v>
      </c>
      <c r="G61" s="106">
        <v>12</v>
      </c>
      <c r="H61" s="106">
        <v>416</v>
      </c>
      <c r="I61" s="323">
        <v>315</v>
      </c>
      <c r="J61" s="13">
        <v>350</v>
      </c>
      <c r="K61" s="322">
        <v>132</v>
      </c>
      <c r="L61" s="13">
        <v>41</v>
      </c>
      <c r="M61" s="13">
        <v>140</v>
      </c>
      <c r="N61" s="13">
        <v>632</v>
      </c>
      <c r="O61" s="13">
        <v>211</v>
      </c>
      <c r="P61" s="13"/>
      <c r="Q61" s="13"/>
      <c r="R61" s="13"/>
      <c r="S61" s="13"/>
      <c r="T61" s="13"/>
      <c r="U61" s="13"/>
      <c r="V61" s="13"/>
      <c r="W61" s="13"/>
      <c r="X61" s="29">
        <v>982</v>
      </c>
      <c r="Y61" s="7" t="s">
        <v>5</v>
      </c>
      <c r="Z61" s="58">
        <v>23</v>
      </c>
      <c r="AA61" s="2" t="s">
        <v>374</v>
      </c>
      <c r="AB61" t="s">
        <v>381</v>
      </c>
      <c r="AC61">
        <f t="shared" si="19"/>
        <v>1.5537974683544304</v>
      </c>
    </row>
    <row r="62" spans="1:58" ht="18" customHeight="1" x14ac:dyDescent="0.2">
      <c r="A62" s="13">
        <v>2017</v>
      </c>
      <c r="B62" s="13"/>
      <c r="C62" s="13"/>
      <c r="D62" s="13"/>
      <c r="E62" s="239">
        <v>0</v>
      </c>
      <c r="F62" s="106">
        <v>0</v>
      </c>
      <c r="G62" s="106">
        <v>0</v>
      </c>
      <c r="H62" s="106">
        <v>0</v>
      </c>
      <c r="I62" s="106">
        <v>0</v>
      </c>
      <c r="J62" s="106">
        <v>0</v>
      </c>
      <c r="K62" s="106">
        <v>0</v>
      </c>
      <c r="L62" s="1"/>
      <c r="M62" s="498">
        <v>407</v>
      </c>
      <c r="N62" s="106">
        <v>223</v>
      </c>
      <c r="O62" s="427">
        <v>48</v>
      </c>
      <c r="P62" s="13"/>
      <c r="Q62" s="13"/>
      <c r="R62" s="13"/>
      <c r="S62" s="13"/>
      <c r="T62" s="13"/>
      <c r="U62" s="13"/>
      <c r="V62" s="13"/>
      <c r="W62" s="13"/>
      <c r="X62" s="29">
        <v>626</v>
      </c>
      <c r="Y62" s="7" t="s">
        <v>9</v>
      </c>
      <c r="Z62" s="58"/>
      <c r="AC62">
        <f t="shared" si="19"/>
        <v>1.538083538083538</v>
      </c>
    </row>
    <row r="63" spans="1:58" ht="18" customHeight="1" x14ac:dyDescent="0.2">
      <c r="A63" s="13">
        <v>2018</v>
      </c>
      <c r="B63" s="13"/>
      <c r="C63" s="13"/>
      <c r="D63" s="13"/>
      <c r="E63" s="13"/>
      <c r="F63" s="13"/>
      <c r="G63" s="240">
        <v>37</v>
      </c>
      <c r="H63" s="240">
        <v>92</v>
      </c>
      <c r="I63" s="240">
        <v>165</v>
      </c>
      <c r="J63" s="13"/>
      <c r="K63" s="240">
        <v>113</v>
      </c>
      <c r="L63" s="13"/>
      <c r="M63" s="427">
        <v>395</v>
      </c>
      <c r="N63" s="344">
        <v>86</v>
      </c>
      <c r="O63" s="344">
        <v>30</v>
      </c>
      <c r="P63" s="13"/>
      <c r="Q63" s="13"/>
      <c r="R63" s="13"/>
      <c r="S63" s="13"/>
      <c r="T63" s="13"/>
      <c r="U63" s="13"/>
      <c r="V63" s="13"/>
      <c r="W63" s="13"/>
      <c r="X63" s="29">
        <v>439</v>
      </c>
      <c r="Y63" s="7" t="s">
        <v>9</v>
      </c>
      <c r="Z63" s="58"/>
      <c r="AC63">
        <f t="shared" si="19"/>
        <v>1.1113924050632911</v>
      </c>
    </row>
    <row r="64" spans="1:58" ht="18" customHeight="1" x14ac:dyDescent="0.2">
      <c r="A64" s="13">
        <v>2019</v>
      </c>
      <c r="B64" s="13"/>
      <c r="C64" s="13"/>
      <c r="D64" s="13"/>
      <c r="E64" s="13"/>
      <c r="F64" s="13"/>
      <c r="G64" s="109">
        <v>57</v>
      </c>
      <c r="H64" s="316">
        <v>20</v>
      </c>
      <c r="I64" s="685">
        <v>79</v>
      </c>
      <c r="J64" s="109">
        <v>144</v>
      </c>
      <c r="K64" s="109">
        <v>98</v>
      </c>
      <c r="L64" s="109">
        <v>91</v>
      </c>
      <c r="M64" s="686">
        <v>65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29">
        <v>216</v>
      </c>
      <c r="Y64" s="7" t="s">
        <v>5</v>
      </c>
      <c r="Z64" s="58">
        <v>25</v>
      </c>
      <c r="AC64">
        <f t="shared" si="19"/>
        <v>1.5</v>
      </c>
    </row>
    <row r="65" spans="1:58" ht="18" customHeight="1" x14ac:dyDescent="0.2">
      <c r="A65" s="13">
        <v>2020</v>
      </c>
      <c r="B65" s="13"/>
      <c r="C65" s="13"/>
      <c r="D65" s="13"/>
      <c r="E65" s="13"/>
      <c r="F65" s="13"/>
      <c r="G65" s="109">
        <v>0</v>
      </c>
      <c r="H65" s="155">
        <v>7</v>
      </c>
      <c r="I65" s="13"/>
      <c r="J65" s="109">
        <v>218</v>
      </c>
      <c r="K65" s="13"/>
      <c r="L65" s="13"/>
      <c r="M65" s="338">
        <v>323</v>
      </c>
      <c r="N65" s="590">
        <v>330</v>
      </c>
      <c r="O65" s="13"/>
      <c r="P65" s="13"/>
      <c r="Q65" s="13"/>
      <c r="R65" s="13"/>
      <c r="S65" s="13"/>
      <c r="T65" s="13"/>
      <c r="U65" s="13"/>
      <c r="V65" s="13"/>
      <c r="W65" s="13"/>
      <c r="X65" s="29">
        <v>412</v>
      </c>
      <c r="Y65" s="7" t="s">
        <v>9</v>
      </c>
      <c r="Z65" s="58"/>
      <c r="AC65">
        <f t="shared" si="19"/>
        <v>1.2484848484848485</v>
      </c>
    </row>
    <row r="66" spans="1:58" s="150" customFormat="1" ht="18" customHeight="1" x14ac:dyDescent="0.2">
      <c r="A66" s="89">
        <v>2021</v>
      </c>
      <c r="B66" s="89"/>
      <c r="C66" s="89"/>
      <c r="D66" s="89"/>
      <c r="E66" s="89"/>
      <c r="F66" s="106">
        <v>0</v>
      </c>
      <c r="G66" s="89"/>
      <c r="H66" s="737"/>
      <c r="I66" s="109">
        <v>248</v>
      </c>
      <c r="J66" s="89"/>
      <c r="K66" s="155">
        <v>470</v>
      </c>
      <c r="L66" s="89"/>
      <c r="M66" s="735"/>
      <c r="N66" s="736"/>
      <c r="O66" s="89"/>
      <c r="P66" s="89"/>
      <c r="Q66" s="89"/>
      <c r="R66" s="89"/>
      <c r="S66" s="89"/>
      <c r="T66" s="89"/>
      <c r="U66" s="89"/>
      <c r="V66" s="89"/>
      <c r="W66" s="89"/>
      <c r="X66" s="21">
        <v>522</v>
      </c>
      <c r="Y66" s="11"/>
      <c r="Z66" s="92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51"/>
      <c r="BD66" s="151"/>
      <c r="BE66" s="151"/>
      <c r="BF66" s="151"/>
    </row>
    <row r="67" spans="1:58" s="150" customFormat="1" ht="18" customHeight="1" x14ac:dyDescent="0.2">
      <c r="A67" s="89">
        <v>2022</v>
      </c>
      <c r="B67" s="89"/>
      <c r="C67" s="89"/>
      <c r="D67" s="89"/>
      <c r="E67" s="89"/>
      <c r="F67" s="227"/>
      <c r="G67" s="109">
        <v>134</v>
      </c>
      <c r="H67" s="437">
        <v>65</v>
      </c>
      <c r="I67" s="89"/>
      <c r="J67" s="155">
        <v>131</v>
      </c>
      <c r="K67" s="737"/>
      <c r="L67" s="89"/>
      <c r="M67" s="735"/>
      <c r="N67" s="736"/>
      <c r="O67" s="89"/>
      <c r="P67" s="89"/>
      <c r="Q67" s="89"/>
      <c r="R67" s="89"/>
      <c r="S67" s="89"/>
      <c r="T67" s="89"/>
      <c r="U67" s="89"/>
      <c r="V67" s="89"/>
      <c r="W67" s="89"/>
      <c r="X67" s="21">
        <v>166</v>
      </c>
      <c r="Y67" s="11"/>
      <c r="Z67" s="92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</row>
    <row r="68" spans="1:58" s="150" customFormat="1" ht="18" customHeight="1" x14ac:dyDescent="0.2">
      <c r="A68" s="89">
        <v>2023</v>
      </c>
      <c r="B68" s="89"/>
      <c r="C68" s="89"/>
      <c r="D68" s="89"/>
      <c r="E68" s="89"/>
      <c r="F68" s="106">
        <v>0</v>
      </c>
      <c r="G68" s="106">
        <v>6</v>
      </c>
      <c r="H68" s="227"/>
      <c r="I68" s="227"/>
      <c r="J68" s="106">
        <v>263</v>
      </c>
      <c r="K68" s="227"/>
      <c r="L68" s="227"/>
      <c r="M68" s="227"/>
      <c r="N68" s="736"/>
      <c r="O68" s="89"/>
      <c r="P68" s="89"/>
      <c r="Q68" s="89"/>
      <c r="R68" s="89"/>
      <c r="S68" s="89"/>
      <c r="T68" s="89"/>
      <c r="U68" s="89"/>
      <c r="V68" s="89"/>
      <c r="W68" s="89"/>
      <c r="X68" s="21"/>
      <c r="Y68" s="11"/>
      <c r="Z68" s="92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</row>
    <row r="69" spans="1:58" ht="18" customHeight="1" x14ac:dyDescent="0.2">
      <c r="A69" s="64" t="s">
        <v>17</v>
      </c>
      <c r="B69" s="16"/>
      <c r="C69" s="16">
        <f>AVERAGE(C40:C54)</f>
        <v>0</v>
      </c>
      <c r="D69" s="16">
        <f t="shared" ref="D69:T69" si="20">AVERAGE(D40:D54)</f>
        <v>3</v>
      </c>
      <c r="E69" s="16"/>
      <c r="F69" s="16">
        <f t="shared" si="20"/>
        <v>0</v>
      </c>
      <c r="G69" s="16">
        <f t="shared" si="20"/>
        <v>5.333333333333333</v>
      </c>
      <c r="H69" s="16">
        <f t="shared" si="20"/>
        <v>4.625</v>
      </c>
      <c r="I69" s="16">
        <f t="shared" si="20"/>
        <v>51.307692307692307</v>
      </c>
      <c r="J69" s="16">
        <f t="shared" si="20"/>
        <v>135.90909090909091</v>
      </c>
      <c r="K69" s="16">
        <f t="shared" si="20"/>
        <v>168.46153846153845</v>
      </c>
      <c r="L69" s="16">
        <f t="shared" si="20"/>
        <v>285</v>
      </c>
      <c r="M69" s="16">
        <f t="shared" si="20"/>
        <v>314.77777777777777</v>
      </c>
      <c r="N69" s="16">
        <f t="shared" si="20"/>
        <v>532.5</v>
      </c>
      <c r="O69" s="16">
        <f t="shared" si="20"/>
        <v>506.5</v>
      </c>
      <c r="P69" s="16">
        <f t="shared" si="20"/>
        <v>690.16666666666663</v>
      </c>
      <c r="Q69" s="16">
        <f t="shared" si="20"/>
        <v>82.333333333333329</v>
      </c>
      <c r="R69" s="16">
        <f t="shared" si="20"/>
        <v>660.25</v>
      </c>
      <c r="S69" s="16">
        <f t="shared" si="20"/>
        <v>280</v>
      </c>
      <c r="T69" s="16">
        <f t="shared" si="20"/>
        <v>78</v>
      </c>
      <c r="U69" s="16"/>
      <c r="V69" s="16"/>
      <c r="W69" s="16"/>
      <c r="X69" s="16">
        <f>AVERAGE(X40:X54)</f>
        <v>976.5333333333333</v>
      </c>
      <c r="Y69" s="17"/>
      <c r="Z69" s="16">
        <f>AVERAGE(Z40:Z54)</f>
        <v>32.541666666666664</v>
      </c>
    </row>
    <row r="70" spans="1:58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</row>
    <row r="71" spans="1:58" ht="18" customHeight="1" x14ac:dyDescent="0.2">
      <c r="A71" s="1002" t="s">
        <v>611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D71">
        <v>348</v>
      </c>
    </row>
    <row r="72" spans="1:58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  <c r="AD72">
        <f>AD71/2.2</f>
        <v>158.18181818181816</v>
      </c>
    </row>
    <row r="73" spans="1:58" ht="18" customHeight="1" thickTop="1" x14ac:dyDescent="0.2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  <c r="AA73" s="1016" t="s">
        <v>379</v>
      </c>
      <c r="AB73" s="1016"/>
    </row>
    <row r="74" spans="1:58" ht="18" customHeight="1" x14ac:dyDescent="0.2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A74" s="2" t="s">
        <v>380</v>
      </c>
      <c r="AB74" t="s">
        <v>384</v>
      </c>
      <c r="AC74" t="s">
        <v>142</v>
      </c>
      <c r="AD74" s="93" t="s">
        <v>398</v>
      </c>
    </row>
    <row r="75" spans="1:58" ht="18" customHeight="1" x14ac:dyDescent="0.25">
      <c r="A75" s="1">
        <v>1995</v>
      </c>
      <c r="B75" s="6"/>
      <c r="C75" s="6"/>
      <c r="D75" s="6"/>
      <c r="E75" s="6"/>
      <c r="F75" s="6"/>
      <c r="G75" s="6"/>
      <c r="H75" s="6">
        <v>174</v>
      </c>
      <c r="I75" s="6">
        <v>51</v>
      </c>
      <c r="J75" s="6">
        <v>543</v>
      </c>
      <c r="K75" s="6"/>
      <c r="L75" s="6"/>
      <c r="M75" s="78">
        <v>2140</v>
      </c>
      <c r="N75" s="6">
        <v>1430</v>
      </c>
      <c r="O75" s="6"/>
      <c r="P75" s="6"/>
      <c r="Q75" s="6"/>
      <c r="R75" s="6"/>
      <c r="S75" s="6"/>
      <c r="T75" s="13"/>
      <c r="U75" s="13"/>
      <c r="V75" s="13"/>
      <c r="W75" s="13"/>
      <c r="X75" s="7">
        <v>2920</v>
      </c>
      <c r="Y75" s="7" t="s">
        <v>5</v>
      </c>
      <c r="Z75" s="10">
        <v>20</v>
      </c>
      <c r="AA75" s="2" t="s">
        <v>316</v>
      </c>
      <c r="AB75" t="s">
        <v>381</v>
      </c>
      <c r="AC75">
        <f t="shared" ref="AC75:AC97" si="21">X75/MAX(B75:W75)</f>
        <v>1.3644859813084111</v>
      </c>
      <c r="AD75">
        <f>MAX(B75:W75)</f>
        <v>2140</v>
      </c>
      <c r="AF75" s="1013" t="s">
        <v>117</v>
      </c>
      <c r="AG75" s="1013" t="s">
        <v>118</v>
      </c>
      <c r="AH75" s="510" t="s">
        <v>119</v>
      </c>
      <c r="AJ75" s="158" t="s">
        <v>120</v>
      </c>
      <c r="AK75" s="158"/>
      <c r="AL75" s="159"/>
      <c r="AM75" s="160" t="s">
        <v>121</v>
      </c>
      <c r="AN75" s="160"/>
      <c r="AO75" s="161" t="s">
        <v>122</v>
      </c>
      <c r="AQ75" s="1013" t="s">
        <v>117</v>
      </c>
      <c r="AR75" s="1013" t="s">
        <v>118</v>
      </c>
      <c r="AS75" s="510" t="s">
        <v>119</v>
      </c>
      <c r="AU75" s="158" t="s">
        <v>120</v>
      </c>
      <c r="AV75" s="158"/>
      <c r="AW75" s="159"/>
      <c r="AX75" s="160" t="s">
        <v>121</v>
      </c>
      <c r="AY75" s="160"/>
      <c r="AZ75" s="161" t="s">
        <v>122</v>
      </c>
    </row>
    <row r="76" spans="1:58" ht="18" customHeight="1" x14ac:dyDescent="0.2">
      <c r="A76" s="1">
        <v>1996</v>
      </c>
      <c r="B76" s="6"/>
      <c r="C76" s="6"/>
      <c r="D76" s="6">
        <v>0</v>
      </c>
      <c r="E76" s="6"/>
      <c r="F76" s="6"/>
      <c r="G76" s="6">
        <v>12</v>
      </c>
      <c r="H76" s="6">
        <v>0</v>
      </c>
      <c r="I76" s="6">
        <v>53</v>
      </c>
      <c r="J76" s="6">
        <v>100</v>
      </c>
      <c r="K76" s="6">
        <v>651</v>
      </c>
      <c r="L76" s="6"/>
      <c r="M76" s="78">
        <v>5000</v>
      </c>
      <c r="N76" s="6">
        <v>1945</v>
      </c>
      <c r="O76" s="6"/>
      <c r="P76" s="6">
        <v>523</v>
      </c>
      <c r="Q76" s="6"/>
      <c r="R76" s="6"/>
      <c r="S76" s="6"/>
      <c r="T76" s="13"/>
      <c r="U76" s="13"/>
      <c r="V76" s="13"/>
      <c r="W76" s="13"/>
      <c r="X76" s="7">
        <v>6005</v>
      </c>
      <c r="Y76" s="7" t="s">
        <v>5</v>
      </c>
      <c r="Z76" s="10">
        <v>15</v>
      </c>
      <c r="AA76" s="2" t="s">
        <v>382</v>
      </c>
      <c r="AB76" t="s">
        <v>381</v>
      </c>
      <c r="AC76">
        <f t="shared" si="21"/>
        <v>1.2010000000000001</v>
      </c>
      <c r="AD76">
        <f t="shared" ref="AD76:AD97" si="22">MAX(B76:W76)</f>
        <v>5000</v>
      </c>
      <c r="AF76" s="1014"/>
      <c r="AG76" s="1014"/>
      <c r="AH76" s="509" t="s">
        <v>123</v>
      </c>
      <c r="AJ76" s="163" t="s">
        <v>124</v>
      </c>
      <c r="AK76" s="163" t="s">
        <v>125</v>
      </c>
      <c r="AL76" s="163"/>
      <c r="AM76" s="164" t="s">
        <v>126</v>
      </c>
      <c r="AO76" s="164" t="s">
        <v>126</v>
      </c>
      <c r="AQ76" s="1014"/>
      <c r="AR76" s="1014"/>
      <c r="AS76" s="509" t="s">
        <v>123</v>
      </c>
      <c r="AU76" s="163" t="s">
        <v>124</v>
      </c>
      <c r="AV76" s="163" t="s">
        <v>125</v>
      </c>
      <c r="AW76" s="163"/>
      <c r="AX76" s="164" t="s">
        <v>126</v>
      </c>
      <c r="AZ76" s="164" t="s">
        <v>126</v>
      </c>
    </row>
    <row r="77" spans="1:58" ht="18" customHeight="1" x14ac:dyDescent="0.2">
      <c r="A77" s="1">
        <v>1997</v>
      </c>
      <c r="B77" s="6"/>
      <c r="C77" s="6"/>
      <c r="D77" s="6"/>
      <c r="E77" s="6"/>
      <c r="F77" s="6"/>
      <c r="G77" s="6"/>
      <c r="H77" s="6">
        <v>8</v>
      </c>
      <c r="I77" s="6">
        <v>63</v>
      </c>
      <c r="J77" s="6">
        <v>2</v>
      </c>
      <c r="K77" s="6">
        <v>1157</v>
      </c>
      <c r="L77" s="6"/>
      <c r="M77" s="78">
        <v>7288</v>
      </c>
      <c r="N77" s="6"/>
      <c r="O77" s="6">
        <v>453</v>
      </c>
      <c r="P77" s="6">
        <v>384</v>
      </c>
      <c r="Q77" s="6"/>
      <c r="R77" s="6"/>
      <c r="S77" s="6"/>
      <c r="T77" s="13"/>
      <c r="U77" s="13"/>
      <c r="V77" s="13"/>
      <c r="W77" s="13"/>
      <c r="X77" s="7">
        <v>10135</v>
      </c>
      <c r="Y77" s="7" t="s">
        <v>5</v>
      </c>
      <c r="Z77" s="10">
        <v>15</v>
      </c>
      <c r="AA77" s="2" t="s">
        <v>382</v>
      </c>
      <c r="AB77" t="s">
        <v>381</v>
      </c>
      <c r="AC77">
        <f t="shared" si="21"/>
        <v>1.3906421514818881</v>
      </c>
      <c r="AD77">
        <f t="shared" si="22"/>
        <v>7288</v>
      </c>
      <c r="AF77" s="165"/>
      <c r="AG77" s="166"/>
      <c r="AH77" s="167"/>
      <c r="AQ77" s="165"/>
      <c r="AR77" s="166"/>
      <c r="AS77" s="167"/>
    </row>
    <row r="78" spans="1:58" ht="18" customHeight="1" x14ac:dyDescent="0.2">
      <c r="A78" s="1">
        <v>1998</v>
      </c>
      <c r="B78" s="6"/>
      <c r="C78" s="6">
        <v>0</v>
      </c>
      <c r="D78" s="6"/>
      <c r="E78" s="6"/>
      <c r="F78" s="6"/>
      <c r="G78" s="6"/>
      <c r="H78" s="6">
        <v>187</v>
      </c>
      <c r="I78" s="6"/>
      <c r="J78" s="6"/>
      <c r="K78" s="78">
        <v>16753</v>
      </c>
      <c r="L78" s="6">
        <v>11000</v>
      </c>
      <c r="M78" s="6">
        <v>5862</v>
      </c>
      <c r="N78" s="6">
        <v>4526</v>
      </c>
      <c r="O78" s="6">
        <v>1354</v>
      </c>
      <c r="P78" s="6">
        <v>1260</v>
      </c>
      <c r="Q78" s="6"/>
      <c r="R78" s="6"/>
      <c r="S78" s="6"/>
      <c r="T78" s="13">
        <v>0</v>
      </c>
      <c r="U78" s="13"/>
      <c r="V78" s="13"/>
      <c r="W78" s="13"/>
      <c r="X78" s="7">
        <v>22236</v>
      </c>
      <c r="Y78" s="7" t="s">
        <v>5</v>
      </c>
      <c r="Z78" s="10">
        <v>20</v>
      </c>
      <c r="AA78" s="2" t="s">
        <v>382</v>
      </c>
      <c r="AB78" t="s">
        <v>381</v>
      </c>
      <c r="AC78">
        <f t="shared" si="21"/>
        <v>1.3272846654330568</v>
      </c>
      <c r="AD78">
        <f t="shared" si="22"/>
        <v>16753</v>
      </c>
      <c r="AF78" s="165"/>
      <c r="AG78" s="166"/>
      <c r="AH78" s="167"/>
      <c r="AQ78" s="165"/>
      <c r="AR78" s="166"/>
      <c r="AS78" s="167"/>
    </row>
    <row r="79" spans="1:58" ht="18" customHeight="1" x14ac:dyDescent="0.2">
      <c r="A79" s="1">
        <v>1999</v>
      </c>
      <c r="B79" s="6"/>
      <c r="C79" s="6"/>
      <c r="D79" s="6"/>
      <c r="E79" s="6"/>
      <c r="F79" s="6"/>
      <c r="G79" s="6"/>
      <c r="H79" s="6">
        <v>27</v>
      </c>
      <c r="I79" s="6">
        <v>282</v>
      </c>
      <c r="J79" s="6"/>
      <c r="K79" s="6">
        <v>860</v>
      </c>
      <c r="L79" s="6"/>
      <c r="M79" s="6"/>
      <c r="N79" s="78">
        <v>1424</v>
      </c>
      <c r="O79" s="6"/>
      <c r="P79" s="6"/>
      <c r="Q79" s="6"/>
      <c r="R79" s="6">
        <v>50</v>
      </c>
      <c r="S79" s="6"/>
      <c r="T79" s="13"/>
      <c r="U79" s="13"/>
      <c r="V79" s="13"/>
      <c r="W79" s="13"/>
      <c r="X79" s="9">
        <v>5325</v>
      </c>
      <c r="Y79" s="7" t="s">
        <v>5</v>
      </c>
      <c r="Z79" s="60">
        <v>12.5</v>
      </c>
      <c r="AA79" s="2" t="s">
        <v>382</v>
      </c>
      <c r="AB79" t="s">
        <v>381</v>
      </c>
      <c r="AC79">
        <f t="shared" si="21"/>
        <v>3.7394662921348316</v>
      </c>
      <c r="AD79">
        <f t="shared" si="22"/>
        <v>1424</v>
      </c>
      <c r="AF79" s="165" t="s">
        <v>127</v>
      </c>
      <c r="AG79" s="185">
        <v>42972</v>
      </c>
      <c r="AH79" s="167">
        <v>0</v>
      </c>
      <c r="AK79" s="169">
        <v>0</v>
      </c>
      <c r="AQ79" s="165" t="s">
        <v>127</v>
      </c>
      <c r="AR79" s="185">
        <v>42972</v>
      </c>
      <c r="AS79" s="167">
        <v>0</v>
      </c>
      <c r="AV79" s="169">
        <v>0</v>
      </c>
    </row>
    <row r="80" spans="1:58" ht="18" customHeight="1" x14ac:dyDescent="0.25">
      <c r="A80" s="1">
        <v>2000</v>
      </c>
      <c r="B80" s="6"/>
      <c r="C80" s="6"/>
      <c r="D80" s="6"/>
      <c r="E80" s="6"/>
      <c r="F80" s="6"/>
      <c r="G80" s="6"/>
      <c r="H80" s="6"/>
      <c r="I80" s="6">
        <v>48</v>
      </c>
      <c r="J80" s="6">
        <v>51</v>
      </c>
      <c r="K80" s="6">
        <v>460</v>
      </c>
      <c r="L80" s="6">
        <v>657</v>
      </c>
      <c r="M80" s="6"/>
      <c r="N80" s="78">
        <v>763</v>
      </c>
      <c r="O80" s="6"/>
      <c r="P80" s="6"/>
      <c r="Q80" s="6">
        <v>560</v>
      </c>
      <c r="R80" s="6"/>
      <c r="S80" s="6"/>
      <c r="T80" s="13"/>
      <c r="U80" s="13"/>
      <c r="V80" s="13"/>
      <c r="W80" s="13"/>
      <c r="X80" s="10">
        <v>2231</v>
      </c>
      <c r="Y80" s="7" t="s">
        <v>5</v>
      </c>
      <c r="Z80" s="60">
        <v>15</v>
      </c>
      <c r="AA80" s="2" t="s">
        <v>382</v>
      </c>
      <c r="AB80" t="s">
        <v>381</v>
      </c>
      <c r="AC80">
        <f t="shared" si="21"/>
        <v>2.9239842726081258</v>
      </c>
      <c r="AD80">
        <f t="shared" si="22"/>
        <v>763</v>
      </c>
      <c r="AF80" s="165"/>
      <c r="AG80" s="185">
        <v>42975</v>
      </c>
      <c r="AH80" s="170">
        <v>0</v>
      </c>
      <c r="AJ80" s="511">
        <v>0.9</v>
      </c>
      <c r="AK80" s="172">
        <f>AH80/AJ80</f>
        <v>0</v>
      </c>
      <c r="AM80" s="172">
        <f>(AG80-AG79)*(AH80+AH79)</f>
        <v>0</v>
      </c>
      <c r="AO80" s="172">
        <f>(AG80-AG79)*(AK80+AK79)</f>
        <v>0</v>
      </c>
      <c r="AQ80" s="165"/>
      <c r="AR80" s="185">
        <v>42975</v>
      </c>
      <c r="AS80" s="170">
        <v>0</v>
      </c>
      <c r="AU80" s="511">
        <v>0.9</v>
      </c>
      <c r="AV80" s="172">
        <f>AS80/AU80</f>
        <v>0</v>
      </c>
      <c r="AX80" s="172">
        <f>(AR80-AR79)*(AS80+AS79)</f>
        <v>0</v>
      </c>
      <c r="AZ80" s="172">
        <f>(AR80-AR79)*(AV80+AV79)</f>
        <v>0</v>
      </c>
    </row>
    <row r="81" spans="1:58" ht="18" customHeight="1" x14ac:dyDescent="0.25">
      <c r="A81" s="1">
        <v>2001</v>
      </c>
      <c r="B81" s="6"/>
      <c r="C81" s="6"/>
      <c r="D81" s="6"/>
      <c r="E81" s="6"/>
      <c r="F81" s="6"/>
      <c r="G81" s="6">
        <v>157</v>
      </c>
      <c r="H81" s="6"/>
      <c r="I81" s="6">
        <v>338</v>
      </c>
      <c r="J81" s="6">
        <v>1169</v>
      </c>
      <c r="K81" s="6"/>
      <c r="L81" s="6">
        <v>7256</v>
      </c>
      <c r="M81" s="78">
        <v>11400</v>
      </c>
      <c r="N81" s="6">
        <v>1560</v>
      </c>
      <c r="O81" s="6">
        <v>176</v>
      </c>
      <c r="P81" s="6"/>
      <c r="Q81" s="6"/>
      <c r="R81" s="6">
        <v>22</v>
      </c>
      <c r="S81" s="6"/>
      <c r="T81" s="13"/>
      <c r="U81" s="13"/>
      <c r="V81" s="13"/>
      <c r="W81" s="13"/>
      <c r="X81" s="7">
        <v>12225</v>
      </c>
      <c r="Y81" s="7" t="s">
        <v>5</v>
      </c>
      <c r="Z81" s="60">
        <v>15</v>
      </c>
      <c r="AA81" s="2" t="s">
        <v>382</v>
      </c>
      <c r="AB81" t="s">
        <v>381</v>
      </c>
      <c r="AC81">
        <f t="shared" si="21"/>
        <v>1.0723684210526316</v>
      </c>
      <c r="AD81">
        <f t="shared" si="22"/>
        <v>11400</v>
      </c>
      <c r="AF81" s="165"/>
      <c r="AG81" s="185">
        <v>42986</v>
      </c>
      <c r="AH81" s="217">
        <v>0</v>
      </c>
      <c r="AI81" s="8"/>
      <c r="AJ81" s="511">
        <v>0.9</v>
      </c>
      <c r="AK81" s="172">
        <f t="shared" ref="AK81:AK92" si="23">AH81/AJ81</f>
        <v>0</v>
      </c>
      <c r="AM81" s="172">
        <f>(AG81-AG80)*(AH81+AH80)</f>
        <v>0</v>
      </c>
      <c r="AO81" s="172">
        <f>(AG81-AG80)*(AK81+AK80)</f>
        <v>0</v>
      </c>
      <c r="AQ81" s="165"/>
      <c r="AR81" s="185">
        <v>42986</v>
      </c>
      <c r="AS81" s="217">
        <v>0</v>
      </c>
      <c r="AT81" s="8"/>
      <c r="AU81" s="511">
        <v>0.9</v>
      </c>
      <c r="AV81" s="172">
        <f t="shared" ref="AV81:AV92" si="24">AS81/AU81</f>
        <v>0</v>
      </c>
      <c r="AX81" s="172">
        <f>(AR81-AR80)*(AS81+AS80)</f>
        <v>0</v>
      </c>
      <c r="AZ81" s="172">
        <f>(AR81-AR80)*(AV81+AV80)</f>
        <v>0</v>
      </c>
    </row>
    <row r="82" spans="1:58" ht="18" customHeight="1" x14ac:dyDescent="0.25">
      <c r="A82" s="1">
        <v>2002</v>
      </c>
      <c r="B82" s="6"/>
      <c r="C82" s="6"/>
      <c r="D82" s="6"/>
      <c r="E82" s="6"/>
      <c r="F82" s="6"/>
      <c r="G82" s="6">
        <v>488</v>
      </c>
      <c r="H82" s="6">
        <v>1342</v>
      </c>
      <c r="I82" s="6">
        <v>2784</v>
      </c>
      <c r="J82" s="6"/>
      <c r="K82" s="6">
        <v>7599</v>
      </c>
      <c r="L82" s="6">
        <v>5049</v>
      </c>
      <c r="M82" s="78">
        <v>9151</v>
      </c>
      <c r="N82" s="6"/>
      <c r="O82" s="6">
        <v>2130</v>
      </c>
      <c r="P82" s="6">
        <v>485</v>
      </c>
      <c r="Q82" s="6"/>
      <c r="R82" s="6">
        <v>1</v>
      </c>
      <c r="S82" s="6">
        <v>0</v>
      </c>
      <c r="T82" s="13"/>
      <c r="U82" s="13"/>
      <c r="V82" s="13"/>
      <c r="W82" s="13"/>
      <c r="X82" s="7">
        <v>25133</v>
      </c>
      <c r="Y82" s="7" t="s">
        <v>5</v>
      </c>
      <c r="Z82" s="60">
        <v>10</v>
      </c>
      <c r="AA82" s="2" t="s">
        <v>383</v>
      </c>
      <c r="AB82" t="s">
        <v>381</v>
      </c>
      <c r="AC82">
        <f t="shared" si="21"/>
        <v>2.7464757949950824</v>
      </c>
      <c r="AD82">
        <f t="shared" si="22"/>
        <v>9151</v>
      </c>
      <c r="AF82" s="8"/>
      <c r="AG82" s="185">
        <v>42992</v>
      </c>
      <c r="AH82" s="217">
        <v>4</v>
      </c>
      <c r="AI82" s="8"/>
      <c r="AJ82" s="511">
        <v>0.9</v>
      </c>
      <c r="AK82" s="172">
        <f t="shared" si="23"/>
        <v>4.4444444444444446</v>
      </c>
      <c r="AM82" s="172">
        <f t="shared" ref="AM82:AM93" si="25">(AG82-AG81)*(AH82+AH81)</f>
        <v>24</v>
      </c>
      <c r="AO82" s="172">
        <f t="shared" ref="AO82:AO93" si="26">(AG82-AG81)*(AK82+AK81)</f>
        <v>26.666666666666668</v>
      </c>
      <c r="AQ82" s="8"/>
      <c r="AR82" s="185">
        <v>42992</v>
      </c>
      <c r="AS82" s="217">
        <v>4</v>
      </c>
      <c r="AT82" s="8"/>
      <c r="AU82" s="511">
        <v>0.9</v>
      </c>
      <c r="AV82" s="172">
        <f t="shared" si="24"/>
        <v>4.4444444444444446</v>
      </c>
      <c r="AX82" s="172">
        <f t="shared" ref="AX82:AX93" si="27">(AR82-AR81)*(AS82+AS81)</f>
        <v>24</v>
      </c>
      <c r="AZ82" s="172">
        <f t="shared" ref="AZ82:AZ93" si="28">(AR82-AR81)*(AV82+AV81)</f>
        <v>26.666666666666668</v>
      </c>
    </row>
    <row r="83" spans="1:58" ht="18" customHeight="1" x14ac:dyDescent="0.25">
      <c r="A83" s="1">
        <v>2003</v>
      </c>
      <c r="B83" s="6"/>
      <c r="C83" s="6"/>
      <c r="D83" s="6"/>
      <c r="E83" s="6"/>
      <c r="F83" s="6"/>
      <c r="G83" s="6"/>
      <c r="H83" s="6">
        <v>135</v>
      </c>
      <c r="I83" s="6">
        <v>414</v>
      </c>
      <c r="J83" s="6">
        <v>320</v>
      </c>
      <c r="K83" s="6">
        <v>356</v>
      </c>
      <c r="L83" s="6">
        <v>137</v>
      </c>
      <c r="M83" s="6"/>
      <c r="N83" s="6">
        <v>2262</v>
      </c>
      <c r="O83" s="78">
        <v>2625</v>
      </c>
      <c r="P83" s="6">
        <v>1728</v>
      </c>
      <c r="Q83" s="6"/>
      <c r="R83" s="6"/>
      <c r="S83" s="6"/>
      <c r="T83" s="13"/>
      <c r="U83" s="13"/>
      <c r="V83" s="13"/>
      <c r="W83" s="13"/>
      <c r="X83" s="7">
        <v>4457</v>
      </c>
      <c r="Y83" s="7" t="s">
        <v>5</v>
      </c>
      <c r="Z83" s="60">
        <v>17</v>
      </c>
      <c r="AA83" s="2" t="s">
        <v>385</v>
      </c>
      <c r="AB83" t="s">
        <v>381</v>
      </c>
      <c r="AC83">
        <f t="shared" si="21"/>
        <v>1.6979047619047618</v>
      </c>
      <c r="AD83">
        <f t="shared" si="22"/>
        <v>2625</v>
      </c>
      <c r="AF83" s="8"/>
      <c r="AG83" s="185">
        <v>42996</v>
      </c>
      <c r="AH83" s="217">
        <v>2</v>
      </c>
      <c r="AI83" s="8"/>
      <c r="AJ83" s="511">
        <v>0.9</v>
      </c>
      <c r="AK83" s="172">
        <f t="shared" si="23"/>
        <v>2.2222222222222223</v>
      </c>
      <c r="AM83" s="172">
        <f t="shared" si="25"/>
        <v>24</v>
      </c>
      <c r="AO83" s="172">
        <f t="shared" si="26"/>
        <v>26.666666666666668</v>
      </c>
      <c r="AQ83" s="8"/>
      <c r="AR83" s="185">
        <v>42996</v>
      </c>
      <c r="AS83" s="217">
        <v>2</v>
      </c>
      <c r="AT83" s="8"/>
      <c r="AU83" s="511">
        <v>0.9</v>
      </c>
      <c r="AV83" s="172">
        <f t="shared" si="24"/>
        <v>2.2222222222222223</v>
      </c>
      <c r="AX83" s="172">
        <f t="shared" si="27"/>
        <v>24</v>
      </c>
      <c r="AZ83" s="172">
        <f t="shared" si="28"/>
        <v>26.666666666666668</v>
      </c>
    </row>
    <row r="84" spans="1:58" ht="18" customHeight="1" x14ac:dyDescent="0.25">
      <c r="A84" s="1">
        <v>2004</v>
      </c>
      <c r="B84" s="6"/>
      <c r="C84" s="6"/>
      <c r="D84" s="6"/>
      <c r="E84" s="6"/>
      <c r="F84" s="6"/>
      <c r="G84" s="6"/>
      <c r="H84" s="6"/>
      <c r="I84" s="6">
        <v>889</v>
      </c>
      <c r="J84" s="6"/>
      <c r="K84" s="6">
        <v>462</v>
      </c>
      <c r="L84" s="6">
        <v>2089</v>
      </c>
      <c r="M84" s="6"/>
      <c r="N84" s="6">
        <v>2955</v>
      </c>
      <c r="O84" s="78">
        <v>3803</v>
      </c>
      <c r="P84" s="6"/>
      <c r="Q84" s="6">
        <v>0</v>
      </c>
      <c r="R84" s="6"/>
      <c r="S84" s="6"/>
      <c r="T84" s="13"/>
      <c r="U84" s="13"/>
      <c r="V84" s="13"/>
      <c r="W84" s="13"/>
      <c r="X84" s="7">
        <v>7450</v>
      </c>
      <c r="Y84" s="7" t="s">
        <v>5</v>
      </c>
      <c r="Z84" s="60">
        <v>15</v>
      </c>
      <c r="AA84" s="2" t="s">
        <v>375</v>
      </c>
      <c r="AB84" t="s">
        <v>381</v>
      </c>
      <c r="AC84">
        <f t="shared" si="21"/>
        <v>1.9589797528267157</v>
      </c>
      <c r="AD84">
        <f t="shared" si="22"/>
        <v>3803</v>
      </c>
      <c r="AF84" s="8"/>
      <c r="AG84" s="185">
        <v>43005</v>
      </c>
      <c r="AH84" s="217">
        <v>36</v>
      </c>
      <c r="AI84" s="8"/>
      <c r="AJ84" s="511">
        <v>0.9</v>
      </c>
      <c r="AK84" s="172">
        <f t="shared" si="23"/>
        <v>40</v>
      </c>
      <c r="AM84" s="172">
        <f t="shared" si="25"/>
        <v>342</v>
      </c>
      <c r="AO84" s="172">
        <f t="shared" si="26"/>
        <v>380</v>
      </c>
      <c r="AQ84" s="8"/>
      <c r="AR84" s="185">
        <v>43005</v>
      </c>
      <c r="AS84" s="217">
        <v>36</v>
      </c>
      <c r="AT84" s="8"/>
      <c r="AU84" s="511">
        <v>0.9</v>
      </c>
      <c r="AV84" s="172">
        <f t="shared" si="24"/>
        <v>40</v>
      </c>
      <c r="AX84" s="172">
        <f t="shared" si="27"/>
        <v>342</v>
      </c>
      <c r="AZ84" s="172">
        <f t="shared" si="28"/>
        <v>380</v>
      </c>
    </row>
    <row r="85" spans="1:58" ht="18" customHeight="1" x14ac:dyDescent="0.25">
      <c r="A85" s="1">
        <v>2005</v>
      </c>
      <c r="B85" s="6"/>
      <c r="C85" s="6"/>
      <c r="D85" s="6"/>
      <c r="E85" s="6"/>
      <c r="F85" s="6"/>
      <c r="G85" s="6"/>
      <c r="H85" s="6"/>
      <c r="I85" s="6"/>
      <c r="J85" s="6">
        <v>408</v>
      </c>
      <c r="K85" s="6">
        <v>3814</v>
      </c>
      <c r="L85" s="97"/>
      <c r="M85" s="6">
        <v>2375</v>
      </c>
      <c r="N85" s="127">
        <v>5247</v>
      </c>
      <c r="O85" s="6"/>
      <c r="P85" s="6">
        <v>911</v>
      </c>
      <c r="Q85" s="6"/>
      <c r="R85" s="6">
        <v>4</v>
      </c>
      <c r="S85" s="6"/>
      <c r="T85" s="13"/>
      <c r="U85" s="13"/>
      <c r="V85" s="13"/>
      <c r="W85" s="13"/>
      <c r="X85" s="11">
        <v>8289</v>
      </c>
      <c r="Y85" s="7" t="s">
        <v>5</v>
      </c>
      <c r="Z85" s="60">
        <v>20</v>
      </c>
      <c r="AA85" s="2" t="s">
        <v>385</v>
      </c>
      <c r="AB85" t="s">
        <v>381</v>
      </c>
      <c r="AC85">
        <f t="shared" si="21"/>
        <v>1.5797598627787306</v>
      </c>
      <c r="AD85">
        <f t="shared" si="22"/>
        <v>5247</v>
      </c>
      <c r="AF85" s="8"/>
      <c r="AG85" s="185">
        <v>43012</v>
      </c>
      <c r="AH85" s="217">
        <v>332</v>
      </c>
      <c r="AI85" s="8"/>
      <c r="AJ85" s="511">
        <v>0.9</v>
      </c>
      <c r="AK85" s="172">
        <f t="shared" si="23"/>
        <v>368.88888888888886</v>
      </c>
      <c r="AM85" s="172">
        <f t="shared" si="25"/>
        <v>2576</v>
      </c>
      <c r="AO85" s="172">
        <f t="shared" si="26"/>
        <v>2862.2222222222222</v>
      </c>
      <c r="AQ85" s="8"/>
      <c r="AR85" s="185">
        <v>43012</v>
      </c>
      <c r="AS85" s="217">
        <v>332</v>
      </c>
      <c r="AT85" s="8"/>
      <c r="AU85" s="511">
        <v>0.9</v>
      </c>
      <c r="AV85" s="172">
        <f t="shared" si="24"/>
        <v>368.88888888888886</v>
      </c>
      <c r="AX85" s="172">
        <f t="shared" si="27"/>
        <v>2576</v>
      </c>
      <c r="AZ85" s="172">
        <f t="shared" si="28"/>
        <v>2862.2222222222222</v>
      </c>
    </row>
    <row r="86" spans="1:58" ht="18" customHeight="1" x14ac:dyDescent="0.25">
      <c r="A86" s="1">
        <v>2006</v>
      </c>
      <c r="B86" s="6"/>
      <c r="C86" s="6"/>
      <c r="D86" s="6"/>
      <c r="E86" s="6"/>
      <c r="F86" s="6"/>
      <c r="G86" s="6"/>
      <c r="H86" s="6">
        <v>293</v>
      </c>
      <c r="I86" s="6">
        <v>1016</v>
      </c>
      <c r="J86" s="6">
        <v>2034</v>
      </c>
      <c r="K86" s="6">
        <v>1645</v>
      </c>
      <c r="L86" s="78">
        <v>2177</v>
      </c>
      <c r="M86" s="6">
        <v>718</v>
      </c>
      <c r="N86" s="6">
        <v>477</v>
      </c>
      <c r="O86" s="6"/>
      <c r="P86" s="6"/>
      <c r="Q86" s="6"/>
      <c r="R86" s="6"/>
      <c r="S86" s="6"/>
      <c r="T86" s="13"/>
      <c r="U86" s="13"/>
      <c r="V86" s="13"/>
      <c r="W86" s="13"/>
      <c r="X86" s="12">
        <v>5050</v>
      </c>
      <c r="Y86" s="7" t="s">
        <v>5</v>
      </c>
      <c r="Z86" s="53">
        <v>12</v>
      </c>
      <c r="AA86" s="2" t="s">
        <v>375</v>
      </c>
      <c r="AB86" t="s">
        <v>381</v>
      </c>
      <c r="AC86">
        <f t="shared" si="21"/>
        <v>2.3197060174552138</v>
      </c>
      <c r="AD86">
        <f t="shared" si="22"/>
        <v>2177</v>
      </c>
      <c r="AF86" s="8"/>
      <c r="AG86" s="185">
        <v>43017</v>
      </c>
      <c r="AH86" s="217">
        <v>137</v>
      </c>
      <c r="AI86" s="8"/>
      <c r="AJ86" s="511">
        <v>0.9</v>
      </c>
      <c r="AK86" s="172">
        <f t="shared" si="23"/>
        <v>152.22222222222223</v>
      </c>
      <c r="AM86" s="172">
        <f t="shared" si="25"/>
        <v>2345</v>
      </c>
      <c r="AO86" s="172">
        <f t="shared" si="26"/>
        <v>2605.5555555555557</v>
      </c>
      <c r="AQ86" s="8"/>
      <c r="AR86" s="185">
        <v>43017</v>
      </c>
      <c r="AS86" s="217">
        <v>137</v>
      </c>
      <c r="AT86" s="8"/>
      <c r="AU86" s="511">
        <v>0.9</v>
      </c>
      <c r="AV86" s="172">
        <f t="shared" si="24"/>
        <v>152.22222222222223</v>
      </c>
      <c r="AX86" s="172">
        <f t="shared" si="27"/>
        <v>2345</v>
      </c>
      <c r="AZ86" s="172">
        <f t="shared" si="28"/>
        <v>2605.5555555555557</v>
      </c>
    </row>
    <row r="87" spans="1:58" ht="18" customHeight="1" x14ac:dyDescent="0.25">
      <c r="A87" s="1">
        <v>2007</v>
      </c>
      <c r="B87" s="6"/>
      <c r="C87" s="6"/>
      <c r="D87" s="6"/>
      <c r="E87" s="6"/>
      <c r="F87" s="6"/>
      <c r="G87" s="6"/>
      <c r="H87" s="6"/>
      <c r="I87" s="6">
        <v>22</v>
      </c>
      <c r="J87" s="6">
        <v>139</v>
      </c>
      <c r="K87" s="6">
        <v>4</v>
      </c>
      <c r="L87" s="6">
        <v>197</v>
      </c>
      <c r="M87" s="6">
        <v>181</v>
      </c>
      <c r="N87" s="78">
        <v>262</v>
      </c>
      <c r="O87" s="6">
        <v>74</v>
      </c>
      <c r="P87" s="6"/>
      <c r="Q87" s="6">
        <v>106</v>
      </c>
      <c r="R87" s="6"/>
      <c r="S87" s="6"/>
      <c r="T87" s="13"/>
      <c r="U87" s="13"/>
      <c r="V87" s="13"/>
      <c r="W87" s="13"/>
      <c r="X87" s="12">
        <v>717</v>
      </c>
      <c r="Y87" s="7" t="s">
        <v>5</v>
      </c>
      <c r="Z87" s="60">
        <v>12</v>
      </c>
      <c r="AA87" s="2" t="s">
        <v>375</v>
      </c>
      <c r="AB87" t="s">
        <v>381</v>
      </c>
      <c r="AC87">
        <f t="shared" si="21"/>
        <v>2.7366412213740459</v>
      </c>
      <c r="AD87">
        <f t="shared" si="22"/>
        <v>262</v>
      </c>
      <c r="AF87" s="8"/>
      <c r="AG87" s="185">
        <v>43021</v>
      </c>
      <c r="AH87" s="170">
        <v>61</v>
      </c>
      <c r="AJ87" s="511">
        <v>0.9</v>
      </c>
      <c r="AK87" s="172">
        <f t="shared" si="23"/>
        <v>67.777777777777771</v>
      </c>
      <c r="AM87" s="172">
        <f t="shared" si="25"/>
        <v>792</v>
      </c>
      <c r="AO87" s="172">
        <f t="shared" si="26"/>
        <v>880</v>
      </c>
      <c r="AQ87" s="8"/>
      <c r="AR87" s="185">
        <v>43021</v>
      </c>
      <c r="AS87" s="170">
        <v>61</v>
      </c>
      <c r="AU87" s="511">
        <v>0.9</v>
      </c>
      <c r="AV87" s="172">
        <f t="shared" si="24"/>
        <v>67.777777777777771</v>
      </c>
      <c r="AX87" s="172">
        <f t="shared" si="27"/>
        <v>792</v>
      </c>
      <c r="AZ87" s="172">
        <f t="shared" si="28"/>
        <v>880</v>
      </c>
    </row>
    <row r="88" spans="1:58" s="55" customFormat="1" ht="18" customHeight="1" x14ac:dyDescent="0.25">
      <c r="A88" s="13">
        <v>2008</v>
      </c>
      <c r="B88" s="13"/>
      <c r="C88" s="13"/>
      <c r="D88" s="13"/>
      <c r="E88" s="13"/>
      <c r="F88" s="13">
        <v>0</v>
      </c>
      <c r="G88" s="13"/>
      <c r="H88" s="13"/>
      <c r="I88" s="13">
        <v>104</v>
      </c>
      <c r="J88" s="13">
        <v>164</v>
      </c>
      <c r="K88" s="13">
        <v>727</v>
      </c>
      <c r="L88" s="13">
        <v>884</v>
      </c>
      <c r="M88" s="13"/>
      <c r="N88" s="78">
        <v>1681</v>
      </c>
      <c r="O88" s="13"/>
      <c r="P88" s="13"/>
      <c r="Q88" s="13"/>
      <c r="R88" s="13"/>
      <c r="S88" s="13"/>
      <c r="T88" s="13"/>
      <c r="U88" s="13"/>
      <c r="V88" s="13"/>
      <c r="W88" s="13"/>
      <c r="X88" s="13">
        <v>3362</v>
      </c>
      <c r="Y88" s="7" t="s">
        <v>5</v>
      </c>
      <c r="Z88" s="58">
        <v>12</v>
      </c>
      <c r="AA88" s="2" t="s">
        <v>375</v>
      </c>
      <c r="AB88" t="s">
        <v>381</v>
      </c>
      <c r="AC88">
        <f t="shared" si="21"/>
        <v>2</v>
      </c>
      <c r="AD88">
        <f t="shared" si="22"/>
        <v>1681</v>
      </c>
      <c r="AE88"/>
      <c r="AF88" s="8"/>
      <c r="AG88" s="185">
        <v>43031</v>
      </c>
      <c r="AH88" s="170">
        <v>5</v>
      </c>
      <c r="AI88"/>
      <c r="AJ88" s="511">
        <v>0.9</v>
      </c>
      <c r="AK88" s="172">
        <f t="shared" si="23"/>
        <v>5.5555555555555554</v>
      </c>
      <c r="AL88"/>
      <c r="AM88" s="172">
        <f t="shared" si="25"/>
        <v>660</v>
      </c>
      <c r="AN88"/>
      <c r="AO88" s="172">
        <f t="shared" si="26"/>
        <v>733.33333333333326</v>
      </c>
      <c r="AP88"/>
      <c r="AQ88" s="8"/>
      <c r="AR88" s="185">
        <v>43041</v>
      </c>
      <c r="AS88" s="170">
        <v>148</v>
      </c>
      <c r="AT88"/>
      <c r="AU88" s="511">
        <v>0.9</v>
      </c>
      <c r="AV88" s="172">
        <f t="shared" si="24"/>
        <v>164.44444444444443</v>
      </c>
      <c r="AW88"/>
      <c r="AX88" s="172">
        <f t="shared" si="27"/>
        <v>4180</v>
      </c>
      <c r="AY88"/>
      <c r="AZ88" s="172">
        <f t="shared" si="28"/>
        <v>4644.4444444444443</v>
      </c>
      <c r="BA88"/>
      <c r="BB88"/>
      <c r="BC88"/>
      <c r="BD88"/>
      <c r="BE88"/>
      <c r="BF88"/>
    </row>
    <row r="89" spans="1:58" ht="18" customHeight="1" x14ac:dyDescent="0.25">
      <c r="A89" s="13">
        <v>2009</v>
      </c>
      <c r="B89" s="13"/>
      <c r="C89" s="13"/>
      <c r="D89" s="13"/>
      <c r="E89" s="13"/>
      <c r="F89" s="13"/>
      <c r="G89" s="13"/>
      <c r="H89" s="13"/>
      <c r="I89" s="13">
        <v>126</v>
      </c>
      <c r="J89" s="13">
        <v>612</v>
      </c>
      <c r="K89" s="13">
        <v>412</v>
      </c>
      <c r="L89" s="13">
        <v>809</v>
      </c>
      <c r="M89" s="78">
        <v>1377</v>
      </c>
      <c r="N89" s="13"/>
      <c r="O89" s="13">
        <v>56</v>
      </c>
      <c r="P89" s="13"/>
      <c r="Q89" s="13"/>
      <c r="R89" s="13"/>
      <c r="S89" s="13"/>
      <c r="T89" s="13"/>
      <c r="U89" s="13"/>
      <c r="V89" s="13"/>
      <c r="W89" s="13"/>
      <c r="X89" s="13">
        <v>2300</v>
      </c>
      <c r="Y89" s="7" t="s">
        <v>5</v>
      </c>
      <c r="Z89" s="58">
        <v>15</v>
      </c>
      <c r="AA89" s="2" t="s">
        <v>386</v>
      </c>
      <c r="AB89" t="s">
        <v>381</v>
      </c>
      <c r="AC89">
        <f t="shared" si="21"/>
        <v>1.6702977487291213</v>
      </c>
      <c r="AD89">
        <f t="shared" si="22"/>
        <v>1377</v>
      </c>
      <c r="AF89" s="8"/>
      <c r="AG89" s="185">
        <v>43033</v>
      </c>
      <c r="AH89" s="170">
        <v>3</v>
      </c>
      <c r="AJ89" s="511">
        <v>0.9</v>
      </c>
      <c r="AK89" s="172">
        <f t="shared" si="23"/>
        <v>3.333333333333333</v>
      </c>
      <c r="AM89" s="172">
        <f t="shared" si="25"/>
        <v>16</v>
      </c>
      <c r="AO89" s="172">
        <f t="shared" si="26"/>
        <v>17.777777777777779</v>
      </c>
      <c r="AQ89" s="8"/>
      <c r="AR89" s="185">
        <v>43045</v>
      </c>
      <c r="AS89" s="217">
        <v>17</v>
      </c>
      <c r="AU89" s="511">
        <v>0.9</v>
      </c>
      <c r="AV89" s="172">
        <f t="shared" si="24"/>
        <v>18.888888888888889</v>
      </c>
      <c r="AX89" s="172">
        <f t="shared" si="27"/>
        <v>660</v>
      </c>
      <c r="AZ89" s="172">
        <f t="shared" si="28"/>
        <v>733.33333333333326</v>
      </c>
    </row>
    <row r="90" spans="1:58" ht="18" customHeight="1" x14ac:dyDescent="0.25">
      <c r="A90" s="13">
        <v>2010</v>
      </c>
      <c r="B90" s="13"/>
      <c r="C90" s="13"/>
      <c r="D90" s="13"/>
      <c r="E90" s="13">
        <v>0</v>
      </c>
      <c r="F90" s="13"/>
      <c r="G90" s="13"/>
      <c r="H90" s="13">
        <v>1400</v>
      </c>
      <c r="I90" s="13"/>
      <c r="J90" s="78">
        <v>1328</v>
      </c>
      <c r="K90" s="13">
        <v>800</v>
      </c>
      <c r="L90" s="13">
        <v>1096</v>
      </c>
      <c r="M90" s="13">
        <v>630</v>
      </c>
      <c r="N90" s="13">
        <v>135</v>
      </c>
      <c r="O90" s="13"/>
      <c r="P90" s="13"/>
      <c r="Q90" s="13"/>
      <c r="R90" s="13"/>
      <c r="S90" s="13"/>
      <c r="T90" s="13"/>
      <c r="U90" s="13"/>
      <c r="V90" s="13"/>
      <c r="W90" s="13"/>
      <c r="X90" s="13">
        <v>3835</v>
      </c>
      <c r="Y90" s="7" t="s">
        <v>5</v>
      </c>
      <c r="Z90" s="60">
        <v>20</v>
      </c>
      <c r="AA90" s="2" t="s">
        <v>375</v>
      </c>
      <c r="AB90" t="s">
        <v>381</v>
      </c>
      <c r="AC90">
        <f t="shared" si="21"/>
        <v>2.7392857142857143</v>
      </c>
      <c r="AD90">
        <f t="shared" si="22"/>
        <v>1400</v>
      </c>
      <c r="AF90" s="8"/>
      <c r="AG90" s="185">
        <v>43035</v>
      </c>
      <c r="AH90" s="170">
        <v>62</v>
      </c>
      <c r="AJ90" s="511">
        <v>0.8</v>
      </c>
      <c r="AK90" s="172">
        <f t="shared" si="23"/>
        <v>77.5</v>
      </c>
      <c r="AM90" s="172">
        <f t="shared" si="25"/>
        <v>130</v>
      </c>
      <c r="AO90" s="172">
        <f t="shared" si="26"/>
        <v>161.66666666666666</v>
      </c>
      <c r="AQ90" s="8"/>
      <c r="AR90" s="185">
        <v>43049</v>
      </c>
      <c r="AS90" s="170">
        <v>0</v>
      </c>
      <c r="AU90" s="511">
        <v>0.9</v>
      </c>
      <c r="AV90" s="172">
        <f t="shared" si="24"/>
        <v>0</v>
      </c>
      <c r="AX90" s="172">
        <f t="shared" si="27"/>
        <v>68</v>
      </c>
      <c r="AZ90" s="172">
        <f t="shared" si="28"/>
        <v>75.555555555555557</v>
      </c>
    </row>
    <row r="91" spans="1:58" ht="18" customHeight="1" x14ac:dyDescent="0.25">
      <c r="A91" s="13">
        <v>2011</v>
      </c>
      <c r="B91" s="13"/>
      <c r="C91" s="13"/>
      <c r="D91" s="13"/>
      <c r="E91" s="13"/>
      <c r="F91" s="13"/>
      <c r="G91" s="13"/>
      <c r="H91" s="13"/>
      <c r="I91" s="13">
        <v>274</v>
      </c>
      <c r="J91" s="13">
        <v>499</v>
      </c>
      <c r="K91" s="78">
        <v>1069</v>
      </c>
      <c r="L91" s="13">
        <v>521</v>
      </c>
      <c r="M91" s="13">
        <v>1018</v>
      </c>
      <c r="N91" s="13">
        <v>295</v>
      </c>
      <c r="O91" s="13"/>
      <c r="P91" s="13"/>
      <c r="Q91" s="13"/>
      <c r="R91" s="13"/>
      <c r="S91" s="13"/>
      <c r="T91" s="13"/>
      <c r="U91" s="13"/>
      <c r="V91" s="13"/>
      <c r="W91" s="13"/>
      <c r="X91" s="13">
        <v>1532</v>
      </c>
      <c r="Y91" s="7" t="s">
        <v>5</v>
      </c>
      <c r="Z91" s="58">
        <v>17.5</v>
      </c>
      <c r="AA91" s="2" t="s">
        <v>385</v>
      </c>
      <c r="AB91" t="s">
        <v>381</v>
      </c>
      <c r="AC91">
        <f t="shared" si="21"/>
        <v>1.4331150608044902</v>
      </c>
      <c r="AD91">
        <f t="shared" si="22"/>
        <v>1069</v>
      </c>
      <c r="AF91" s="8"/>
      <c r="AG91" s="185">
        <v>43041</v>
      </c>
      <c r="AH91" s="170">
        <v>148</v>
      </c>
      <c r="AJ91" s="511">
        <v>0.9</v>
      </c>
      <c r="AK91" s="172">
        <f t="shared" si="23"/>
        <v>164.44444444444443</v>
      </c>
      <c r="AM91" s="172">
        <f t="shared" si="25"/>
        <v>1260</v>
      </c>
      <c r="AO91" s="172">
        <f t="shared" si="26"/>
        <v>1451.6666666666665</v>
      </c>
      <c r="AQ91" s="8"/>
      <c r="AR91" s="185">
        <v>43050</v>
      </c>
      <c r="AS91" s="170">
        <v>0</v>
      </c>
      <c r="AU91" s="511">
        <v>0.9</v>
      </c>
      <c r="AV91" s="172">
        <f t="shared" si="24"/>
        <v>0</v>
      </c>
      <c r="AX91" s="172">
        <f t="shared" si="27"/>
        <v>0</v>
      </c>
      <c r="AZ91" s="172">
        <f t="shared" si="28"/>
        <v>0</v>
      </c>
    </row>
    <row r="92" spans="1:58" ht="18" customHeight="1" x14ac:dyDescent="0.25">
      <c r="A92" s="13">
        <v>2012</v>
      </c>
      <c r="B92" s="13"/>
      <c r="C92" s="13"/>
      <c r="D92" s="13"/>
      <c r="E92" s="13"/>
      <c r="F92" s="13">
        <v>36</v>
      </c>
      <c r="G92" s="13">
        <v>418</v>
      </c>
      <c r="H92" s="13">
        <v>591</v>
      </c>
      <c r="I92" s="13">
        <v>722</v>
      </c>
      <c r="J92" s="99">
        <v>3532</v>
      </c>
      <c r="K92" s="97">
        <v>1474</v>
      </c>
      <c r="L92" s="13">
        <v>461</v>
      </c>
      <c r="M92" s="13">
        <v>795</v>
      </c>
      <c r="N92" s="13">
        <v>2061</v>
      </c>
      <c r="O92" s="13">
        <v>11</v>
      </c>
      <c r="P92" s="13"/>
      <c r="Q92" s="13"/>
      <c r="R92" s="13"/>
      <c r="S92" s="13"/>
      <c r="T92" s="13"/>
      <c r="U92" s="13"/>
      <c r="V92" s="13"/>
      <c r="W92" s="13"/>
      <c r="X92" s="13">
        <v>5008</v>
      </c>
      <c r="Y92" s="7" t="s">
        <v>5</v>
      </c>
      <c r="Z92" s="58">
        <v>12</v>
      </c>
      <c r="AA92" s="2" t="s">
        <v>385</v>
      </c>
      <c r="AB92" t="s">
        <v>381</v>
      </c>
      <c r="AC92">
        <f t="shared" si="21"/>
        <v>1.4178935447338619</v>
      </c>
      <c r="AD92">
        <f t="shared" si="22"/>
        <v>3532</v>
      </c>
      <c r="AF92" s="8"/>
      <c r="AG92" s="185">
        <v>43045</v>
      </c>
      <c r="AH92" s="217">
        <v>17</v>
      </c>
      <c r="AI92" s="8"/>
      <c r="AJ92" s="511">
        <v>0.9</v>
      </c>
      <c r="AK92" s="172">
        <f t="shared" si="23"/>
        <v>18.888888888888889</v>
      </c>
      <c r="AM92" s="172">
        <f t="shared" si="25"/>
        <v>660</v>
      </c>
      <c r="AO92" s="172">
        <f t="shared" si="26"/>
        <v>733.33333333333326</v>
      </c>
      <c r="AQ92" s="8"/>
      <c r="AR92" s="185">
        <v>43051</v>
      </c>
      <c r="AS92" s="217">
        <v>0</v>
      </c>
      <c r="AT92" s="8"/>
      <c r="AU92" s="511">
        <v>0.9</v>
      </c>
      <c r="AV92" s="172">
        <f t="shared" si="24"/>
        <v>0</v>
      </c>
      <c r="AX92" s="172">
        <f t="shared" si="27"/>
        <v>0</v>
      </c>
      <c r="AZ92" s="172">
        <f t="shared" si="28"/>
        <v>0</v>
      </c>
    </row>
    <row r="93" spans="1:58" ht="18" customHeight="1" x14ac:dyDescent="0.2">
      <c r="A93" s="13">
        <v>2013</v>
      </c>
      <c r="B93" s="13"/>
      <c r="C93" s="13"/>
      <c r="D93" s="13"/>
      <c r="E93" s="13"/>
      <c r="F93" s="109">
        <v>249</v>
      </c>
      <c r="G93" s="109">
        <v>280</v>
      </c>
      <c r="H93" s="109">
        <v>390</v>
      </c>
      <c r="I93" s="109">
        <v>1715</v>
      </c>
      <c r="J93" s="109">
        <v>1340</v>
      </c>
      <c r="K93" s="154">
        <v>1136</v>
      </c>
      <c r="L93" s="155">
        <v>4880</v>
      </c>
      <c r="M93" s="109">
        <v>398</v>
      </c>
      <c r="N93" s="109">
        <v>594</v>
      </c>
      <c r="O93" s="13"/>
      <c r="P93" s="13"/>
      <c r="Q93" s="13"/>
      <c r="R93" s="13"/>
      <c r="S93" s="13"/>
      <c r="T93" s="13"/>
      <c r="U93" s="13"/>
      <c r="V93" s="13"/>
      <c r="W93" s="13"/>
      <c r="X93" s="13">
        <v>6172</v>
      </c>
      <c r="Y93" s="7" t="s">
        <v>5</v>
      </c>
      <c r="Z93" s="58">
        <v>12.5</v>
      </c>
      <c r="AA93" s="2" t="s">
        <v>385</v>
      </c>
      <c r="AB93" t="s">
        <v>381</v>
      </c>
      <c r="AC93">
        <f t="shared" si="21"/>
        <v>1.2647540983606558</v>
      </c>
      <c r="AD93">
        <f t="shared" si="22"/>
        <v>4880</v>
      </c>
      <c r="AF93" s="8"/>
      <c r="AG93" s="185">
        <v>43049</v>
      </c>
      <c r="AH93" s="170">
        <v>0</v>
      </c>
      <c r="AJ93" s="171"/>
      <c r="AK93" s="172">
        <v>0</v>
      </c>
      <c r="AM93" s="172">
        <f t="shared" si="25"/>
        <v>68</v>
      </c>
      <c r="AO93" s="172">
        <f t="shared" si="26"/>
        <v>75.555555555555557</v>
      </c>
      <c r="AQ93" s="8"/>
      <c r="AR93" s="185">
        <v>43052</v>
      </c>
      <c r="AS93" s="170">
        <v>0</v>
      </c>
      <c r="AU93" s="171"/>
      <c r="AV93" s="172">
        <v>0</v>
      </c>
      <c r="AX93" s="172">
        <f t="shared" si="27"/>
        <v>0</v>
      </c>
      <c r="AZ93" s="172">
        <f t="shared" si="28"/>
        <v>0</v>
      </c>
    </row>
    <row r="94" spans="1:58" ht="18" customHeight="1" x14ac:dyDescent="0.2">
      <c r="A94" s="13">
        <v>2014</v>
      </c>
      <c r="B94" s="13"/>
      <c r="C94" s="13"/>
      <c r="D94" s="13"/>
      <c r="E94" s="13">
        <v>0</v>
      </c>
      <c r="F94" s="13"/>
      <c r="G94" s="13"/>
      <c r="H94" s="13">
        <v>0</v>
      </c>
      <c r="I94" s="13">
        <v>2435</v>
      </c>
      <c r="J94" s="89">
        <v>1651</v>
      </c>
      <c r="K94" s="97">
        <v>2982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>
        <v>8652</v>
      </c>
      <c r="Y94" s="7" t="s">
        <v>5</v>
      </c>
      <c r="Z94" s="58">
        <v>20</v>
      </c>
      <c r="AA94" s="2" t="s">
        <v>375</v>
      </c>
      <c r="AB94" t="s">
        <v>381</v>
      </c>
      <c r="AC94">
        <f t="shared" si="21"/>
        <v>2.9014084507042255</v>
      </c>
      <c r="AD94">
        <f t="shared" si="22"/>
        <v>2982</v>
      </c>
      <c r="AF94" s="165" t="s">
        <v>128</v>
      </c>
      <c r="AG94" s="175"/>
      <c r="AH94" s="176"/>
      <c r="AJ94" s="177"/>
      <c r="AK94" s="178"/>
      <c r="AL94" s="179"/>
      <c r="AM94" s="172">
        <f>(AG94-AG93)*(AH94+AH93)</f>
        <v>0</v>
      </c>
      <c r="AO94" s="172">
        <f>(AG94-AG93)*(AK94+AK93)</f>
        <v>0</v>
      </c>
      <c r="AQ94" s="165" t="s">
        <v>128</v>
      </c>
      <c r="AR94" s="175"/>
      <c r="AS94" s="176"/>
      <c r="AU94" s="177"/>
      <c r="AV94" s="178"/>
      <c r="AW94" s="179"/>
      <c r="AX94" s="172">
        <f>(AR94-AR93)*(AS94+AS93)</f>
        <v>0</v>
      </c>
      <c r="AZ94" s="172">
        <f>(AR94-AR93)*(AV94+AV93)</f>
        <v>0</v>
      </c>
    </row>
    <row r="95" spans="1:58" ht="18" customHeight="1" x14ac:dyDescent="0.2">
      <c r="A95" s="13">
        <v>2015</v>
      </c>
      <c r="B95" s="13"/>
      <c r="C95" s="13"/>
      <c r="D95" s="13"/>
      <c r="E95" s="239">
        <v>0</v>
      </c>
      <c r="F95" s="106">
        <v>41</v>
      </c>
      <c r="G95" s="106">
        <v>984</v>
      </c>
      <c r="H95" s="106">
        <v>489</v>
      </c>
      <c r="I95" s="106">
        <v>51</v>
      </c>
      <c r="J95" s="240">
        <v>1001</v>
      </c>
      <c r="K95" s="106">
        <v>1281</v>
      </c>
      <c r="L95" s="156">
        <v>2315</v>
      </c>
      <c r="M95" s="240">
        <v>2215</v>
      </c>
      <c r="N95" s="106">
        <v>1190</v>
      </c>
      <c r="O95" s="106">
        <v>105</v>
      </c>
      <c r="P95" s="106">
        <v>2</v>
      </c>
      <c r="Q95" s="13"/>
      <c r="R95" s="13"/>
      <c r="S95" s="13"/>
      <c r="T95" s="13"/>
      <c r="U95" s="13"/>
      <c r="V95" s="13"/>
      <c r="W95" s="13"/>
      <c r="X95" s="13">
        <v>4839</v>
      </c>
      <c r="Y95" s="7" t="s">
        <v>5</v>
      </c>
      <c r="Z95" s="58">
        <v>15</v>
      </c>
      <c r="AA95" s="2" t="s">
        <v>385</v>
      </c>
      <c r="AB95" t="s">
        <v>381</v>
      </c>
      <c r="AC95">
        <f t="shared" si="21"/>
        <v>2.0902807775377972</v>
      </c>
      <c r="AD95">
        <f t="shared" si="22"/>
        <v>2315</v>
      </c>
      <c r="AF95" s="165" t="s">
        <v>2</v>
      </c>
      <c r="AG95" s="167">
        <v>7</v>
      </c>
      <c r="AH95" s="167"/>
      <c r="AI95" s="167"/>
      <c r="AQ95" s="165" t="s">
        <v>2</v>
      </c>
      <c r="AR95" s="167">
        <v>7</v>
      </c>
      <c r="AS95" s="167"/>
      <c r="AT95" s="167"/>
    </row>
    <row r="96" spans="1:58" ht="18" customHeight="1" x14ac:dyDescent="0.2">
      <c r="A96" s="13">
        <v>2016</v>
      </c>
      <c r="B96" s="13"/>
      <c r="C96" s="13"/>
      <c r="D96" s="13"/>
      <c r="E96" s="13"/>
      <c r="F96" s="106">
        <v>0</v>
      </c>
      <c r="G96" s="106">
        <v>230</v>
      </c>
      <c r="H96" s="106">
        <v>717</v>
      </c>
      <c r="I96" s="13">
        <v>11870</v>
      </c>
      <c r="J96" s="13">
        <v>3096</v>
      </c>
      <c r="K96" s="13">
        <v>1672</v>
      </c>
      <c r="L96" s="13">
        <v>394</v>
      </c>
      <c r="M96" s="13">
        <v>1478</v>
      </c>
      <c r="N96" s="13">
        <v>696</v>
      </c>
      <c r="O96" s="13">
        <v>34</v>
      </c>
      <c r="P96" s="13"/>
      <c r="Q96" s="13"/>
      <c r="R96" s="13"/>
      <c r="S96" s="13"/>
      <c r="T96" s="13"/>
      <c r="U96" s="13"/>
      <c r="V96" s="13"/>
      <c r="W96" s="13"/>
      <c r="X96" s="13">
        <v>13467</v>
      </c>
      <c r="Y96" s="7" t="s">
        <v>5</v>
      </c>
      <c r="Z96" s="317">
        <v>10.5</v>
      </c>
      <c r="AA96" s="2" t="s">
        <v>375</v>
      </c>
      <c r="AB96" t="s">
        <v>381</v>
      </c>
      <c r="AC96">
        <f t="shared" si="21"/>
        <v>1.1345408593091828</v>
      </c>
      <c r="AD96">
        <f t="shared" si="22"/>
        <v>11870</v>
      </c>
      <c r="AF96" s="165" t="s">
        <v>129</v>
      </c>
      <c r="AG96" s="167"/>
      <c r="AH96" s="167">
        <f>MAX(AH79:AH94)</f>
        <v>332</v>
      </c>
      <c r="AI96" s="167"/>
      <c r="AJ96" s="167"/>
      <c r="AK96" s="167">
        <f>MAX(AK79:AK94)</f>
        <v>368.88888888888886</v>
      </c>
      <c r="AL96" s="167"/>
      <c r="AM96" s="167"/>
      <c r="AN96" s="180"/>
      <c r="AQ96" s="165" t="s">
        <v>129</v>
      </c>
      <c r="AR96" s="167"/>
      <c r="AS96" s="167">
        <f>MAX(AS79:AS94)</f>
        <v>332</v>
      </c>
      <c r="AT96" s="167"/>
      <c r="AU96" s="167"/>
      <c r="AV96" s="167">
        <f>MAX(AV79:AV94)</f>
        <v>368.88888888888886</v>
      </c>
      <c r="AW96" s="167"/>
      <c r="AX96" s="167"/>
      <c r="AY96" s="180"/>
    </row>
    <row r="97" spans="1:58" ht="18" customHeight="1" x14ac:dyDescent="0.2">
      <c r="A97" s="13">
        <v>2017</v>
      </c>
      <c r="B97" s="13"/>
      <c r="C97" s="13"/>
      <c r="D97" s="13"/>
      <c r="E97" s="239">
        <v>0</v>
      </c>
      <c r="F97" s="106">
        <v>0</v>
      </c>
      <c r="G97" s="106">
        <v>4</v>
      </c>
      <c r="H97" s="106">
        <v>2</v>
      </c>
      <c r="I97" s="156">
        <v>37</v>
      </c>
      <c r="J97" s="156">
        <v>395</v>
      </c>
      <c r="K97" s="106">
        <v>216</v>
      </c>
      <c r="L97" s="1"/>
      <c r="M97" s="498">
        <v>62</v>
      </c>
      <c r="N97" s="106">
        <v>148</v>
      </c>
      <c r="O97" s="156">
        <v>17</v>
      </c>
      <c r="P97" s="106">
        <v>0</v>
      </c>
      <c r="Q97" s="13"/>
      <c r="R97" s="13"/>
      <c r="S97" s="13"/>
      <c r="T97" s="13"/>
      <c r="U97" s="13"/>
      <c r="V97" s="13"/>
      <c r="W97" s="13"/>
      <c r="X97" s="13">
        <v>550</v>
      </c>
      <c r="Y97" s="7"/>
      <c r="Z97" s="317">
        <v>10</v>
      </c>
      <c r="AC97">
        <f t="shared" si="21"/>
        <v>1.3924050632911393</v>
      </c>
      <c r="AD97">
        <f t="shared" si="22"/>
        <v>395</v>
      </c>
      <c r="AF97" s="165" t="s">
        <v>130</v>
      </c>
      <c r="AG97" s="167"/>
      <c r="AH97" s="169">
        <v>8</v>
      </c>
      <c r="AI97" s="167"/>
      <c r="AJ97" s="167"/>
      <c r="AK97" s="169">
        <v>3.2</v>
      </c>
      <c r="AL97" s="8"/>
      <c r="AM97" s="8"/>
      <c r="AN97" s="8"/>
      <c r="AO97" s="8"/>
      <c r="AQ97" s="165" t="s">
        <v>130</v>
      </c>
      <c r="AR97" s="167"/>
      <c r="AS97" s="169">
        <v>8</v>
      </c>
      <c r="AT97" s="167"/>
      <c r="AV97" s="169">
        <v>3.2</v>
      </c>
      <c r="AW97" s="167"/>
      <c r="AX97" s="167"/>
      <c r="AY97" s="180"/>
    </row>
    <row r="98" spans="1:58" ht="18" customHeight="1" x14ac:dyDescent="0.2">
      <c r="A98" s="13">
        <v>2018</v>
      </c>
      <c r="B98" s="13"/>
      <c r="C98" s="13"/>
      <c r="D98" s="13"/>
      <c r="E98" s="13"/>
      <c r="F98" s="13"/>
      <c r="G98" s="106">
        <v>339</v>
      </c>
      <c r="H98" s="156">
        <v>239</v>
      </c>
      <c r="I98" s="156">
        <v>194</v>
      </c>
      <c r="J98" s="13"/>
      <c r="K98" s="106">
        <v>178</v>
      </c>
      <c r="L98" s="13"/>
      <c r="M98" s="156">
        <v>135</v>
      </c>
      <c r="N98" s="156">
        <v>8</v>
      </c>
      <c r="O98" s="156">
        <v>30</v>
      </c>
      <c r="P98" s="13"/>
      <c r="Q98" s="13"/>
      <c r="R98" s="13"/>
      <c r="S98" s="13"/>
      <c r="T98" s="13"/>
      <c r="U98" s="13"/>
      <c r="V98" s="13"/>
      <c r="W98" s="13"/>
      <c r="X98" s="13">
        <v>695</v>
      </c>
      <c r="Y98" s="7"/>
      <c r="Z98" s="317">
        <v>15</v>
      </c>
      <c r="AA98" s="2" t="s">
        <v>375</v>
      </c>
      <c r="AC98">
        <f>X98/MAX(B98:W98)</f>
        <v>2.0501474926253689</v>
      </c>
      <c r="AD98">
        <f>MAX(B98:W98)</f>
        <v>339</v>
      </c>
      <c r="AF98" s="165" t="s">
        <v>131</v>
      </c>
      <c r="AG98" s="167"/>
      <c r="AH98" s="181">
        <f>(0.5*SUM(AM80:AM94))/AH97</f>
        <v>556.0625</v>
      </c>
      <c r="AI98" s="167"/>
      <c r="AJ98" s="167"/>
      <c r="AK98" s="181">
        <f>(0.5*SUM(AO80:AO94))/AK97</f>
        <v>1555.3819444444441</v>
      </c>
      <c r="AL98" s="8"/>
      <c r="AM98" s="8"/>
      <c r="AN98" s="8"/>
      <c r="AO98" s="8"/>
      <c r="AQ98" s="165" t="s">
        <v>131</v>
      </c>
      <c r="AR98" s="167"/>
      <c r="AS98" s="181">
        <f>(0.5*SUM(AX80:AX94))/AS97</f>
        <v>688.1875</v>
      </c>
      <c r="AT98" s="167"/>
      <c r="AV98" s="181">
        <f>(0.5*SUM(AZ80:AZ94))/AV97</f>
        <v>1911.6319444444441</v>
      </c>
      <c r="AW98" s="167"/>
      <c r="AX98" s="167"/>
      <c r="AY98" s="180"/>
    </row>
    <row r="99" spans="1:58" ht="18" customHeight="1" x14ac:dyDescent="0.2">
      <c r="A99" s="13">
        <v>2019</v>
      </c>
      <c r="B99" s="13"/>
      <c r="C99" s="13"/>
      <c r="D99" s="13"/>
      <c r="E99" s="13"/>
      <c r="F99" s="13"/>
      <c r="G99" s="109">
        <v>212</v>
      </c>
      <c r="H99" s="316">
        <v>67</v>
      </c>
      <c r="I99" s="590">
        <v>275</v>
      </c>
      <c r="J99" s="155">
        <v>335</v>
      </c>
      <c r="K99" s="590">
        <v>202</v>
      </c>
      <c r="L99" s="155">
        <v>212</v>
      </c>
      <c r="M99" s="687">
        <v>31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>
        <v>955</v>
      </c>
      <c r="Y99" s="7"/>
      <c r="Z99" s="317">
        <v>15</v>
      </c>
      <c r="AA99" s="2" t="s">
        <v>375</v>
      </c>
      <c r="AC99">
        <f>X99/MAX(B99:W99)</f>
        <v>2.8507462686567164</v>
      </c>
      <c r="AD99">
        <f>MAX(B99:W99)</f>
        <v>335</v>
      </c>
      <c r="AF99" s="165"/>
      <c r="AG99" s="167"/>
      <c r="AH99" s="167"/>
      <c r="AI99" s="167"/>
      <c r="AJ99" s="167"/>
      <c r="AK99" s="167"/>
      <c r="AL99" s="167"/>
      <c r="AM99" s="167"/>
      <c r="AN99" s="180"/>
      <c r="AQ99" s="165"/>
      <c r="AR99" s="167"/>
      <c r="AS99" s="167"/>
      <c r="AT99" s="167"/>
      <c r="AU99" s="167"/>
      <c r="AV99" s="167"/>
      <c r="AW99" s="167"/>
      <c r="AX99" s="167"/>
      <c r="AY99" s="180"/>
    </row>
    <row r="100" spans="1:58" ht="18" customHeight="1" x14ac:dyDescent="0.2">
      <c r="A100" s="13">
        <v>2020</v>
      </c>
      <c r="B100" s="13"/>
      <c r="C100" s="13"/>
      <c r="D100" s="13"/>
      <c r="E100" s="13"/>
      <c r="F100" s="13"/>
      <c r="G100" s="109">
        <v>138</v>
      </c>
      <c r="H100" s="155">
        <v>171</v>
      </c>
      <c r="I100" s="13"/>
      <c r="J100" s="155">
        <v>517</v>
      </c>
      <c r="K100" s="13"/>
      <c r="L100" s="13"/>
      <c r="M100" s="155">
        <v>308</v>
      </c>
      <c r="N100" s="155">
        <v>301</v>
      </c>
      <c r="O100" s="13"/>
      <c r="P100" s="13"/>
      <c r="Q100" s="13"/>
      <c r="R100" s="13"/>
      <c r="S100" s="13"/>
      <c r="T100" s="13"/>
      <c r="U100" s="13"/>
      <c r="V100" s="13"/>
      <c r="W100" s="13"/>
      <c r="X100" s="13">
        <v>1340</v>
      </c>
      <c r="Y100" s="7"/>
      <c r="Z100" s="317"/>
      <c r="AC100">
        <f>X100/MAX(B100:W100)</f>
        <v>2.5918762088974856</v>
      </c>
      <c r="AF100" s="165"/>
      <c r="AG100" s="167"/>
      <c r="AH100" s="167"/>
      <c r="AI100" s="167"/>
      <c r="AJ100" s="167"/>
      <c r="AK100" s="167"/>
      <c r="AL100" s="167"/>
      <c r="AM100" s="167"/>
      <c r="AN100" s="180"/>
      <c r="AQ100" s="165"/>
      <c r="AR100" s="167"/>
      <c r="AS100" s="167"/>
      <c r="AT100" s="167"/>
      <c r="AU100" s="167"/>
      <c r="AV100" s="167"/>
      <c r="AW100" s="167"/>
      <c r="AX100" s="167"/>
      <c r="AY100" s="180"/>
    </row>
    <row r="101" spans="1:58" s="150" customFormat="1" ht="18" customHeight="1" x14ac:dyDescent="0.2">
      <c r="A101" s="89">
        <v>2021</v>
      </c>
      <c r="B101" s="89"/>
      <c r="C101" s="89"/>
      <c r="D101" s="89"/>
      <c r="E101" s="89"/>
      <c r="F101" s="106">
        <v>0</v>
      </c>
      <c r="G101" s="89"/>
      <c r="H101" s="737"/>
      <c r="I101" s="155">
        <v>493</v>
      </c>
      <c r="J101" s="737"/>
      <c r="K101" s="155">
        <v>441</v>
      </c>
      <c r="L101" s="89"/>
      <c r="M101" s="737"/>
      <c r="N101" s="737"/>
      <c r="O101" s="89"/>
      <c r="P101" s="89"/>
      <c r="Q101" s="89"/>
      <c r="R101" s="89"/>
      <c r="S101" s="89"/>
      <c r="T101" s="89"/>
      <c r="U101" s="89"/>
      <c r="V101" s="89"/>
      <c r="W101" s="89"/>
      <c r="X101" s="89">
        <v>549</v>
      </c>
      <c r="Y101" s="11"/>
      <c r="Z101" s="739"/>
      <c r="AB101" s="151"/>
      <c r="AC101" s="151"/>
      <c r="AD101" s="151"/>
      <c r="AE101" s="151"/>
      <c r="AF101" s="299"/>
      <c r="AG101" s="369"/>
      <c r="AH101" s="369"/>
      <c r="AI101" s="369"/>
      <c r="AJ101" s="369"/>
      <c r="AK101" s="369"/>
      <c r="AL101" s="369"/>
      <c r="AM101" s="369"/>
      <c r="AN101" s="747"/>
      <c r="AO101" s="151"/>
      <c r="AP101" s="151"/>
      <c r="AQ101" s="299"/>
      <c r="AR101" s="369"/>
      <c r="AS101" s="369"/>
      <c r="AT101" s="369"/>
      <c r="AU101" s="369"/>
      <c r="AV101" s="369"/>
      <c r="AW101" s="369"/>
      <c r="AX101" s="369"/>
      <c r="AY101" s="747"/>
      <c r="AZ101" s="151"/>
      <c r="BA101" s="151"/>
      <c r="BB101" s="151"/>
      <c r="BC101" s="151"/>
      <c r="BD101" s="151"/>
      <c r="BE101" s="151"/>
      <c r="BF101" s="151"/>
    </row>
    <row r="102" spans="1:58" s="150" customFormat="1" ht="18" customHeight="1" x14ac:dyDescent="0.2">
      <c r="A102" s="89">
        <v>2022</v>
      </c>
      <c r="B102" s="89"/>
      <c r="C102" s="89"/>
      <c r="D102" s="89"/>
      <c r="E102" s="89"/>
      <c r="F102" s="227"/>
      <c r="G102" s="590">
        <v>230</v>
      </c>
      <c r="H102" s="437">
        <v>40</v>
      </c>
      <c r="I102" s="737"/>
      <c r="J102" s="155">
        <v>377</v>
      </c>
      <c r="K102" s="737"/>
      <c r="L102" s="89"/>
      <c r="M102" s="737"/>
      <c r="N102" s="737"/>
      <c r="O102" s="89"/>
      <c r="P102" s="89"/>
      <c r="Q102" s="89"/>
      <c r="R102" s="89"/>
      <c r="S102" s="89"/>
      <c r="T102" s="89"/>
      <c r="U102" s="89"/>
      <c r="V102" s="89"/>
      <c r="W102" s="89"/>
      <c r="X102" s="89">
        <v>3240</v>
      </c>
      <c r="Y102" s="11"/>
      <c r="Z102" s="739"/>
      <c r="AB102" s="151"/>
      <c r="AC102" s="151"/>
      <c r="AD102" s="151"/>
      <c r="AE102" s="151"/>
      <c r="AF102" s="299"/>
      <c r="AG102" s="369"/>
      <c r="AH102" s="369"/>
      <c r="AI102" s="369"/>
      <c r="AJ102" s="369"/>
      <c r="AK102" s="369"/>
      <c r="AL102" s="369"/>
      <c r="AM102" s="369"/>
      <c r="AN102" s="747"/>
      <c r="AO102" s="151"/>
      <c r="AP102" s="151"/>
      <c r="AQ102" s="299"/>
      <c r="AR102" s="369"/>
      <c r="AS102" s="369"/>
      <c r="AT102" s="369"/>
      <c r="AU102" s="369"/>
      <c r="AV102" s="369"/>
      <c r="AW102" s="369"/>
      <c r="AX102" s="369"/>
      <c r="AY102" s="747"/>
      <c r="AZ102" s="151"/>
      <c r="BA102" s="151"/>
      <c r="BB102" s="151"/>
      <c r="BC102" s="151"/>
      <c r="BD102" s="151"/>
      <c r="BE102" s="151"/>
      <c r="BF102" s="151"/>
    </row>
    <row r="103" spans="1:58" s="150" customFormat="1" ht="18" customHeight="1" x14ac:dyDescent="0.2">
      <c r="A103" s="89">
        <v>2023</v>
      </c>
      <c r="B103" s="89"/>
      <c r="C103" s="89"/>
      <c r="D103" s="89"/>
      <c r="E103" s="89"/>
      <c r="F103" s="106">
        <v>10</v>
      </c>
      <c r="G103" s="106">
        <v>10</v>
      </c>
      <c r="H103" s="227"/>
      <c r="I103" s="227"/>
      <c r="J103" s="106">
        <v>608</v>
      </c>
      <c r="K103" s="227"/>
      <c r="L103" s="227"/>
      <c r="M103" s="737"/>
      <c r="N103" s="737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11"/>
      <c r="Z103" s="739"/>
      <c r="AB103" s="151"/>
      <c r="AC103" s="151"/>
      <c r="AD103" s="151"/>
      <c r="AE103" s="151"/>
      <c r="AF103" s="299"/>
      <c r="AG103" s="369"/>
      <c r="AH103" s="369"/>
      <c r="AI103" s="369"/>
      <c r="AJ103" s="369"/>
      <c r="AK103" s="369"/>
      <c r="AL103" s="369"/>
      <c r="AM103" s="369"/>
      <c r="AN103" s="747"/>
      <c r="AO103" s="151"/>
      <c r="AP103" s="151"/>
      <c r="AQ103" s="299"/>
      <c r="AR103" s="369"/>
      <c r="AS103" s="369"/>
      <c r="AT103" s="369"/>
      <c r="AU103" s="369"/>
      <c r="AV103" s="369"/>
      <c r="AW103" s="369"/>
      <c r="AX103" s="369"/>
      <c r="AY103" s="747"/>
      <c r="AZ103" s="151"/>
      <c r="BA103" s="151"/>
      <c r="BB103" s="151"/>
      <c r="BC103" s="151"/>
      <c r="BD103" s="151"/>
      <c r="BE103" s="151"/>
      <c r="BF103" s="151"/>
    </row>
    <row r="104" spans="1:58" ht="18" customHeight="1" x14ac:dyDescent="0.2">
      <c r="A104" s="64" t="s">
        <v>17</v>
      </c>
      <c r="B104" s="16"/>
      <c r="C104" s="16">
        <f>AVERAGE(C75:C89)</f>
        <v>0</v>
      </c>
      <c r="D104" s="16">
        <f t="shared" ref="D104:T104" si="29">AVERAGE(D75:D89)</f>
        <v>0</v>
      </c>
      <c r="E104" s="16"/>
      <c r="F104" s="16">
        <f t="shared" si="29"/>
        <v>0</v>
      </c>
      <c r="G104" s="16">
        <f t="shared" si="29"/>
        <v>219</v>
      </c>
      <c r="H104" s="16">
        <f t="shared" si="29"/>
        <v>270.75</v>
      </c>
      <c r="I104" s="16">
        <f t="shared" si="29"/>
        <v>476.15384615384613</v>
      </c>
      <c r="J104" s="16">
        <f t="shared" si="29"/>
        <v>503.81818181818181</v>
      </c>
      <c r="K104" s="16">
        <f t="shared" si="29"/>
        <v>2684.6153846153848</v>
      </c>
      <c r="L104" s="16">
        <f t="shared" si="29"/>
        <v>3025.5</v>
      </c>
      <c r="M104" s="16">
        <f t="shared" si="29"/>
        <v>4549.2</v>
      </c>
      <c r="N104" s="16">
        <f t="shared" si="29"/>
        <v>2044.3333333333333</v>
      </c>
      <c r="O104" s="16">
        <f t="shared" si="29"/>
        <v>1333.875</v>
      </c>
      <c r="P104" s="16">
        <f t="shared" si="29"/>
        <v>881.83333333333337</v>
      </c>
      <c r="Q104" s="16">
        <f t="shared" si="29"/>
        <v>222</v>
      </c>
      <c r="R104" s="16">
        <f t="shared" si="29"/>
        <v>19.25</v>
      </c>
      <c r="S104" s="16">
        <f t="shared" si="29"/>
        <v>0</v>
      </c>
      <c r="T104" s="16">
        <f t="shared" si="29"/>
        <v>0</v>
      </c>
      <c r="U104" s="16"/>
      <c r="V104" s="16"/>
      <c r="W104" s="16"/>
      <c r="X104" s="16">
        <f>AVERAGE(X75:X89)</f>
        <v>7855.666666666667</v>
      </c>
      <c r="Y104" s="17"/>
      <c r="Z104" s="16">
        <f>AVERAGE(Z75:Z89)</f>
        <v>15.033333333333333</v>
      </c>
      <c r="AB104" t="s">
        <v>387</v>
      </c>
      <c r="AF104" s="165"/>
      <c r="AG104" s="167"/>
      <c r="AH104" s="167"/>
      <c r="AI104" s="167"/>
      <c r="AJ104" s="167"/>
      <c r="AK104" s="167"/>
      <c r="AL104" s="167"/>
      <c r="AM104" s="167"/>
      <c r="AN104" s="180"/>
      <c r="AQ104" s="165"/>
      <c r="AR104" s="167"/>
      <c r="AS104" s="167"/>
      <c r="AT104" s="167"/>
      <c r="AU104" s="167"/>
      <c r="AV104" s="167"/>
      <c r="AW104" s="167"/>
      <c r="AX104" s="167"/>
      <c r="AY104" s="180"/>
    </row>
    <row r="105" spans="1:58" x14ac:dyDescent="0.2">
      <c r="AI105" s="167"/>
      <c r="AW105" s="8"/>
      <c r="AX105" s="8"/>
      <c r="AY105" s="8"/>
      <c r="AZ105" s="8"/>
    </row>
    <row r="106" spans="1:58" x14ac:dyDescent="0.2">
      <c r="AI106" s="167"/>
      <c r="AW106" s="8"/>
      <c r="AX106" s="8"/>
      <c r="AY106" s="8"/>
      <c r="AZ106" s="8"/>
    </row>
    <row r="107" spans="1:58" x14ac:dyDescent="0.2">
      <c r="A107" s="1002" t="s">
        <v>614</v>
      </c>
      <c r="B107" s="1003"/>
      <c r="C107" s="1003"/>
      <c r="D107" s="1003"/>
      <c r="E107" s="1003"/>
      <c r="F107" s="1003"/>
      <c r="G107" s="1003"/>
      <c r="H107" s="1003"/>
      <c r="I107" s="1003"/>
    </row>
    <row r="108" spans="1:58" ht="13.5" thickBot="1" x14ac:dyDescent="0.25"/>
    <row r="109" spans="1:58" ht="13.5" thickTop="1" x14ac:dyDescent="0.2">
      <c r="A109" s="1004" t="s">
        <v>0</v>
      </c>
      <c r="B109" s="1006" t="s">
        <v>1</v>
      </c>
      <c r="C109" s="1006"/>
      <c r="D109" s="1006"/>
      <c r="E109" s="1006"/>
      <c r="F109" s="1006"/>
      <c r="G109" s="1006"/>
      <c r="H109" s="1006"/>
      <c r="I109" s="1006"/>
      <c r="J109" s="1006"/>
      <c r="K109" s="1006"/>
      <c r="L109" s="1006"/>
      <c r="M109" s="1006"/>
      <c r="N109" s="1006"/>
      <c r="O109" s="1006"/>
      <c r="P109" s="1006"/>
      <c r="Q109" s="1006"/>
      <c r="R109" s="1006"/>
      <c r="S109" s="1006"/>
      <c r="T109" s="1006"/>
      <c r="U109" s="1006"/>
      <c r="V109" s="1006"/>
      <c r="W109" s="1006"/>
      <c r="X109" s="1004" t="s">
        <v>2</v>
      </c>
      <c r="Y109" s="1010" t="s">
        <v>3</v>
      </c>
      <c r="Z109" s="1008" t="s">
        <v>4</v>
      </c>
    </row>
    <row r="110" spans="1:58" x14ac:dyDescent="0.2">
      <c r="A110" s="1005"/>
      <c r="B110" s="18">
        <v>81</v>
      </c>
      <c r="C110" s="18">
        <v>82</v>
      </c>
      <c r="D110" s="18">
        <v>83</v>
      </c>
      <c r="E110" s="18">
        <v>84</v>
      </c>
      <c r="F110" s="18">
        <v>91</v>
      </c>
      <c r="G110" s="18">
        <v>92</v>
      </c>
      <c r="H110" s="18">
        <v>93</v>
      </c>
      <c r="I110" s="18">
        <v>94</v>
      </c>
      <c r="J110" s="18">
        <v>101</v>
      </c>
      <c r="K110" s="18">
        <v>102</v>
      </c>
      <c r="L110" s="18">
        <v>103</v>
      </c>
      <c r="M110" s="18">
        <v>104</v>
      </c>
      <c r="N110" s="18">
        <v>105</v>
      </c>
      <c r="O110" s="18">
        <v>111</v>
      </c>
      <c r="P110" s="18">
        <v>112</v>
      </c>
      <c r="Q110" s="18">
        <v>113</v>
      </c>
      <c r="R110" s="18">
        <v>114</v>
      </c>
      <c r="S110" s="18">
        <v>115</v>
      </c>
      <c r="T110" s="18">
        <v>121</v>
      </c>
      <c r="U110" s="18">
        <v>122</v>
      </c>
      <c r="V110" s="18">
        <v>123</v>
      </c>
      <c r="W110" s="18">
        <v>124</v>
      </c>
      <c r="X110" s="1005"/>
      <c r="Y110" s="1011"/>
      <c r="Z110" s="1009"/>
    </row>
    <row r="111" spans="1:58" x14ac:dyDescent="0.2">
      <c r="A111" s="13">
        <v>2011</v>
      </c>
      <c r="B111" s="6"/>
      <c r="C111" s="6"/>
      <c r="D111" s="6"/>
      <c r="E111" s="6"/>
      <c r="F111" s="6"/>
      <c r="G111" s="6"/>
      <c r="H111" s="6"/>
      <c r="I111" s="6">
        <v>56</v>
      </c>
      <c r="J111" s="6">
        <v>119</v>
      </c>
      <c r="K111" s="6">
        <v>1395</v>
      </c>
      <c r="L111" s="6">
        <v>51</v>
      </c>
      <c r="M111" s="6">
        <v>181</v>
      </c>
      <c r="N111" s="6">
        <v>52</v>
      </c>
      <c r="O111" s="6"/>
      <c r="P111" s="6"/>
      <c r="Q111" s="6"/>
      <c r="R111" s="6"/>
      <c r="S111" s="6"/>
      <c r="T111" s="13"/>
      <c r="U111" s="13"/>
      <c r="V111" s="13"/>
      <c r="W111" s="13"/>
      <c r="X111" s="7">
        <v>1540</v>
      </c>
      <c r="Y111" s="7" t="s">
        <v>9</v>
      </c>
      <c r="Z111" s="10"/>
      <c r="AB111">
        <f t="shared" ref="AB111:AB120" si="30">X111/MAX(B111:W111)</f>
        <v>1.1039426523297491</v>
      </c>
    </row>
    <row r="112" spans="1:58" x14ac:dyDescent="0.2">
      <c r="A112" s="13">
        <v>2012</v>
      </c>
      <c r="B112" s="55"/>
      <c r="C112" s="55"/>
      <c r="D112" s="55"/>
      <c r="E112" s="55"/>
      <c r="F112" s="55">
        <v>123</v>
      </c>
      <c r="G112" s="55">
        <v>124</v>
      </c>
      <c r="H112" s="55">
        <v>191</v>
      </c>
      <c r="I112" s="55">
        <v>144</v>
      </c>
      <c r="J112" s="55">
        <v>145</v>
      </c>
      <c r="K112" s="55">
        <v>176</v>
      </c>
      <c r="L112" s="55">
        <v>82</v>
      </c>
      <c r="M112" s="55">
        <v>61</v>
      </c>
      <c r="N112" s="55">
        <v>10</v>
      </c>
      <c r="O112" s="55">
        <v>31</v>
      </c>
      <c r="P112" s="55">
        <v>10</v>
      </c>
      <c r="Q112" s="55"/>
      <c r="R112" s="55"/>
      <c r="S112" s="55"/>
      <c r="T112" s="55"/>
      <c r="U112" s="55"/>
      <c r="V112" s="55"/>
      <c r="W112" s="55"/>
      <c r="X112" s="253">
        <v>308</v>
      </c>
      <c r="Y112" s="253" t="s">
        <v>5</v>
      </c>
      <c r="Z112" s="252">
        <v>25</v>
      </c>
      <c r="AB112">
        <f t="shared" si="30"/>
        <v>1.6125654450261779</v>
      </c>
    </row>
    <row r="113" spans="1:58" x14ac:dyDescent="0.2">
      <c r="A113" s="13">
        <v>2013</v>
      </c>
      <c r="B113" s="55"/>
      <c r="C113" s="55"/>
      <c r="D113" s="55"/>
      <c r="E113" s="55"/>
      <c r="F113" s="55">
        <v>554</v>
      </c>
      <c r="G113" s="55">
        <v>37</v>
      </c>
      <c r="H113" s="55">
        <v>435</v>
      </c>
      <c r="I113" s="55">
        <v>425</v>
      </c>
      <c r="J113" s="55">
        <v>227</v>
      </c>
      <c r="K113" s="55">
        <v>390</v>
      </c>
      <c r="L113" s="55">
        <v>745</v>
      </c>
      <c r="M113" s="55">
        <v>142</v>
      </c>
      <c r="N113" s="55">
        <v>528</v>
      </c>
      <c r="O113" s="55"/>
      <c r="P113" s="55"/>
      <c r="Q113" s="55"/>
      <c r="R113" s="55"/>
      <c r="S113" s="55"/>
      <c r="T113" s="55"/>
      <c r="U113" s="55"/>
      <c r="V113" s="55"/>
      <c r="W113" s="55"/>
      <c r="X113" s="253">
        <v>1357</v>
      </c>
      <c r="Y113" s="253" t="s">
        <v>5</v>
      </c>
      <c r="Z113" s="252">
        <v>25</v>
      </c>
      <c r="AB113">
        <f t="shared" si="30"/>
        <v>1.8214765100671142</v>
      </c>
    </row>
    <row r="114" spans="1:58" x14ac:dyDescent="0.2">
      <c r="A114" s="13">
        <v>2014</v>
      </c>
      <c r="B114" s="55"/>
      <c r="C114" s="55"/>
      <c r="D114" s="55"/>
      <c r="E114" s="55">
        <v>209</v>
      </c>
      <c r="F114" s="55"/>
      <c r="G114" s="55"/>
      <c r="H114" s="55"/>
      <c r="I114" s="55">
        <v>751</v>
      </c>
      <c r="J114" s="55">
        <v>246</v>
      </c>
      <c r="K114" s="55">
        <v>889</v>
      </c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253">
        <v>1053</v>
      </c>
      <c r="Y114" s="253" t="s">
        <v>5</v>
      </c>
      <c r="Z114" s="252">
        <v>35</v>
      </c>
      <c r="AB114">
        <f t="shared" si="30"/>
        <v>1.1844769403824522</v>
      </c>
    </row>
    <row r="115" spans="1:58" x14ac:dyDescent="0.2">
      <c r="A115" s="13">
        <v>2015</v>
      </c>
      <c r="B115" s="55"/>
      <c r="C115" s="55"/>
      <c r="D115" s="55"/>
      <c r="E115" s="55">
        <v>0</v>
      </c>
      <c r="F115" s="55">
        <v>0</v>
      </c>
      <c r="G115" s="55">
        <v>576</v>
      </c>
      <c r="H115" s="55">
        <v>617</v>
      </c>
      <c r="I115" s="55">
        <v>37</v>
      </c>
      <c r="J115" s="55">
        <v>554</v>
      </c>
      <c r="K115" s="55">
        <v>629</v>
      </c>
      <c r="L115" s="55">
        <v>60</v>
      </c>
      <c r="M115" s="55">
        <v>264</v>
      </c>
      <c r="N115" s="55">
        <v>744</v>
      </c>
      <c r="O115" s="55">
        <v>140</v>
      </c>
      <c r="P115" s="55">
        <v>13</v>
      </c>
      <c r="Q115" s="55"/>
      <c r="R115" s="55"/>
      <c r="S115" s="55"/>
      <c r="T115" s="55"/>
      <c r="U115" s="55"/>
      <c r="V115" s="55"/>
      <c r="W115" s="55"/>
      <c r="X115" s="253">
        <v>1189</v>
      </c>
      <c r="Y115" s="253" t="s">
        <v>5</v>
      </c>
      <c r="Z115" s="252">
        <v>25</v>
      </c>
      <c r="AB115">
        <f t="shared" si="30"/>
        <v>1.5981182795698925</v>
      </c>
    </row>
    <row r="116" spans="1:58" x14ac:dyDescent="0.2">
      <c r="A116" s="25">
        <v>2016</v>
      </c>
      <c r="F116" s="106">
        <v>10</v>
      </c>
      <c r="G116" s="2">
        <v>247</v>
      </c>
      <c r="H116" s="2">
        <v>935</v>
      </c>
      <c r="I116" s="2">
        <v>1364</v>
      </c>
      <c r="J116" s="2">
        <v>474</v>
      </c>
      <c r="K116" s="2">
        <v>785</v>
      </c>
      <c r="L116" s="2">
        <v>34</v>
      </c>
      <c r="M116" s="2">
        <v>127</v>
      </c>
      <c r="N116" s="2">
        <v>435</v>
      </c>
      <c r="O116" s="2">
        <v>131</v>
      </c>
      <c r="X116" s="25">
        <v>1572</v>
      </c>
      <c r="Y116" s="253" t="s">
        <v>5</v>
      </c>
      <c r="Z116" s="56">
        <v>25</v>
      </c>
      <c r="AB116">
        <f t="shared" si="30"/>
        <v>1.152492668621701</v>
      </c>
    </row>
    <row r="117" spans="1:58" x14ac:dyDescent="0.2">
      <c r="A117" s="25">
        <v>2017</v>
      </c>
      <c r="E117" s="239">
        <v>0</v>
      </c>
      <c r="F117" s="106">
        <v>171</v>
      </c>
      <c r="G117" s="106">
        <v>390</v>
      </c>
      <c r="H117" s="106">
        <v>325</v>
      </c>
      <c r="I117" s="106">
        <v>425</v>
      </c>
      <c r="J117" s="106">
        <v>244</v>
      </c>
      <c r="K117" s="106">
        <v>353</v>
      </c>
      <c r="L117" s="1"/>
      <c r="M117" s="498">
        <v>0</v>
      </c>
      <c r="N117" s="106">
        <v>47</v>
      </c>
      <c r="O117" s="156">
        <v>9</v>
      </c>
      <c r="P117" s="106">
        <v>0</v>
      </c>
      <c r="X117" s="25">
        <v>555</v>
      </c>
      <c r="Y117" s="253"/>
      <c r="Z117" s="56">
        <v>35</v>
      </c>
      <c r="AB117">
        <f t="shared" si="30"/>
        <v>1.3058823529411765</v>
      </c>
    </row>
    <row r="118" spans="1:58" x14ac:dyDescent="0.2">
      <c r="A118" s="524">
        <v>2018</v>
      </c>
      <c r="G118" s="156">
        <v>67</v>
      </c>
      <c r="H118" s="156">
        <v>119</v>
      </c>
      <c r="I118" s="156">
        <v>221</v>
      </c>
      <c r="K118" s="156">
        <v>174</v>
      </c>
      <c r="M118" s="156">
        <v>340</v>
      </c>
      <c r="N118" s="156">
        <v>42</v>
      </c>
      <c r="O118" s="156">
        <v>2</v>
      </c>
      <c r="X118" s="524">
        <v>340</v>
      </c>
      <c r="Y118" s="7" t="s">
        <v>9</v>
      </c>
      <c r="AB118">
        <f t="shared" si="30"/>
        <v>1</v>
      </c>
    </row>
    <row r="119" spans="1:58" x14ac:dyDescent="0.2">
      <c r="A119" s="572">
        <v>2019</v>
      </c>
      <c r="G119" s="464">
        <v>144</v>
      </c>
      <c r="H119" s="682">
        <v>0</v>
      </c>
      <c r="I119" s="683">
        <v>57</v>
      </c>
      <c r="J119" s="156">
        <v>42</v>
      </c>
      <c r="K119" s="598">
        <v>18</v>
      </c>
      <c r="L119" s="106">
        <v>17</v>
      </c>
      <c r="M119" s="684">
        <v>18</v>
      </c>
      <c r="X119" s="572">
        <v>180</v>
      </c>
      <c r="Y119" s="7" t="s">
        <v>9</v>
      </c>
      <c r="AB119">
        <f t="shared" si="30"/>
        <v>1.25</v>
      </c>
    </row>
    <row r="120" spans="1:58" x14ac:dyDescent="0.2">
      <c r="A120" s="689">
        <v>2020</v>
      </c>
      <c r="G120" s="598">
        <v>69</v>
      </c>
      <c r="H120" s="598">
        <v>49</v>
      </c>
      <c r="J120" s="156">
        <v>30</v>
      </c>
      <c r="M120" s="156">
        <v>177</v>
      </c>
      <c r="N120" s="156">
        <v>96</v>
      </c>
      <c r="X120" s="689">
        <v>221</v>
      </c>
      <c r="Y120" s="7" t="s">
        <v>9</v>
      </c>
      <c r="AB120">
        <f t="shared" si="30"/>
        <v>1.2485875706214689</v>
      </c>
    </row>
    <row r="121" spans="1:58" s="150" customFormat="1" x14ac:dyDescent="0.2">
      <c r="A121" s="743">
        <v>2021</v>
      </c>
      <c r="F121" s="106">
        <v>0</v>
      </c>
      <c r="G121" s="745"/>
      <c r="H121" s="745"/>
      <c r="I121" s="156">
        <v>223</v>
      </c>
      <c r="J121" s="558"/>
      <c r="K121" s="156">
        <v>360</v>
      </c>
      <c r="M121" s="558"/>
      <c r="N121" s="558"/>
      <c r="X121" s="743">
        <v>400</v>
      </c>
      <c r="Y121" s="11"/>
      <c r="Z121" s="95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</row>
    <row r="122" spans="1:58" s="150" customFormat="1" x14ac:dyDescent="0.2">
      <c r="A122" s="743">
        <v>2022</v>
      </c>
      <c r="F122" s="227"/>
      <c r="G122" s="783">
        <v>0</v>
      </c>
      <c r="H122" s="783">
        <v>0</v>
      </c>
      <c r="I122" s="558"/>
      <c r="J122" s="156">
        <v>17</v>
      </c>
      <c r="K122" s="558"/>
      <c r="M122" s="558"/>
      <c r="N122" s="558"/>
      <c r="X122" s="743">
        <v>27</v>
      </c>
      <c r="Y122" s="11"/>
      <c r="Z122" s="95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</row>
    <row r="123" spans="1:58" s="150" customFormat="1" x14ac:dyDescent="0.2">
      <c r="A123" s="743">
        <v>2023</v>
      </c>
      <c r="F123" s="106">
        <v>0</v>
      </c>
      <c r="G123" s="106">
        <v>0</v>
      </c>
      <c r="H123" s="227"/>
      <c r="I123" s="227"/>
      <c r="J123" s="106">
        <v>136</v>
      </c>
      <c r="K123" s="227"/>
      <c r="M123" s="558"/>
      <c r="N123" s="558"/>
      <c r="X123" s="743"/>
      <c r="Y123" s="11"/>
      <c r="Z123" s="95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</row>
    <row r="124" spans="1:58" x14ac:dyDescent="0.2">
      <c r="A124" s="64" t="s">
        <v>17</v>
      </c>
      <c r="B124" s="16"/>
      <c r="C124" s="16"/>
      <c r="D124" s="16"/>
      <c r="E124" s="16"/>
      <c r="F124" s="16">
        <f>AVERAGE(F111:F116)</f>
        <v>171.75</v>
      </c>
      <c r="G124" s="16">
        <f t="shared" ref="G124:P124" si="31">AVERAGE(G111:G116)</f>
        <v>246</v>
      </c>
      <c r="H124" s="16">
        <f t="shared" si="31"/>
        <v>544.5</v>
      </c>
      <c r="I124" s="16">
        <f t="shared" si="31"/>
        <v>462.83333333333331</v>
      </c>
      <c r="J124" s="16">
        <f t="shared" si="31"/>
        <v>294.16666666666669</v>
      </c>
      <c r="K124" s="16">
        <f t="shared" si="31"/>
        <v>710.66666666666663</v>
      </c>
      <c r="L124" s="16">
        <f t="shared" si="31"/>
        <v>194.4</v>
      </c>
      <c r="M124" s="16">
        <f t="shared" si="31"/>
        <v>155</v>
      </c>
      <c r="N124" s="16">
        <f t="shared" si="31"/>
        <v>353.8</v>
      </c>
      <c r="O124" s="16">
        <f t="shared" si="31"/>
        <v>100.66666666666667</v>
      </c>
      <c r="P124" s="16">
        <f t="shared" si="31"/>
        <v>11.5</v>
      </c>
      <c r="Q124" s="16"/>
      <c r="R124" s="16"/>
      <c r="S124" s="16"/>
      <c r="T124" s="16"/>
      <c r="U124" s="16"/>
      <c r="V124" s="16"/>
      <c r="W124" s="16"/>
      <c r="X124" s="16">
        <f>AVERAGE(X111:X122)</f>
        <v>728.5</v>
      </c>
      <c r="Y124" s="17"/>
      <c r="Z124" s="16"/>
    </row>
  </sheetData>
  <mergeCells count="44">
    <mergeCell ref="Y3:Y4"/>
    <mergeCell ref="X73:X74"/>
    <mergeCell ref="A1:I1"/>
    <mergeCell ref="B3:W3"/>
    <mergeCell ref="X3:X4"/>
    <mergeCell ref="A36:I36"/>
    <mergeCell ref="A3:A4"/>
    <mergeCell ref="Y38:Y39"/>
    <mergeCell ref="A38:A39"/>
    <mergeCell ref="B38:W38"/>
    <mergeCell ref="X38:X39"/>
    <mergeCell ref="A71:I71"/>
    <mergeCell ref="A73:A74"/>
    <mergeCell ref="B73:W73"/>
    <mergeCell ref="AA3:AB3"/>
    <mergeCell ref="Z3:Z4"/>
    <mergeCell ref="CR4:CR5"/>
    <mergeCell ref="CS4:CS5"/>
    <mergeCell ref="AO4:AO5"/>
    <mergeCell ref="AP4:AP5"/>
    <mergeCell ref="AZ4:AZ5"/>
    <mergeCell ref="BA4:BA5"/>
    <mergeCell ref="BK4:BK5"/>
    <mergeCell ref="BL4:BL5"/>
    <mergeCell ref="BV4:BV5"/>
    <mergeCell ref="BW4:BW5"/>
    <mergeCell ref="CG4:CG5"/>
    <mergeCell ref="CH4:CH5"/>
    <mergeCell ref="AH18:AJ18"/>
    <mergeCell ref="AR75:AR76"/>
    <mergeCell ref="A107:I107"/>
    <mergeCell ref="A109:A110"/>
    <mergeCell ref="B109:W109"/>
    <mergeCell ref="X109:X110"/>
    <mergeCell ref="Y109:Y110"/>
    <mergeCell ref="Z109:Z110"/>
    <mergeCell ref="AF75:AF76"/>
    <mergeCell ref="AG75:AG76"/>
    <mergeCell ref="AQ75:AQ76"/>
    <mergeCell ref="Z38:Z39"/>
    <mergeCell ref="Z73:Z74"/>
    <mergeCell ref="AA73:AB73"/>
    <mergeCell ref="AA38:AB38"/>
    <mergeCell ref="Y73:Y74"/>
  </mergeCells>
  <phoneticPr fontId="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123"/>
  <sheetViews>
    <sheetView topLeftCell="A49" workbookViewId="0">
      <selection activeCell="Q117" sqref="Q117"/>
    </sheetView>
  </sheetViews>
  <sheetFormatPr defaultRowHeight="12.75" x14ac:dyDescent="0.2"/>
  <cols>
    <col min="1" max="1" width="8.5703125" customWidth="1"/>
    <col min="2" max="2" width="9.140625" customWidth="1"/>
    <col min="3" max="7" width="5.7109375" customWidth="1"/>
    <col min="8" max="8" width="6.85546875" customWidth="1"/>
    <col min="9" max="24" width="5.7109375" customWidth="1"/>
    <col min="29" max="29" width="6.140625" customWidth="1"/>
    <col min="30" max="30" width="13.28515625" customWidth="1"/>
    <col min="48" max="48" width="9.42578125" bestFit="1" customWidth="1"/>
    <col min="50" max="50" width="11.5703125" customWidth="1"/>
  </cols>
  <sheetData>
    <row r="1" spans="1:59" x14ac:dyDescent="0.2">
      <c r="A1" s="1002" t="s">
        <v>615</v>
      </c>
      <c r="B1" s="1002"/>
      <c r="C1" s="1003"/>
      <c r="D1" s="1003"/>
      <c r="E1" s="1003"/>
      <c r="F1" s="1003"/>
      <c r="G1" s="1003"/>
      <c r="H1" s="1003"/>
      <c r="I1" s="1003"/>
      <c r="J1" s="1003"/>
    </row>
    <row r="2" spans="1:59" ht="13.5" thickBot="1" x14ac:dyDescent="0.25"/>
    <row r="3" spans="1:59" ht="13.5" customHeight="1" thickTop="1" x14ac:dyDescent="0.2">
      <c r="A3" s="1004" t="s">
        <v>0</v>
      </c>
      <c r="B3" s="778"/>
      <c r="C3" s="1006" t="s">
        <v>1</v>
      </c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6"/>
      <c r="Y3" s="1004" t="s">
        <v>2</v>
      </c>
      <c r="Z3" s="1010" t="s">
        <v>3</v>
      </c>
      <c r="AA3" s="1008" t="s">
        <v>4</v>
      </c>
      <c r="AB3" s="1016" t="s">
        <v>379</v>
      </c>
      <c r="AC3" s="1016"/>
      <c r="AJ3" t="s">
        <v>433</v>
      </c>
    </row>
    <row r="4" spans="1:59" ht="25.5" x14ac:dyDescent="0.25">
      <c r="A4" s="1005"/>
      <c r="B4" s="779" t="s">
        <v>527</v>
      </c>
      <c r="C4" s="779">
        <v>81</v>
      </c>
      <c r="D4" s="779">
        <v>82</v>
      </c>
      <c r="E4" s="18">
        <v>83</v>
      </c>
      <c r="F4" s="18">
        <v>84</v>
      </c>
      <c r="G4" s="18">
        <v>91</v>
      </c>
      <c r="H4" s="18">
        <v>92</v>
      </c>
      <c r="I4" s="18">
        <v>93</v>
      </c>
      <c r="J4" s="18">
        <v>94</v>
      </c>
      <c r="K4" s="18">
        <v>101</v>
      </c>
      <c r="L4" s="18">
        <v>102</v>
      </c>
      <c r="M4" s="779">
        <v>103</v>
      </c>
      <c r="N4" s="779">
        <v>104</v>
      </c>
      <c r="O4" s="779">
        <v>105</v>
      </c>
      <c r="P4" s="779">
        <v>111</v>
      </c>
      <c r="Q4" s="779">
        <v>112</v>
      </c>
      <c r="R4" s="779">
        <v>113</v>
      </c>
      <c r="S4" s="779">
        <v>114</v>
      </c>
      <c r="T4" s="779">
        <v>115</v>
      </c>
      <c r="U4" s="779">
        <v>121</v>
      </c>
      <c r="V4" s="779">
        <v>122</v>
      </c>
      <c r="W4" s="779">
        <v>123</v>
      </c>
      <c r="X4" s="779">
        <v>124</v>
      </c>
      <c r="Y4" s="1005"/>
      <c r="Z4" s="1011"/>
      <c r="AA4" s="1009"/>
      <c r="AB4" s="2" t="s">
        <v>380</v>
      </c>
      <c r="AC4" t="s">
        <v>378</v>
      </c>
      <c r="AD4" s="68" t="s">
        <v>44</v>
      </c>
      <c r="AE4" t="s">
        <v>142</v>
      </c>
      <c r="AJ4" s="781" t="s">
        <v>117</v>
      </c>
      <c r="AK4" s="781" t="s">
        <v>118</v>
      </c>
      <c r="AL4" s="780" t="s">
        <v>119</v>
      </c>
      <c r="AN4" s="158" t="s">
        <v>120</v>
      </c>
      <c r="AO4" s="158"/>
      <c r="AP4" s="159"/>
      <c r="AQ4" s="160" t="s">
        <v>121</v>
      </c>
      <c r="AR4" s="160"/>
      <c r="AS4" s="161" t="s">
        <v>122</v>
      </c>
      <c r="AU4" s="932" t="s">
        <v>117</v>
      </c>
      <c r="AV4" s="932" t="s">
        <v>118</v>
      </c>
      <c r="AW4" s="931" t="s">
        <v>119</v>
      </c>
      <c r="AY4" s="158" t="s">
        <v>120</v>
      </c>
      <c r="AZ4" s="158"/>
      <c r="BA4" s="159"/>
      <c r="BB4" s="160" t="s">
        <v>121</v>
      </c>
      <c r="BC4" s="160"/>
      <c r="BD4" s="161" t="s">
        <v>122</v>
      </c>
    </row>
    <row r="5" spans="1:59" ht="38.25" x14ac:dyDescent="0.2">
      <c r="A5" s="13">
        <v>2011</v>
      </c>
      <c r="B5" s="13" t="s">
        <v>528</v>
      </c>
      <c r="J5" s="819">
        <v>918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24"/>
      <c r="AA5" s="225"/>
      <c r="AB5" s="2"/>
      <c r="AD5" s="68"/>
      <c r="AJ5" s="782"/>
      <c r="AK5" s="782"/>
      <c r="AL5" s="782" t="s">
        <v>123</v>
      </c>
      <c r="AN5" s="163" t="s">
        <v>124</v>
      </c>
      <c r="AO5" s="163" t="s">
        <v>125</v>
      </c>
      <c r="AP5" s="163"/>
      <c r="AQ5" s="164" t="s">
        <v>126</v>
      </c>
      <c r="AS5" s="164" t="s">
        <v>126</v>
      </c>
      <c r="AU5" s="933"/>
      <c r="AV5" s="933"/>
      <c r="AW5" s="933" t="s">
        <v>123</v>
      </c>
      <c r="AY5" s="163" t="s">
        <v>124</v>
      </c>
      <c r="AZ5" s="163" t="s">
        <v>125</v>
      </c>
      <c r="BA5" s="163"/>
      <c r="BB5" s="164" t="s">
        <v>126</v>
      </c>
      <c r="BD5" s="164" t="s">
        <v>126</v>
      </c>
    </row>
    <row r="6" spans="1:59" x14ac:dyDescent="0.2">
      <c r="A6" s="13">
        <v>2012</v>
      </c>
      <c r="B6" s="13" t="s">
        <v>528</v>
      </c>
      <c r="C6" s="13"/>
      <c r="D6" s="13"/>
      <c r="E6" s="814"/>
      <c r="F6" s="814"/>
      <c r="G6" s="201"/>
      <c r="H6" s="325">
        <v>620</v>
      </c>
      <c r="I6" s="201"/>
      <c r="J6" s="201"/>
      <c r="K6" s="201"/>
      <c r="L6" s="20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24"/>
      <c r="AA6" s="225"/>
      <c r="AB6" s="2"/>
      <c r="AD6" s="68"/>
      <c r="AJ6" s="165"/>
      <c r="AK6" s="166"/>
      <c r="AL6" s="167"/>
      <c r="AU6" s="165"/>
      <c r="AV6" s="166"/>
      <c r="AW6" s="167"/>
    </row>
    <row r="7" spans="1:59" x14ac:dyDescent="0.2">
      <c r="A7" s="13">
        <v>2013</v>
      </c>
      <c r="B7" s="13" t="s">
        <v>528</v>
      </c>
      <c r="C7" s="13"/>
      <c r="D7" s="13"/>
      <c r="E7" s="814"/>
      <c r="F7" s="203"/>
      <c r="G7" s="201"/>
      <c r="H7" s="815">
        <v>0</v>
      </c>
      <c r="I7" s="201"/>
      <c r="J7" s="201"/>
      <c r="K7" s="201"/>
      <c r="L7" s="20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24"/>
      <c r="AA7" s="225"/>
      <c r="AB7" s="2"/>
      <c r="AD7" s="68"/>
      <c r="AJ7" s="165"/>
      <c r="AK7" s="166"/>
      <c r="AL7" s="167"/>
      <c r="AU7" s="165"/>
      <c r="AV7" s="166"/>
      <c r="AW7" s="167"/>
      <c r="BF7" t="s">
        <v>582</v>
      </c>
    </row>
    <row r="8" spans="1:59" x14ac:dyDescent="0.2">
      <c r="A8" s="13">
        <v>2014</v>
      </c>
      <c r="B8" s="13" t="s">
        <v>528</v>
      </c>
      <c r="C8" s="13"/>
      <c r="D8" s="13"/>
      <c r="E8" s="814"/>
      <c r="F8" s="816"/>
      <c r="G8" s="187"/>
      <c r="H8" s="187"/>
      <c r="I8" s="187"/>
      <c r="J8" s="187"/>
      <c r="K8" s="187"/>
      <c r="L8" s="187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24"/>
      <c r="AA8" s="225"/>
      <c r="AB8" s="2"/>
      <c r="AD8" s="68"/>
      <c r="AJ8" s="165" t="s">
        <v>127</v>
      </c>
      <c r="AK8" s="185">
        <v>43313</v>
      </c>
      <c r="AL8" s="167">
        <v>0</v>
      </c>
      <c r="AO8" s="169">
        <v>0</v>
      </c>
      <c r="AU8" s="165" t="s">
        <v>127</v>
      </c>
      <c r="AV8" s="185">
        <v>44798</v>
      </c>
      <c r="AW8" s="167">
        <v>0</v>
      </c>
      <c r="AZ8" s="169">
        <v>0</v>
      </c>
    </row>
    <row r="9" spans="1:59" x14ac:dyDescent="0.2">
      <c r="A9" s="13">
        <v>2015</v>
      </c>
      <c r="B9" s="13" t="s">
        <v>528</v>
      </c>
      <c r="C9" s="13"/>
      <c r="D9" s="13"/>
      <c r="E9" s="814"/>
      <c r="F9" s="816"/>
      <c r="G9" s="187"/>
      <c r="H9" s="220"/>
      <c r="I9" s="187"/>
      <c r="J9" s="187"/>
      <c r="K9" s="221"/>
      <c r="L9" s="221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24"/>
      <c r="AA9" s="225"/>
      <c r="AB9" s="2"/>
      <c r="AD9" s="68"/>
      <c r="AH9" t="s">
        <v>436</v>
      </c>
      <c r="AI9" t="s">
        <v>438</v>
      </c>
      <c r="AJ9" s="165" t="s">
        <v>434</v>
      </c>
      <c r="AK9" s="185">
        <v>43320</v>
      </c>
      <c r="AL9" s="170">
        <v>3</v>
      </c>
      <c r="AN9" s="171">
        <v>0.9</v>
      </c>
      <c r="AO9" s="172">
        <f>AL9/AN9</f>
        <v>3.333333333333333</v>
      </c>
      <c r="AQ9" s="172">
        <f>(AK9-AK8)*(AL9+AL8)</f>
        <v>21</v>
      </c>
      <c r="AS9" s="172">
        <f>(AK9-AK8)*(AO9+AO8)</f>
        <v>23.333333333333332</v>
      </c>
      <c r="AU9" s="165" t="s">
        <v>434</v>
      </c>
      <c r="AV9" s="185">
        <v>44813</v>
      </c>
      <c r="AW9" s="170">
        <v>5504</v>
      </c>
      <c r="AY9" s="171">
        <v>0.9</v>
      </c>
      <c r="AZ9" s="172">
        <f>AW9/AY9</f>
        <v>6115.5555555555557</v>
      </c>
      <c r="BB9" s="172">
        <f>(AV9-AV8)*(AW9+AW8)</f>
        <v>82560</v>
      </c>
      <c r="BC9" s="432"/>
      <c r="BD9" s="172">
        <f>(AV9-AV8)*(AZ9+AZ8)</f>
        <v>91733.333333333328</v>
      </c>
      <c r="BF9" s="617">
        <f>BB9</f>
        <v>82560</v>
      </c>
      <c r="BG9" s="432">
        <f>BF9/$BB$19</f>
        <v>0.17401788236087634</v>
      </c>
    </row>
    <row r="10" spans="1:59" x14ac:dyDescent="0.2">
      <c r="A10" s="13">
        <v>2016</v>
      </c>
      <c r="B10" s="13" t="s">
        <v>528</v>
      </c>
      <c r="C10" s="13"/>
      <c r="D10" s="13"/>
      <c r="E10" s="814"/>
      <c r="F10" s="816"/>
      <c r="G10" s="187"/>
      <c r="H10" s="220"/>
      <c r="I10" s="187"/>
      <c r="J10" s="187"/>
      <c r="K10" s="803"/>
      <c r="L10" s="80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24"/>
      <c r="AA10" s="225"/>
      <c r="AB10" s="2"/>
      <c r="AD10" s="68"/>
      <c r="AH10" t="s">
        <v>436</v>
      </c>
      <c r="AI10" t="s">
        <v>439</v>
      </c>
      <c r="AJ10" s="165" t="s">
        <v>435</v>
      </c>
      <c r="AK10" s="185">
        <v>43342</v>
      </c>
      <c r="AL10" s="170">
        <v>1400</v>
      </c>
      <c r="AN10" s="171">
        <v>0.9</v>
      </c>
      <c r="AO10" s="172">
        <f t="shared" ref="AO10:AO15" si="0">AL10/AN10</f>
        <v>1555.5555555555554</v>
      </c>
      <c r="AQ10" s="172">
        <f t="shared" ref="AQ10:AQ17" si="1">(AK10-AK9)*(AL10+AL9)</f>
        <v>30866</v>
      </c>
      <c r="AS10" s="172">
        <f t="shared" ref="AS10:AS17" si="2">(AK10-AK9)*(AO10+AO9)</f>
        <v>34295.555555555547</v>
      </c>
      <c r="AU10" s="165" t="s">
        <v>435</v>
      </c>
      <c r="AV10" s="185">
        <v>44826</v>
      </c>
      <c r="AW10" s="170">
        <v>6384</v>
      </c>
      <c r="AY10" s="171">
        <v>0.9</v>
      </c>
      <c r="AZ10" s="172">
        <f t="shared" ref="AZ10:AZ15" si="3">AW10/AY10</f>
        <v>7093.333333333333</v>
      </c>
      <c r="BB10" s="172">
        <f t="shared" ref="BB10:BB17" si="4">(AV10-AV9)*(AW10+AW9)</f>
        <v>154544</v>
      </c>
      <c r="BC10" s="432"/>
      <c r="BD10" s="172">
        <f t="shared" ref="BD10:BD17" si="5">(AV10-AV9)*(AZ10+AZ9)</f>
        <v>171715.55555555556</v>
      </c>
      <c r="BF10" s="617">
        <f>BB10+BF9</f>
        <v>237104</v>
      </c>
      <c r="BG10" s="432">
        <f t="shared" ref="BG10:BG15" si="6">BF10/$BB$19</f>
        <v>0.49976182145461751</v>
      </c>
    </row>
    <row r="11" spans="1:59" x14ac:dyDescent="0.2">
      <c r="A11" s="13">
        <v>2017</v>
      </c>
      <c r="B11" s="13" t="s">
        <v>528</v>
      </c>
      <c r="C11" s="13"/>
      <c r="D11" s="13"/>
      <c r="E11" s="801">
        <v>350</v>
      </c>
      <c r="F11" s="801">
        <v>1500</v>
      </c>
      <c r="G11" s="187"/>
      <c r="H11" s="802"/>
      <c r="I11" s="187"/>
      <c r="J11" s="187"/>
      <c r="K11" s="803"/>
      <c r="L11" s="801">
        <v>720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24"/>
      <c r="AA11" s="225"/>
      <c r="AB11" s="2"/>
      <c r="AD11" s="68"/>
      <c r="AH11" t="s">
        <v>436</v>
      </c>
      <c r="AI11" t="s">
        <v>440</v>
      </c>
      <c r="AJ11" s="8" t="s">
        <v>437</v>
      </c>
      <c r="AK11" s="185">
        <v>43346</v>
      </c>
      <c r="AL11" s="170">
        <v>1200</v>
      </c>
      <c r="AN11" s="171">
        <v>0.9</v>
      </c>
      <c r="AO11" s="172">
        <f t="shared" si="0"/>
        <v>1333.3333333333333</v>
      </c>
      <c r="AQ11" s="172">
        <f t="shared" si="1"/>
        <v>10400</v>
      </c>
      <c r="AS11" s="172">
        <f t="shared" si="2"/>
        <v>11555.555555555555</v>
      </c>
      <c r="AU11" s="8" t="s">
        <v>437</v>
      </c>
      <c r="AV11" s="185">
        <v>44833</v>
      </c>
      <c r="AW11" s="170">
        <v>5711</v>
      </c>
      <c r="AY11" s="171">
        <v>0.9</v>
      </c>
      <c r="AZ11" s="172">
        <f t="shared" si="3"/>
        <v>6345.5555555555557</v>
      </c>
      <c r="BB11" s="172">
        <f t="shared" si="4"/>
        <v>84665</v>
      </c>
      <c r="BD11" s="172">
        <f t="shared" si="5"/>
        <v>94072.222222222219</v>
      </c>
      <c r="BF11" s="617">
        <f t="shared" ref="BF11:BF15" si="7">BB11+BF10</f>
        <v>321769</v>
      </c>
      <c r="BG11" s="432">
        <f t="shared" si="6"/>
        <v>0.67821656963876953</v>
      </c>
    </row>
    <row r="12" spans="1:59" x14ac:dyDescent="0.2">
      <c r="A12" s="13">
        <v>2018</v>
      </c>
      <c r="B12" s="13" t="s">
        <v>528</v>
      </c>
      <c r="C12" s="13"/>
      <c r="D12" s="13"/>
      <c r="E12" s="814"/>
      <c r="F12" s="691" t="s">
        <v>532</v>
      </c>
      <c r="G12" s="817">
        <v>1200</v>
      </c>
      <c r="H12" s="220"/>
      <c r="I12" s="189">
        <v>10</v>
      </c>
      <c r="J12" s="223"/>
      <c r="K12" s="804"/>
      <c r="L12" s="804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24"/>
      <c r="AA12" s="225"/>
      <c r="AB12" s="2"/>
      <c r="AD12" s="68"/>
      <c r="AH12" t="s">
        <v>436</v>
      </c>
      <c r="AI12" t="s">
        <v>441</v>
      </c>
      <c r="AJ12" s="8" t="s">
        <v>434</v>
      </c>
      <c r="AK12" s="185">
        <v>43362</v>
      </c>
      <c r="AL12" s="170">
        <v>10</v>
      </c>
      <c r="AN12" s="171">
        <v>0.9</v>
      </c>
      <c r="AO12" s="172">
        <f t="shared" si="0"/>
        <v>11.111111111111111</v>
      </c>
      <c r="AQ12" s="172">
        <f t="shared" si="1"/>
        <v>19360</v>
      </c>
      <c r="AS12" s="172">
        <f t="shared" si="2"/>
        <v>21511.111111111109</v>
      </c>
      <c r="AU12" s="8" t="s">
        <v>434</v>
      </c>
      <c r="AV12" s="185">
        <v>44849</v>
      </c>
      <c r="AW12" s="170">
        <v>2333</v>
      </c>
      <c r="AY12" s="171">
        <v>0.8</v>
      </c>
      <c r="AZ12" s="172">
        <f t="shared" si="3"/>
        <v>2916.25</v>
      </c>
      <c r="BB12" s="172">
        <f t="shared" si="4"/>
        <v>128704</v>
      </c>
      <c r="BD12" s="172">
        <f t="shared" si="5"/>
        <v>148188.88888888888</v>
      </c>
      <c r="BF12" s="617">
        <f t="shared" si="7"/>
        <v>450473</v>
      </c>
      <c r="BG12" s="432">
        <f t="shared" si="6"/>
        <v>0.94949560950522094</v>
      </c>
    </row>
    <row r="13" spans="1:59" x14ac:dyDescent="0.2">
      <c r="A13" s="13">
        <v>2019</v>
      </c>
      <c r="B13" s="13" t="s">
        <v>528</v>
      </c>
      <c r="C13" s="13"/>
      <c r="D13" s="13"/>
      <c r="E13" s="587">
        <v>3</v>
      </c>
      <c r="F13" s="220"/>
      <c r="G13" s="818">
        <v>120</v>
      </c>
      <c r="H13" s="587">
        <v>1600</v>
      </c>
      <c r="I13" s="220"/>
      <c r="J13" s="187"/>
      <c r="K13" s="803"/>
      <c r="L13" s="80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24"/>
      <c r="AA13" s="225"/>
      <c r="AB13" s="2"/>
      <c r="AD13" s="68"/>
      <c r="AJ13" s="8"/>
      <c r="AK13" s="185">
        <v>43363</v>
      </c>
      <c r="AL13" s="170">
        <v>0</v>
      </c>
      <c r="AN13" s="171">
        <v>0.9</v>
      </c>
      <c r="AO13" s="172">
        <f t="shared" si="0"/>
        <v>0</v>
      </c>
      <c r="AQ13" s="172">
        <f t="shared" si="1"/>
        <v>10</v>
      </c>
      <c r="AS13" s="172">
        <f t="shared" si="2"/>
        <v>11.111111111111111</v>
      </c>
      <c r="AU13" s="8"/>
      <c r="AV13" s="185">
        <v>44852</v>
      </c>
      <c r="AW13" s="170">
        <v>674</v>
      </c>
      <c r="AY13" s="171">
        <v>0.8</v>
      </c>
      <c r="AZ13" s="172">
        <f t="shared" si="3"/>
        <v>842.5</v>
      </c>
      <c r="BB13" s="172">
        <f t="shared" si="4"/>
        <v>9021</v>
      </c>
      <c r="BD13" s="172">
        <f t="shared" si="5"/>
        <v>11276.25</v>
      </c>
      <c r="BF13" s="617">
        <f t="shared" si="7"/>
        <v>459494</v>
      </c>
      <c r="BG13" s="432">
        <f t="shared" si="6"/>
        <v>0.96850984541580076</v>
      </c>
    </row>
    <row r="14" spans="1:59" x14ac:dyDescent="0.2">
      <c r="A14" s="13">
        <v>2020</v>
      </c>
      <c r="B14" s="13" t="s">
        <v>528</v>
      </c>
      <c r="C14" s="13"/>
      <c r="D14" s="13"/>
      <c r="E14" s="691">
        <v>5500</v>
      </c>
      <c r="F14" s="690">
        <v>402</v>
      </c>
      <c r="G14" s="690">
        <v>800</v>
      </c>
      <c r="H14" s="187"/>
      <c r="I14" s="199">
        <v>2701</v>
      </c>
      <c r="J14" s="199">
        <v>5003</v>
      </c>
      <c r="K14" s="186">
        <v>4</v>
      </c>
      <c r="L14" s="409"/>
      <c r="M14" s="13"/>
      <c r="N14" s="13"/>
      <c r="O14" s="787"/>
      <c r="P14" s="787"/>
      <c r="Q14" s="787"/>
      <c r="R14" s="787"/>
      <c r="S14" s="787"/>
      <c r="T14" s="787"/>
      <c r="U14" s="787"/>
      <c r="V14" s="787"/>
      <c r="W14" s="787"/>
      <c r="X14" s="787"/>
      <c r="Y14" s="787"/>
      <c r="Z14" s="787"/>
      <c r="AA14" s="787"/>
      <c r="AJ14" s="8"/>
      <c r="AK14" s="185">
        <v>43364</v>
      </c>
      <c r="AL14" s="170">
        <v>3</v>
      </c>
      <c r="AN14" s="171">
        <v>0.9</v>
      </c>
      <c r="AO14" s="172">
        <f t="shared" si="0"/>
        <v>3.333333333333333</v>
      </c>
      <c r="AQ14" s="172">
        <f t="shared" si="1"/>
        <v>3</v>
      </c>
      <c r="AS14" s="172">
        <f t="shared" si="2"/>
        <v>3.333333333333333</v>
      </c>
      <c r="AU14" s="8"/>
      <c r="AV14" s="185">
        <v>44874</v>
      </c>
      <c r="AW14" s="170">
        <v>4</v>
      </c>
      <c r="AY14" s="171">
        <v>0.75</v>
      </c>
      <c r="AZ14" s="172">
        <f t="shared" si="3"/>
        <v>5.333333333333333</v>
      </c>
      <c r="BB14" s="172">
        <f t="shared" si="4"/>
        <v>14916</v>
      </c>
      <c r="BD14" s="172">
        <f t="shared" si="5"/>
        <v>18652.333333333336</v>
      </c>
      <c r="BF14" s="617">
        <f t="shared" si="7"/>
        <v>474410</v>
      </c>
      <c r="BG14" s="432">
        <f t="shared" si="6"/>
        <v>0.9999494134062904</v>
      </c>
    </row>
    <row r="15" spans="1:59" x14ac:dyDescent="0.2">
      <c r="A15" s="330">
        <v>2021</v>
      </c>
      <c r="B15" s="961" t="s">
        <v>528</v>
      </c>
      <c r="C15" s="957"/>
      <c r="D15" s="957"/>
      <c r="E15" s="957"/>
      <c r="F15" s="957"/>
      <c r="G15" s="968">
        <v>80</v>
      </c>
      <c r="H15" s="969">
        <v>2450</v>
      </c>
      <c r="I15" s="969">
        <v>4900</v>
      </c>
      <c r="J15" s="970">
        <v>2473</v>
      </c>
      <c r="K15" s="957"/>
      <c r="L15" s="957"/>
      <c r="M15" s="971">
        <v>59</v>
      </c>
      <c r="N15" s="787"/>
      <c r="O15" s="787"/>
      <c r="P15" s="787"/>
      <c r="Q15" s="787"/>
      <c r="R15" s="787"/>
      <c r="S15" s="787"/>
      <c r="T15" s="787"/>
      <c r="U15" s="787"/>
      <c r="V15" s="787"/>
      <c r="W15" s="787"/>
      <c r="X15" s="787"/>
      <c r="Y15" s="787"/>
      <c r="Z15" s="787"/>
      <c r="AA15" s="787"/>
      <c r="AJ15" s="8"/>
      <c r="AK15" s="185">
        <v>43365</v>
      </c>
      <c r="AL15" s="170">
        <v>0</v>
      </c>
      <c r="AN15" s="171">
        <v>0.9</v>
      </c>
      <c r="AO15" s="172">
        <f t="shared" si="0"/>
        <v>0</v>
      </c>
      <c r="AQ15" s="172">
        <f t="shared" si="1"/>
        <v>3</v>
      </c>
      <c r="AS15" s="172">
        <f t="shared" si="2"/>
        <v>3.333333333333333</v>
      </c>
      <c r="AU15" s="8"/>
      <c r="AV15" s="185">
        <v>44880</v>
      </c>
      <c r="AW15" s="170">
        <v>0</v>
      </c>
      <c r="AY15" s="171">
        <v>0.9</v>
      </c>
      <c r="AZ15" s="172">
        <f t="shared" si="3"/>
        <v>0</v>
      </c>
      <c r="BB15" s="172">
        <f t="shared" si="4"/>
        <v>24</v>
      </c>
      <c r="BD15" s="172">
        <f t="shared" si="5"/>
        <v>32</v>
      </c>
      <c r="BF15" s="617">
        <f t="shared" si="7"/>
        <v>474434</v>
      </c>
      <c r="BG15" s="432">
        <f t="shared" si="6"/>
        <v>1</v>
      </c>
    </row>
    <row r="16" spans="1:59" ht="15" customHeight="1" x14ac:dyDescent="0.2">
      <c r="A16" s="961"/>
      <c r="B16" s="961" t="s">
        <v>530</v>
      </c>
      <c r="C16" s="957"/>
      <c r="D16" s="957"/>
      <c r="E16" s="957"/>
      <c r="F16" s="957"/>
      <c r="G16" s="957"/>
      <c r="H16" s="957"/>
      <c r="I16" s="957"/>
      <c r="J16" s="958">
        <v>457</v>
      </c>
      <c r="K16" s="957"/>
      <c r="L16" s="957"/>
      <c r="M16" s="957"/>
      <c r="N16" s="957"/>
      <c r="O16" s="787"/>
      <c r="P16" s="787"/>
      <c r="Q16" s="787"/>
      <c r="R16" s="787"/>
      <c r="S16" s="787"/>
      <c r="T16" s="787"/>
      <c r="U16" s="787"/>
      <c r="V16" s="787"/>
      <c r="W16" s="787"/>
      <c r="X16" s="787"/>
      <c r="Y16" s="787"/>
      <c r="Z16" s="787"/>
      <c r="AA16" s="787"/>
      <c r="AJ16" s="8"/>
      <c r="AK16" s="185"/>
      <c r="AL16" s="170"/>
      <c r="AN16" s="171"/>
      <c r="AO16" s="172">
        <v>0</v>
      </c>
      <c r="AQ16" s="172">
        <f t="shared" si="1"/>
        <v>0</v>
      </c>
      <c r="AS16" s="172">
        <f t="shared" si="2"/>
        <v>0</v>
      </c>
      <c r="AU16" s="8"/>
      <c r="AV16" s="185"/>
      <c r="AW16" s="170"/>
      <c r="AY16" s="171"/>
      <c r="AZ16" s="172">
        <v>0</v>
      </c>
      <c r="BB16" s="172">
        <f t="shared" si="4"/>
        <v>0</v>
      </c>
      <c r="BD16" s="172">
        <f t="shared" si="5"/>
        <v>0</v>
      </c>
      <c r="BF16" s="617"/>
    </row>
    <row r="17" spans="1:58" x14ac:dyDescent="0.2">
      <c r="A17" s="961"/>
      <c r="B17" s="961" t="s">
        <v>529</v>
      </c>
      <c r="C17" s="957"/>
      <c r="D17" s="957"/>
      <c r="E17" s="957"/>
      <c r="F17" s="957"/>
      <c r="G17" s="957"/>
      <c r="H17" s="957"/>
      <c r="I17" s="957"/>
      <c r="J17" s="958">
        <v>4</v>
      </c>
      <c r="K17" s="957"/>
      <c r="L17" s="959">
        <v>227</v>
      </c>
      <c r="M17" s="960">
        <v>200</v>
      </c>
      <c r="N17" s="957"/>
      <c r="AJ17" s="165" t="s">
        <v>128</v>
      </c>
      <c r="AK17" s="175"/>
      <c r="AL17" s="176"/>
      <c r="AN17" s="177"/>
      <c r="AO17" s="178"/>
      <c r="AP17" s="179"/>
      <c r="AQ17" s="172">
        <f t="shared" si="1"/>
        <v>0</v>
      </c>
      <c r="AS17" s="172">
        <f t="shared" si="2"/>
        <v>0</v>
      </c>
      <c r="AU17" s="165" t="s">
        <v>128</v>
      </c>
      <c r="AV17" s="175"/>
      <c r="AW17" s="176"/>
      <c r="AY17" s="177"/>
      <c r="AZ17" s="178"/>
      <c r="BA17" s="179"/>
      <c r="BB17" s="172">
        <f t="shared" si="4"/>
        <v>0</v>
      </c>
      <c r="BD17" s="172">
        <f t="shared" si="5"/>
        <v>0</v>
      </c>
      <c r="BF17" s="617"/>
    </row>
    <row r="18" spans="1:58" x14ac:dyDescent="0.2">
      <c r="A18" s="957">
        <v>2022</v>
      </c>
      <c r="B18" s="961" t="s">
        <v>528</v>
      </c>
      <c r="C18" s="961"/>
      <c r="D18" s="961"/>
      <c r="E18" s="961"/>
      <c r="F18" s="961"/>
      <c r="G18" s="961"/>
      <c r="H18" s="962">
        <v>5504</v>
      </c>
      <c r="I18" s="963">
        <v>6100</v>
      </c>
      <c r="J18" s="963">
        <v>6384</v>
      </c>
      <c r="K18" s="963">
        <v>5711</v>
      </c>
      <c r="L18" s="961"/>
      <c r="M18" s="961"/>
      <c r="N18" s="961"/>
      <c r="AJ18" s="165" t="s">
        <v>2</v>
      </c>
      <c r="AK18" s="167">
        <v>7</v>
      </c>
      <c r="AL18" s="167"/>
      <c r="AM18" s="167"/>
      <c r="AU18" s="165" t="s">
        <v>2</v>
      </c>
      <c r="AV18" s="167">
        <v>7</v>
      </c>
      <c r="AW18" s="167"/>
      <c r="AX18" s="167"/>
    </row>
    <row r="19" spans="1:58" x14ac:dyDescent="0.2">
      <c r="A19" s="957"/>
      <c r="B19" s="961" t="s">
        <v>530</v>
      </c>
      <c r="C19" s="961"/>
      <c r="D19" s="961"/>
      <c r="E19" s="961"/>
      <c r="F19" s="961"/>
      <c r="G19" s="961"/>
      <c r="H19" s="964">
        <v>0</v>
      </c>
      <c r="I19" s="961"/>
      <c r="J19" s="961"/>
      <c r="K19" s="961"/>
      <c r="L19" s="961"/>
      <c r="M19" s="965">
        <v>21</v>
      </c>
      <c r="N19" s="961"/>
      <c r="AJ19" s="165"/>
      <c r="AK19" s="167"/>
      <c r="AL19" s="167"/>
      <c r="AM19" s="167"/>
      <c r="AU19" s="165"/>
      <c r="AV19" s="167"/>
      <c r="AW19" s="167"/>
      <c r="AX19" s="167"/>
      <c r="BB19" s="617">
        <f>SUM(BB9:BB17)</f>
        <v>474434</v>
      </c>
    </row>
    <row r="20" spans="1:58" x14ac:dyDescent="0.2">
      <c r="A20" s="957"/>
      <c r="B20" s="961" t="s">
        <v>529</v>
      </c>
      <c r="C20" s="961"/>
      <c r="D20" s="961"/>
      <c r="E20" s="961"/>
      <c r="F20" s="961"/>
      <c r="G20" s="961"/>
      <c r="H20" s="961"/>
      <c r="I20" s="961"/>
      <c r="J20" s="961"/>
      <c r="K20" s="961"/>
      <c r="L20" s="961"/>
      <c r="M20" s="961"/>
      <c r="N20" s="961"/>
      <c r="AJ20" s="165"/>
      <c r="AK20" s="167"/>
      <c r="AL20" s="167"/>
      <c r="AM20" s="167"/>
      <c r="AU20" s="165"/>
      <c r="AV20" s="167"/>
      <c r="AW20" s="167"/>
      <c r="AX20" s="167"/>
    </row>
    <row r="21" spans="1:58" x14ac:dyDescent="0.2">
      <c r="A21" s="957">
        <v>2023</v>
      </c>
      <c r="B21" s="961" t="s">
        <v>528</v>
      </c>
      <c r="C21" s="961"/>
      <c r="D21" s="961"/>
      <c r="E21" s="961"/>
      <c r="F21" s="961"/>
      <c r="G21" s="964">
        <v>3073</v>
      </c>
      <c r="H21" s="966">
        <v>10362</v>
      </c>
      <c r="I21" s="961"/>
      <c r="J21" s="961"/>
      <c r="K21" s="967">
        <v>558</v>
      </c>
      <c r="L21" s="961"/>
      <c r="M21" s="961"/>
      <c r="N21" s="961"/>
      <c r="AJ21" s="165"/>
      <c r="AK21" s="167"/>
      <c r="AL21" s="167"/>
      <c r="AM21" s="167"/>
      <c r="AU21" s="165"/>
      <c r="AV21" s="167"/>
      <c r="AW21" s="167"/>
      <c r="AX21" s="167"/>
    </row>
    <row r="22" spans="1:58" x14ac:dyDescent="0.2">
      <c r="A22" s="961"/>
      <c r="B22" s="961" t="s">
        <v>530</v>
      </c>
      <c r="C22" s="961"/>
      <c r="D22" s="961"/>
      <c r="E22" s="961"/>
      <c r="F22" s="961"/>
      <c r="G22" s="964">
        <v>0</v>
      </c>
      <c r="H22" s="961"/>
      <c r="I22" s="961"/>
      <c r="J22" s="961"/>
      <c r="K22" s="961"/>
      <c r="L22" s="961"/>
      <c r="M22" s="961"/>
      <c r="AJ22" s="165"/>
      <c r="AK22" s="167"/>
      <c r="AL22" s="167"/>
      <c r="AM22" s="167"/>
      <c r="AU22" s="165"/>
      <c r="AV22" s="167"/>
      <c r="AW22" s="167"/>
      <c r="AX22" s="167"/>
    </row>
    <row r="23" spans="1:58" x14ac:dyDescent="0.2">
      <c r="A23" s="961"/>
      <c r="B23" s="961" t="s">
        <v>529</v>
      </c>
      <c r="C23" s="961"/>
      <c r="D23" s="961"/>
      <c r="E23" s="961"/>
      <c r="F23" s="961"/>
      <c r="G23" s="961"/>
      <c r="H23" s="961"/>
      <c r="I23" s="964">
        <v>0</v>
      </c>
      <c r="J23" s="961"/>
      <c r="K23" s="964">
        <v>3</v>
      </c>
      <c r="L23" s="961"/>
      <c r="M23" s="961"/>
      <c r="AJ23" s="165"/>
      <c r="AK23" s="167"/>
      <c r="AL23" s="167"/>
      <c r="AM23" s="167"/>
      <c r="AU23" s="165"/>
      <c r="AV23" s="167"/>
      <c r="AW23" s="167"/>
      <c r="AX23" s="167"/>
    </row>
    <row r="24" spans="1:58" x14ac:dyDescent="0.2">
      <c r="AJ24" s="165" t="s">
        <v>129</v>
      </c>
      <c r="AK24" s="167"/>
      <c r="AL24" s="167">
        <f>MAX(AL8:AL17)</f>
        <v>1400</v>
      </c>
      <c r="AM24" s="167"/>
      <c r="AN24" s="167"/>
      <c r="AO24" s="167">
        <f>MAX(AO8:AO17)</f>
        <v>1555.5555555555554</v>
      </c>
      <c r="AP24" s="167"/>
      <c r="AQ24" s="167"/>
      <c r="AR24" s="180"/>
      <c r="AU24" s="165" t="s">
        <v>129</v>
      </c>
      <c r="AV24" s="167"/>
      <c r="AW24" s="167">
        <f>MAX(AW8:AW17)</f>
        <v>6384</v>
      </c>
      <c r="AX24" s="167"/>
      <c r="AY24" s="167"/>
      <c r="AZ24" s="167">
        <f>MAX(AZ8:AZ17)</f>
        <v>7093.333333333333</v>
      </c>
      <c r="BA24" s="167"/>
      <c r="BB24" s="167"/>
      <c r="BC24" s="180"/>
    </row>
    <row r="25" spans="1:58" x14ac:dyDescent="0.2">
      <c r="AJ25" s="165" t="s">
        <v>130</v>
      </c>
      <c r="AK25" s="167"/>
      <c r="AL25" s="169">
        <v>17</v>
      </c>
      <c r="AM25" s="167"/>
      <c r="AO25" s="169">
        <v>17</v>
      </c>
      <c r="AP25" s="8"/>
      <c r="AQ25" s="8"/>
      <c r="AR25" s="8"/>
      <c r="AS25" s="8"/>
      <c r="AU25" s="165" t="s">
        <v>130</v>
      </c>
      <c r="AV25" s="167"/>
      <c r="AW25" s="169">
        <v>30</v>
      </c>
      <c r="AX25" s="167"/>
      <c r="AZ25" s="169">
        <v>30</v>
      </c>
      <c r="BA25" s="8"/>
      <c r="BB25" s="8"/>
      <c r="BC25" s="8"/>
      <c r="BD25" s="8"/>
    </row>
    <row r="26" spans="1:58" x14ac:dyDescent="0.2">
      <c r="A26" s="776" t="s">
        <v>619</v>
      </c>
      <c r="B26" s="776"/>
      <c r="C26" s="777"/>
      <c r="D26" s="777"/>
      <c r="E26" s="777"/>
      <c r="F26" s="777"/>
      <c r="G26" s="777"/>
      <c r="H26" s="777"/>
      <c r="I26" s="777"/>
      <c r="J26" s="777"/>
      <c r="AJ26" s="165" t="s">
        <v>131</v>
      </c>
      <c r="AK26" s="167"/>
      <c r="AL26" s="181">
        <f>(0.5*SUM(AQ9:AQ17))/AL25</f>
        <v>1784.2058823529412</v>
      </c>
      <c r="AM26" s="167"/>
      <c r="AO26" s="181">
        <f>(0.5*SUM(AS9:AS17))/AO25</f>
        <v>1982.4509803921562</v>
      </c>
      <c r="AP26" s="8"/>
      <c r="AQ26" s="8"/>
      <c r="AR26" s="8"/>
      <c r="AS26" s="8"/>
      <c r="AU26" s="165" t="s">
        <v>131</v>
      </c>
      <c r="AV26" s="167"/>
      <c r="AW26" s="181">
        <f>(0.5*SUM(BB9:BB17))/AW25</f>
        <v>7907.2333333333336</v>
      </c>
      <c r="AX26" s="167" t="s">
        <v>579</v>
      </c>
      <c r="AZ26" s="181">
        <f>(0.5*SUM(BD9:BD17))/AZ25</f>
        <v>8927.8430555555569</v>
      </c>
      <c r="BA26" s="8"/>
      <c r="BB26" s="8"/>
      <c r="BC26" s="8"/>
      <c r="BD26" s="8"/>
    </row>
    <row r="27" spans="1:58" ht="13.5" thickBot="1" x14ac:dyDescent="0.25"/>
    <row r="28" spans="1:58" ht="13.5" thickTop="1" x14ac:dyDescent="0.2">
      <c r="A28" s="1004" t="s">
        <v>0</v>
      </c>
      <c r="B28" s="778"/>
      <c r="C28" s="1006" t="s">
        <v>1</v>
      </c>
      <c r="D28" s="1006"/>
      <c r="E28" s="1006"/>
      <c r="F28" s="1006"/>
      <c r="G28" s="1006"/>
      <c r="H28" s="1006"/>
      <c r="I28" s="1006"/>
      <c r="J28" s="1006"/>
      <c r="K28" s="1006"/>
      <c r="L28" s="1006"/>
      <c r="M28" s="1006"/>
      <c r="N28" s="1006"/>
      <c r="O28" s="1006"/>
      <c r="P28" s="1006"/>
      <c r="Q28" s="1006"/>
      <c r="R28" s="1006"/>
      <c r="S28" s="1006"/>
      <c r="T28" s="1006"/>
      <c r="U28" s="1006"/>
      <c r="V28" s="1006"/>
      <c r="W28" s="1006"/>
      <c r="X28" s="1006"/>
      <c r="Y28" s="1004" t="s">
        <v>2</v>
      </c>
      <c r="Z28" s="1010" t="s">
        <v>3</v>
      </c>
      <c r="AA28" s="1008" t="s">
        <v>4</v>
      </c>
      <c r="AB28" s="1016" t="s">
        <v>379</v>
      </c>
      <c r="AC28" s="1016"/>
      <c r="AW28">
        <v>310</v>
      </c>
      <c r="AX28" t="s">
        <v>576</v>
      </c>
    </row>
    <row r="29" spans="1:58" x14ac:dyDescent="0.2">
      <c r="A29" s="1005"/>
      <c r="B29" s="779" t="s">
        <v>527</v>
      </c>
      <c r="C29" s="779">
        <v>81</v>
      </c>
      <c r="D29" s="779">
        <v>82</v>
      </c>
      <c r="E29" s="18">
        <v>83</v>
      </c>
      <c r="F29" s="18">
        <v>84</v>
      </c>
      <c r="G29" s="18">
        <v>91</v>
      </c>
      <c r="H29" s="18">
        <v>92</v>
      </c>
      <c r="I29" s="18">
        <v>93</v>
      </c>
      <c r="J29" s="18">
        <v>94</v>
      </c>
      <c r="K29" s="18">
        <v>101</v>
      </c>
      <c r="L29" s="18">
        <v>102</v>
      </c>
      <c r="M29" s="779">
        <v>103</v>
      </c>
      <c r="N29" s="779">
        <v>104</v>
      </c>
      <c r="O29" s="779">
        <v>105</v>
      </c>
      <c r="P29" s="779">
        <v>111</v>
      </c>
      <c r="Q29" s="779">
        <v>112</v>
      </c>
      <c r="R29" s="779">
        <v>113</v>
      </c>
      <c r="S29" s="779">
        <v>114</v>
      </c>
      <c r="T29" s="779">
        <v>115</v>
      </c>
      <c r="U29" s="779">
        <v>121</v>
      </c>
      <c r="V29" s="779">
        <v>122</v>
      </c>
      <c r="W29" s="779">
        <v>123</v>
      </c>
      <c r="X29" s="779">
        <v>124</v>
      </c>
      <c r="Y29" s="1005"/>
      <c r="Z29" s="1011"/>
      <c r="AA29" s="1009"/>
      <c r="AB29" s="2" t="s">
        <v>380</v>
      </c>
      <c r="AC29" t="s">
        <v>378</v>
      </c>
      <c r="AD29" s="68" t="s">
        <v>44</v>
      </c>
      <c r="AE29" t="s">
        <v>142</v>
      </c>
      <c r="AV29" t="s">
        <v>580</v>
      </c>
      <c r="AW29" s="934">
        <f>AW26+AW28</f>
        <v>8217.2333333333336</v>
      </c>
      <c r="AX29" t="s">
        <v>578</v>
      </c>
      <c r="AZ29" s="934"/>
    </row>
    <row r="30" spans="1:58" x14ac:dyDescent="0.2">
      <c r="A30" s="13">
        <v>2011</v>
      </c>
      <c r="B30" s="13" t="s">
        <v>528</v>
      </c>
      <c r="C30" s="13"/>
      <c r="D30" s="13"/>
      <c r="E30" s="814"/>
      <c r="F30" s="814"/>
      <c r="G30" s="201"/>
      <c r="H30" s="201"/>
      <c r="I30" s="201"/>
      <c r="J30" s="819">
        <v>0</v>
      </c>
      <c r="K30" s="201"/>
      <c r="L30" s="201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24"/>
      <c r="AA30" s="225"/>
      <c r="AB30" s="2"/>
      <c r="AD30" s="68"/>
    </row>
    <row r="31" spans="1:58" x14ac:dyDescent="0.2">
      <c r="A31" s="13">
        <v>2012</v>
      </c>
      <c r="B31" s="13" t="s">
        <v>528</v>
      </c>
      <c r="C31" s="13"/>
      <c r="D31" s="13"/>
      <c r="E31" s="814"/>
      <c r="F31" s="814"/>
      <c r="G31" s="201"/>
      <c r="H31" s="325">
        <v>300</v>
      </c>
      <c r="I31" s="201"/>
      <c r="J31" s="201"/>
      <c r="K31" s="201"/>
      <c r="L31" s="201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24"/>
      <c r="AA31" s="225"/>
      <c r="AB31" s="2"/>
      <c r="AD31" s="68"/>
      <c r="AW31">
        <v>1012</v>
      </c>
      <c r="AX31" t="s">
        <v>581</v>
      </c>
    </row>
    <row r="32" spans="1:58" x14ac:dyDescent="0.2">
      <c r="A32" s="13">
        <v>2013</v>
      </c>
      <c r="B32" s="13" t="s">
        <v>528</v>
      </c>
      <c r="C32" s="13"/>
      <c r="D32" s="13"/>
      <c r="E32" s="814"/>
      <c r="F32" s="203"/>
      <c r="G32" s="201"/>
      <c r="H32" s="815">
        <v>0</v>
      </c>
      <c r="I32" s="201"/>
      <c r="J32" s="201"/>
      <c r="K32" s="201"/>
      <c r="L32" s="201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24"/>
      <c r="AA32" s="225"/>
      <c r="AB32" s="2"/>
      <c r="AD32" s="68"/>
      <c r="AW32" s="934">
        <f>AW29-AW31</f>
        <v>7205.2333333333336</v>
      </c>
      <c r="AX32" t="s">
        <v>577</v>
      </c>
      <c r="AZ32" s="934"/>
    </row>
    <row r="33" spans="1:49" x14ac:dyDescent="0.2">
      <c r="A33" s="13">
        <v>2014</v>
      </c>
      <c r="B33" s="13" t="s">
        <v>528</v>
      </c>
      <c r="C33" s="13"/>
      <c r="D33" s="13"/>
      <c r="E33" s="814"/>
      <c r="F33" s="816"/>
      <c r="G33" s="187"/>
      <c r="H33" s="187"/>
      <c r="I33" s="187"/>
      <c r="J33" s="187"/>
      <c r="K33" s="187"/>
      <c r="L33" s="187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24"/>
      <c r="AA33" s="225"/>
      <c r="AB33" s="2"/>
      <c r="AD33" s="68"/>
    </row>
    <row r="34" spans="1:49" x14ac:dyDescent="0.2">
      <c r="A34" s="13">
        <v>2015</v>
      </c>
      <c r="B34" s="13" t="s">
        <v>528</v>
      </c>
      <c r="C34" s="13"/>
      <c r="D34" s="13"/>
      <c r="E34" s="814"/>
      <c r="F34" s="816"/>
      <c r="G34" s="187"/>
      <c r="H34" s="220"/>
      <c r="I34" s="187"/>
      <c r="J34" s="187"/>
      <c r="K34" s="221"/>
      <c r="L34" s="221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24"/>
      <c r="AA34" s="225"/>
      <c r="AB34" s="2"/>
      <c r="AD34" s="68"/>
    </row>
    <row r="35" spans="1:49" x14ac:dyDescent="0.2">
      <c r="A35" s="13">
        <v>2016</v>
      </c>
      <c r="B35" s="13" t="s">
        <v>528</v>
      </c>
      <c r="C35" s="13"/>
      <c r="D35" s="13"/>
      <c r="E35" s="814"/>
      <c r="F35" s="816"/>
      <c r="G35" s="187"/>
      <c r="H35" s="220"/>
      <c r="I35" s="187"/>
      <c r="J35" s="187"/>
      <c r="K35" s="803"/>
      <c r="L35" s="80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24"/>
      <c r="AA35" s="225"/>
      <c r="AB35" s="2"/>
      <c r="AD35" s="68"/>
    </row>
    <row r="36" spans="1:49" x14ac:dyDescent="0.2">
      <c r="A36" s="13">
        <v>2017</v>
      </c>
      <c r="B36" s="13" t="s">
        <v>528</v>
      </c>
      <c r="C36" s="13"/>
      <c r="D36" s="13"/>
      <c r="E36" s="801">
        <v>0</v>
      </c>
      <c r="F36" s="801">
        <v>300</v>
      </c>
      <c r="G36" s="187"/>
      <c r="H36" s="802"/>
      <c r="I36" s="187"/>
      <c r="J36" s="187"/>
      <c r="K36" s="803"/>
      <c r="L36" s="801">
        <v>0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24"/>
      <c r="AA36" s="225"/>
      <c r="AB36" s="2"/>
      <c r="AD36" s="68"/>
    </row>
    <row r="37" spans="1:49" x14ac:dyDescent="0.2">
      <c r="A37" s="13">
        <v>2018</v>
      </c>
      <c r="B37" s="13" t="s">
        <v>528</v>
      </c>
      <c r="C37" s="13"/>
      <c r="D37" s="13"/>
      <c r="E37" s="814"/>
      <c r="F37" s="691">
        <v>300</v>
      </c>
      <c r="G37" s="820" t="s">
        <v>533</v>
      </c>
      <c r="H37" s="220"/>
      <c r="I37" s="189">
        <v>30</v>
      </c>
      <c r="J37" s="223"/>
      <c r="K37" s="804"/>
      <c r="L37" s="804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224"/>
      <c r="AA37" s="225"/>
      <c r="AB37" s="2"/>
      <c r="AD37" s="68"/>
    </row>
    <row r="38" spans="1:49" x14ac:dyDescent="0.2">
      <c r="A38" s="13">
        <v>2019</v>
      </c>
      <c r="B38" s="13" t="s">
        <v>528</v>
      </c>
      <c r="C38" s="13"/>
      <c r="D38" s="13"/>
      <c r="E38" s="587">
        <v>4</v>
      </c>
      <c r="F38" s="220"/>
      <c r="G38" s="818">
        <v>0</v>
      </c>
      <c r="H38" s="587">
        <v>200</v>
      </c>
      <c r="I38" s="220"/>
      <c r="J38" s="187"/>
      <c r="K38" s="803"/>
      <c r="L38" s="80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24"/>
      <c r="AA38" s="225"/>
      <c r="AB38" s="2"/>
      <c r="AD38" s="68"/>
      <c r="AW38" t="s">
        <v>588</v>
      </c>
    </row>
    <row r="39" spans="1:49" ht="13.5" thickBot="1" x14ac:dyDescent="0.25">
      <c r="A39" s="13">
        <v>2020</v>
      </c>
      <c r="B39" s="13" t="s">
        <v>528</v>
      </c>
      <c r="C39" s="13"/>
      <c r="D39" s="13"/>
      <c r="E39" s="691">
        <v>500</v>
      </c>
      <c r="F39" s="690">
        <v>0</v>
      </c>
      <c r="G39" s="690">
        <v>0</v>
      </c>
      <c r="H39" s="187"/>
      <c r="I39" s="821">
        <v>250</v>
      </c>
      <c r="J39" s="821">
        <v>1300</v>
      </c>
      <c r="K39" s="186">
        <v>0</v>
      </c>
      <c r="L39" s="409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224"/>
      <c r="AA39" s="225"/>
      <c r="AB39" s="2"/>
      <c r="AD39" s="68"/>
      <c r="AU39" s="293" t="s">
        <v>583</v>
      </c>
      <c r="AV39">
        <v>7907</v>
      </c>
      <c r="AW39">
        <v>302</v>
      </c>
    </row>
    <row r="40" spans="1:49" ht="13.5" customHeight="1" thickBot="1" x14ac:dyDescent="0.25">
      <c r="A40">
        <v>2021</v>
      </c>
      <c r="B40" t="s">
        <v>528</v>
      </c>
      <c r="C40" s="787"/>
      <c r="D40" s="787"/>
      <c r="E40" s="787"/>
      <c r="F40" s="787"/>
      <c r="G40" s="788">
        <v>553</v>
      </c>
      <c r="H40" s="787"/>
      <c r="I40" s="787"/>
      <c r="J40" s="792">
        <v>250</v>
      </c>
      <c r="K40" s="787"/>
      <c r="L40" s="787"/>
      <c r="M40" s="791">
        <v>38</v>
      </c>
      <c r="N40" s="787"/>
      <c r="O40" s="787"/>
      <c r="P40" s="787"/>
      <c r="Q40" s="787"/>
      <c r="R40" s="787"/>
      <c r="S40" s="787"/>
      <c r="T40" s="787"/>
      <c r="U40" s="787"/>
      <c r="V40" s="787"/>
      <c r="W40" s="787"/>
      <c r="X40" s="787"/>
      <c r="Y40" s="787"/>
      <c r="Z40" s="787"/>
      <c r="AA40" s="787"/>
      <c r="AU40" s="935" t="s">
        <v>584</v>
      </c>
      <c r="AV40" s="937">
        <v>310</v>
      </c>
      <c r="AW40">
        <v>0</v>
      </c>
    </row>
    <row r="41" spans="1:49" ht="13.5" thickBot="1" x14ac:dyDescent="0.25">
      <c r="B41" t="s">
        <v>530</v>
      </c>
      <c r="C41" s="787"/>
      <c r="D41" s="787"/>
      <c r="E41" s="787"/>
      <c r="F41" s="787"/>
      <c r="G41" s="787"/>
      <c r="H41" s="787"/>
      <c r="I41" s="787"/>
      <c r="J41" s="786">
        <v>121</v>
      </c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87"/>
      <c r="AU41" t="s">
        <v>585</v>
      </c>
      <c r="AV41">
        <f>SUM(AV39:AV40)</f>
        <v>8217</v>
      </c>
      <c r="AW41">
        <v>302</v>
      </c>
    </row>
    <row r="42" spans="1:49" ht="13.5" thickBot="1" x14ac:dyDescent="0.25">
      <c r="B42" t="s">
        <v>529</v>
      </c>
      <c r="C42" s="787"/>
      <c r="D42" s="787"/>
      <c r="E42" s="787"/>
      <c r="F42" s="787"/>
      <c r="G42" s="787"/>
      <c r="H42" s="787"/>
      <c r="I42" s="787"/>
      <c r="J42" s="792">
        <v>2</v>
      </c>
      <c r="K42" s="787"/>
      <c r="L42" s="793">
        <v>10</v>
      </c>
      <c r="M42" s="794">
        <v>0</v>
      </c>
      <c r="N42" s="787"/>
      <c r="O42" s="787"/>
      <c r="P42" s="787"/>
      <c r="Q42" s="787"/>
      <c r="R42" s="787"/>
      <c r="S42" s="787"/>
      <c r="T42" s="787"/>
      <c r="U42" s="787"/>
      <c r="V42" s="787"/>
      <c r="W42" s="787"/>
      <c r="X42" s="787"/>
      <c r="Y42" s="787"/>
      <c r="Z42" s="787"/>
      <c r="AA42" s="787"/>
      <c r="AU42" s="935" t="s">
        <v>586</v>
      </c>
      <c r="AV42" s="937">
        <v>1012</v>
      </c>
      <c r="AW42">
        <v>0</v>
      </c>
    </row>
    <row r="43" spans="1:49" x14ac:dyDescent="0.2">
      <c r="A43">
        <v>2022</v>
      </c>
      <c r="B43" t="s">
        <v>528</v>
      </c>
      <c r="H43" s="698">
        <v>4607</v>
      </c>
      <c r="I43" s="698">
        <v>4000</v>
      </c>
      <c r="J43" s="698">
        <v>3237</v>
      </c>
      <c r="K43" s="698">
        <v>4601</v>
      </c>
      <c r="AV43">
        <f>AV41-AV42</f>
        <v>7205</v>
      </c>
    </row>
    <row r="44" spans="1:49" ht="13.5" thickBot="1" x14ac:dyDescent="0.25">
      <c r="B44" t="s">
        <v>530</v>
      </c>
      <c r="H44" s="698">
        <v>0</v>
      </c>
      <c r="I44" s="888"/>
      <c r="J44" s="888"/>
      <c r="K44" s="888"/>
      <c r="M44" s="825">
        <v>4</v>
      </c>
      <c r="AU44" s="936" t="s">
        <v>587</v>
      </c>
      <c r="AV44" s="262">
        <v>310</v>
      </c>
    </row>
    <row r="45" spans="1:49" ht="13.5" thickBot="1" x14ac:dyDescent="0.25">
      <c r="B45" t="s">
        <v>529</v>
      </c>
      <c r="AV45" s="937">
        <f>AV43-AV44</f>
        <v>6895</v>
      </c>
    </row>
    <row r="46" spans="1:49" x14ac:dyDescent="0.2">
      <c r="A46">
        <v>2023</v>
      </c>
      <c r="B46" t="s">
        <v>528</v>
      </c>
      <c r="G46" s="964">
        <v>1679</v>
      </c>
      <c r="H46" s="964">
        <v>1245</v>
      </c>
      <c r="I46" s="961"/>
      <c r="J46" s="961"/>
      <c r="K46" s="973">
        <v>98</v>
      </c>
    </row>
    <row r="47" spans="1:49" x14ac:dyDescent="0.2">
      <c r="B47" t="s">
        <v>530</v>
      </c>
      <c r="G47" s="964">
        <v>0</v>
      </c>
      <c r="H47" s="961"/>
      <c r="I47" s="961"/>
      <c r="J47" s="961"/>
      <c r="K47" s="961"/>
    </row>
    <row r="48" spans="1:49" x14ac:dyDescent="0.2">
      <c r="B48" t="s">
        <v>529</v>
      </c>
      <c r="G48" s="961"/>
      <c r="H48" s="961"/>
      <c r="I48" s="964">
        <v>0</v>
      </c>
      <c r="J48" s="961"/>
      <c r="K48" s="964">
        <v>0</v>
      </c>
    </row>
    <row r="51" spans="1:31" x14ac:dyDescent="0.2">
      <c r="A51" s="776" t="s">
        <v>618</v>
      </c>
      <c r="B51" s="776"/>
      <c r="C51" s="777"/>
      <c r="D51" s="777"/>
      <c r="E51" s="777"/>
      <c r="F51" s="777"/>
      <c r="G51" s="777"/>
      <c r="H51" s="777"/>
      <c r="I51" s="777"/>
      <c r="J51" s="777"/>
    </row>
    <row r="52" spans="1:31" ht="13.5" thickBot="1" x14ac:dyDescent="0.25"/>
    <row r="53" spans="1:31" ht="13.5" thickTop="1" x14ac:dyDescent="0.2">
      <c r="A53" s="1004" t="s">
        <v>0</v>
      </c>
      <c r="B53" s="778"/>
      <c r="C53" s="1006" t="s">
        <v>1</v>
      </c>
      <c r="D53" s="1006"/>
      <c r="E53" s="1006"/>
      <c r="F53" s="1006"/>
      <c r="G53" s="1006"/>
      <c r="H53" s="1006"/>
      <c r="I53" s="1006"/>
      <c r="J53" s="1006"/>
      <c r="K53" s="1006"/>
      <c r="L53" s="1006"/>
      <c r="M53" s="1006"/>
      <c r="N53" s="1006"/>
      <c r="O53" s="1006"/>
      <c r="P53" s="1006"/>
      <c r="Q53" s="1006"/>
      <c r="R53" s="1006"/>
      <c r="S53" s="1006"/>
      <c r="T53" s="1006"/>
      <c r="U53" s="1006"/>
      <c r="V53" s="1006"/>
      <c r="W53" s="1006"/>
      <c r="X53" s="1006"/>
      <c r="Y53" s="1004" t="s">
        <v>2</v>
      </c>
      <c r="Z53" s="1010" t="s">
        <v>3</v>
      </c>
      <c r="AA53" s="1008" t="s">
        <v>4</v>
      </c>
      <c r="AB53" s="1016" t="s">
        <v>379</v>
      </c>
      <c r="AC53" s="1016"/>
    </row>
    <row r="54" spans="1:31" x14ac:dyDescent="0.2">
      <c r="A54" s="1005"/>
      <c r="B54" s="779" t="s">
        <v>527</v>
      </c>
      <c r="C54" s="779">
        <v>81</v>
      </c>
      <c r="D54" s="779">
        <v>82</v>
      </c>
      <c r="E54" s="18">
        <v>83</v>
      </c>
      <c r="F54" s="18">
        <v>84</v>
      </c>
      <c r="G54" s="18">
        <v>91</v>
      </c>
      <c r="H54" s="18">
        <v>92</v>
      </c>
      <c r="I54" s="18">
        <v>93</v>
      </c>
      <c r="J54" s="18">
        <v>94</v>
      </c>
      <c r="K54" s="18">
        <v>101</v>
      </c>
      <c r="L54" s="18">
        <v>102</v>
      </c>
      <c r="M54" s="779">
        <v>103</v>
      </c>
      <c r="N54" s="779">
        <v>104</v>
      </c>
      <c r="O54" s="779">
        <v>105</v>
      </c>
      <c r="P54" s="779">
        <v>111</v>
      </c>
      <c r="Q54" s="779">
        <v>112</v>
      </c>
      <c r="R54" s="779">
        <v>113</v>
      </c>
      <c r="S54" s="779">
        <v>114</v>
      </c>
      <c r="T54" s="779">
        <v>115</v>
      </c>
      <c r="U54" s="779">
        <v>121</v>
      </c>
      <c r="V54" s="779">
        <v>122</v>
      </c>
      <c r="W54" s="779">
        <v>123</v>
      </c>
      <c r="X54" s="779">
        <v>124</v>
      </c>
      <c r="Y54" s="1005"/>
      <c r="Z54" s="1011"/>
      <c r="AA54" s="1009"/>
      <c r="AB54" s="2" t="s">
        <v>380</v>
      </c>
      <c r="AC54" t="s">
        <v>378</v>
      </c>
      <c r="AD54" s="68" t="s">
        <v>44</v>
      </c>
      <c r="AE54" t="s">
        <v>142</v>
      </c>
    </row>
    <row r="55" spans="1:31" x14ac:dyDescent="0.2">
      <c r="A55" s="13">
        <v>2011</v>
      </c>
      <c r="B55" s="13" t="s">
        <v>528</v>
      </c>
      <c r="C55" s="13"/>
      <c r="D55" s="13"/>
      <c r="E55" s="814"/>
      <c r="F55" s="814"/>
      <c r="G55" s="201"/>
      <c r="H55" s="201"/>
      <c r="I55" s="201"/>
      <c r="J55" s="819">
        <v>0</v>
      </c>
      <c r="K55" s="201"/>
      <c r="L55" s="201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224"/>
      <c r="AA55" s="225"/>
      <c r="AB55" s="2"/>
      <c r="AD55" s="68"/>
    </row>
    <row r="56" spans="1:31" x14ac:dyDescent="0.2">
      <c r="A56" s="13">
        <v>2012</v>
      </c>
      <c r="B56" s="13" t="s">
        <v>528</v>
      </c>
      <c r="C56" s="13"/>
      <c r="D56" s="13"/>
      <c r="E56" s="814"/>
      <c r="F56" s="814"/>
      <c r="G56" s="201"/>
      <c r="H56" s="325">
        <v>0</v>
      </c>
      <c r="I56" s="201"/>
      <c r="J56" s="201"/>
      <c r="K56" s="201"/>
      <c r="L56" s="201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224"/>
      <c r="AA56" s="225"/>
      <c r="AB56" s="2"/>
      <c r="AD56" s="68"/>
    </row>
    <row r="57" spans="1:31" x14ac:dyDescent="0.2">
      <c r="A57" s="13">
        <v>2013</v>
      </c>
      <c r="B57" s="13" t="s">
        <v>528</v>
      </c>
      <c r="C57" s="13"/>
      <c r="D57" s="13"/>
      <c r="E57" s="814"/>
      <c r="F57" s="203"/>
      <c r="G57" s="201"/>
      <c r="H57" s="815">
        <v>600</v>
      </c>
      <c r="I57" s="201"/>
      <c r="J57" s="201"/>
      <c r="K57" s="201"/>
      <c r="L57" s="201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224"/>
      <c r="AA57" s="225"/>
      <c r="AB57" s="2"/>
      <c r="AD57" s="68"/>
    </row>
    <row r="58" spans="1:31" x14ac:dyDescent="0.2">
      <c r="A58" s="13">
        <v>2014</v>
      </c>
      <c r="B58" s="13" t="s">
        <v>528</v>
      </c>
      <c r="C58" s="13"/>
      <c r="D58" s="13"/>
      <c r="E58" s="814"/>
      <c r="F58" s="816"/>
      <c r="G58" s="187"/>
      <c r="H58" s="187"/>
      <c r="I58" s="187"/>
      <c r="J58" s="187"/>
      <c r="K58" s="187"/>
      <c r="L58" s="187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224"/>
      <c r="AA58" s="225"/>
      <c r="AB58" s="2"/>
      <c r="AD58" s="68"/>
    </row>
    <row r="59" spans="1:31" x14ac:dyDescent="0.2">
      <c r="A59" s="13">
        <v>2015</v>
      </c>
      <c r="B59" s="13" t="s">
        <v>528</v>
      </c>
      <c r="C59" s="13"/>
      <c r="D59" s="13"/>
      <c r="E59" s="814"/>
      <c r="F59" s="816"/>
      <c r="G59" s="187"/>
      <c r="H59" s="220"/>
      <c r="I59" s="187"/>
      <c r="J59" s="187"/>
      <c r="K59" s="221"/>
      <c r="L59" s="221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224"/>
      <c r="AA59" s="225"/>
      <c r="AB59" s="2"/>
      <c r="AD59" s="68"/>
    </row>
    <row r="60" spans="1:31" x14ac:dyDescent="0.2">
      <c r="A60" s="13">
        <v>2016</v>
      </c>
      <c r="B60" s="13" t="s">
        <v>528</v>
      </c>
      <c r="C60" s="13"/>
      <c r="D60" s="13"/>
      <c r="E60" s="814"/>
      <c r="F60" s="816"/>
      <c r="G60" s="187"/>
      <c r="H60" s="220"/>
      <c r="I60" s="187"/>
      <c r="J60" s="187"/>
      <c r="K60" s="803"/>
      <c r="L60" s="80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224"/>
      <c r="AA60" s="225"/>
      <c r="AB60" s="2"/>
      <c r="AD60" s="68"/>
    </row>
    <row r="61" spans="1:31" x14ac:dyDescent="0.2">
      <c r="A61" s="13">
        <v>2017</v>
      </c>
      <c r="B61" s="13" t="s">
        <v>528</v>
      </c>
      <c r="C61" s="13"/>
      <c r="D61" s="13"/>
      <c r="E61" s="801">
        <v>0</v>
      </c>
      <c r="F61" s="801">
        <v>0</v>
      </c>
      <c r="G61" s="187"/>
      <c r="H61" s="802"/>
      <c r="I61" s="187"/>
      <c r="J61" s="187"/>
      <c r="K61" s="803"/>
      <c r="L61" s="801">
        <v>0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224"/>
      <c r="AA61" s="225"/>
      <c r="AB61" s="2"/>
      <c r="AD61" s="68"/>
    </row>
    <row r="62" spans="1:31" x14ac:dyDescent="0.2">
      <c r="A62" s="13">
        <v>2018</v>
      </c>
      <c r="B62" s="13" t="s">
        <v>528</v>
      </c>
      <c r="C62" s="13"/>
      <c r="D62" s="13"/>
      <c r="E62" s="814"/>
      <c r="F62" s="691"/>
      <c r="G62" s="820"/>
      <c r="H62" s="220"/>
      <c r="I62" s="189"/>
      <c r="J62" s="223"/>
      <c r="K62" s="804"/>
      <c r="L62" s="804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224"/>
      <c r="AA62" s="225"/>
      <c r="AB62" s="2"/>
      <c r="AD62" s="68"/>
    </row>
    <row r="63" spans="1:31" x14ac:dyDescent="0.2">
      <c r="A63" s="13">
        <v>2019</v>
      </c>
      <c r="B63" s="13" t="s">
        <v>528</v>
      </c>
      <c r="C63" s="13"/>
      <c r="D63" s="13"/>
      <c r="E63" s="587">
        <v>1</v>
      </c>
      <c r="F63" s="220"/>
      <c r="G63" s="818">
        <v>0</v>
      </c>
      <c r="H63" s="587">
        <v>0</v>
      </c>
      <c r="I63" s="220"/>
      <c r="J63" s="187"/>
      <c r="K63" s="803"/>
      <c r="L63" s="80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224"/>
      <c r="AA63" s="225"/>
      <c r="AB63" s="2"/>
      <c r="AD63" s="68"/>
    </row>
    <row r="64" spans="1:31" x14ac:dyDescent="0.2">
      <c r="A64" s="13">
        <v>2020</v>
      </c>
      <c r="B64" s="13" t="s">
        <v>528</v>
      </c>
      <c r="C64" s="13"/>
      <c r="D64" s="13"/>
      <c r="E64" s="691">
        <v>0</v>
      </c>
      <c r="F64" s="690">
        <v>0</v>
      </c>
      <c r="G64" s="690">
        <v>0</v>
      </c>
      <c r="H64" s="187"/>
      <c r="I64" s="199">
        <v>28</v>
      </c>
      <c r="J64" s="821">
        <v>20</v>
      </c>
      <c r="K64" s="186">
        <v>0</v>
      </c>
      <c r="L64" s="409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224"/>
      <c r="AA64" s="225"/>
      <c r="AB64" s="2"/>
      <c r="AD64" s="68"/>
    </row>
    <row r="65" spans="1:31" x14ac:dyDescent="0.2">
      <c r="A65" s="13">
        <v>2021</v>
      </c>
      <c r="B65" s="13" t="s">
        <v>528</v>
      </c>
      <c r="C65" s="787"/>
      <c r="D65" s="787"/>
      <c r="E65" s="787"/>
      <c r="F65" s="787"/>
      <c r="G65" s="788">
        <v>0</v>
      </c>
      <c r="H65" s="787"/>
      <c r="I65" s="787"/>
      <c r="J65" s="792">
        <v>0</v>
      </c>
      <c r="K65" s="787"/>
      <c r="L65" s="787"/>
      <c r="M65" s="793">
        <v>0</v>
      </c>
      <c r="N65" s="787"/>
      <c r="O65" s="787"/>
      <c r="P65" s="787"/>
      <c r="Q65" s="787"/>
      <c r="R65" s="787"/>
      <c r="S65" s="787"/>
      <c r="T65" s="787"/>
      <c r="U65" s="787"/>
      <c r="V65" s="787"/>
      <c r="W65" s="787"/>
      <c r="X65" s="787"/>
      <c r="Y65" s="787"/>
      <c r="Z65" s="787"/>
      <c r="AA65" s="787"/>
    </row>
    <row r="66" spans="1:31" x14ac:dyDescent="0.2">
      <c r="A66" s="13"/>
      <c r="B66" s="13" t="s">
        <v>530</v>
      </c>
      <c r="C66" s="787"/>
      <c r="D66" s="787"/>
      <c r="E66" s="787"/>
      <c r="F66" s="787"/>
      <c r="G66" s="787"/>
      <c r="H66" s="787"/>
      <c r="I66" s="787"/>
      <c r="J66" s="792">
        <v>0</v>
      </c>
      <c r="K66" s="787"/>
      <c r="L66" s="787"/>
      <c r="M66" s="787"/>
      <c r="N66" s="787"/>
      <c r="O66" s="787"/>
      <c r="P66" s="787"/>
      <c r="Q66" s="787"/>
      <c r="R66" s="787"/>
      <c r="S66" s="787"/>
      <c r="T66" s="787"/>
      <c r="U66" s="787"/>
      <c r="V66" s="787"/>
      <c r="W66" s="787"/>
      <c r="X66" s="787"/>
      <c r="Y66" s="787"/>
      <c r="Z66" s="787"/>
      <c r="AA66" s="787"/>
    </row>
    <row r="67" spans="1:31" x14ac:dyDescent="0.2">
      <c r="A67" s="13"/>
      <c r="B67" s="13" t="s">
        <v>529</v>
      </c>
      <c r="C67" s="787"/>
      <c r="D67" s="787"/>
      <c r="E67" s="787"/>
      <c r="F67" s="787"/>
      <c r="G67" s="787"/>
      <c r="H67" s="787"/>
      <c r="I67" s="787"/>
      <c r="J67" s="792">
        <v>0</v>
      </c>
      <c r="K67" s="787"/>
      <c r="L67" s="793">
        <v>395</v>
      </c>
      <c r="M67" s="794">
        <v>0</v>
      </c>
      <c r="N67" s="787"/>
      <c r="O67" s="787"/>
      <c r="P67" s="787"/>
      <c r="Q67" s="787"/>
      <c r="R67" s="787"/>
      <c r="S67" s="787"/>
      <c r="T67" s="787"/>
      <c r="U67" s="787"/>
      <c r="V67" s="787"/>
      <c r="W67" s="787"/>
      <c r="X67" s="787"/>
      <c r="Y67" s="787"/>
      <c r="Z67" s="787"/>
      <c r="AA67" s="787"/>
    </row>
    <row r="68" spans="1:31" x14ac:dyDescent="0.2">
      <c r="A68" s="13">
        <v>2022</v>
      </c>
      <c r="B68" s="13" t="s">
        <v>528</v>
      </c>
      <c r="H68" s="698">
        <v>2</v>
      </c>
      <c r="I68" s="698"/>
      <c r="J68" s="698">
        <v>33</v>
      </c>
      <c r="K68" s="698">
        <v>48</v>
      </c>
    </row>
    <row r="69" spans="1:31" x14ac:dyDescent="0.2">
      <c r="A69" s="13"/>
      <c r="B69" s="13" t="s">
        <v>530</v>
      </c>
      <c r="H69" s="698">
        <v>0</v>
      </c>
      <c r="I69" s="888"/>
      <c r="J69" s="888"/>
      <c r="K69" s="888"/>
      <c r="M69" s="698">
        <v>0</v>
      </c>
    </row>
    <row r="70" spans="1:31" x14ac:dyDescent="0.2">
      <c r="A70" s="13"/>
      <c r="B70" s="13" t="s">
        <v>529</v>
      </c>
    </row>
    <row r="71" spans="1:31" x14ac:dyDescent="0.2">
      <c r="A71" s="13">
        <v>2023</v>
      </c>
      <c r="B71" s="13" t="s">
        <v>528</v>
      </c>
      <c r="G71" s="964">
        <v>0</v>
      </c>
      <c r="H71" s="966">
        <v>1</v>
      </c>
      <c r="I71" s="961"/>
      <c r="J71" s="961"/>
      <c r="K71" s="972">
        <v>49</v>
      </c>
    </row>
    <row r="72" spans="1:31" x14ac:dyDescent="0.2">
      <c r="A72" s="13"/>
      <c r="B72" s="13" t="s">
        <v>530</v>
      </c>
      <c r="G72" s="964">
        <v>0</v>
      </c>
      <c r="H72" s="961"/>
      <c r="I72" s="961"/>
      <c r="J72" s="961"/>
      <c r="K72" s="961"/>
    </row>
    <row r="73" spans="1:31" x14ac:dyDescent="0.2">
      <c r="A73" s="13"/>
      <c r="B73" s="13" t="s">
        <v>529</v>
      </c>
      <c r="C73" s="777"/>
      <c r="D73" s="777"/>
      <c r="E73" s="777"/>
      <c r="F73" s="777"/>
      <c r="G73" s="961"/>
      <c r="H73" s="961"/>
      <c r="I73" s="964">
        <v>0</v>
      </c>
      <c r="J73" s="961"/>
      <c r="K73" s="964">
        <v>0</v>
      </c>
    </row>
    <row r="74" spans="1:31" x14ac:dyDescent="0.2">
      <c r="B74" s="13"/>
      <c r="C74" s="939"/>
      <c r="D74" s="939"/>
      <c r="E74" s="939"/>
      <c r="F74" s="939"/>
      <c r="G74" s="939"/>
      <c r="H74" s="939"/>
      <c r="I74" s="939"/>
      <c r="J74" s="939"/>
    </row>
    <row r="75" spans="1:31" x14ac:dyDescent="0.2">
      <c r="A75" s="938" t="s">
        <v>617</v>
      </c>
      <c r="B75" s="13"/>
      <c r="C75" s="939"/>
      <c r="D75" s="939"/>
      <c r="E75" s="939"/>
      <c r="F75" s="939"/>
      <c r="G75" s="939"/>
      <c r="H75" s="939"/>
      <c r="I75" s="939"/>
      <c r="J75" s="939"/>
    </row>
    <row r="76" spans="1:31" ht="13.5" thickBot="1" x14ac:dyDescent="0.25"/>
    <row r="77" spans="1:31" ht="13.5" thickTop="1" x14ac:dyDescent="0.2">
      <c r="A77" s="940" t="s">
        <v>0</v>
      </c>
      <c r="B77" s="778"/>
      <c r="C77" s="1006" t="s">
        <v>1</v>
      </c>
      <c r="D77" s="1006"/>
      <c r="E77" s="1006"/>
      <c r="F77" s="1006"/>
      <c r="G77" s="1006"/>
      <c r="H77" s="1006"/>
      <c r="I77" s="1006"/>
      <c r="J77" s="1006"/>
      <c r="K77" s="1006"/>
      <c r="L77" s="1006"/>
      <c r="M77" s="1006"/>
      <c r="N77" s="1006"/>
      <c r="O77" s="1006"/>
      <c r="P77" s="1006"/>
      <c r="Q77" s="1006"/>
      <c r="R77" s="1006"/>
      <c r="S77" s="1006"/>
      <c r="T77" s="1006"/>
      <c r="U77" s="1006"/>
      <c r="V77" s="1006"/>
      <c r="W77" s="1006"/>
      <c r="X77" s="1006"/>
      <c r="Y77" s="1004" t="s">
        <v>2</v>
      </c>
      <c r="Z77" s="1010" t="s">
        <v>3</v>
      </c>
      <c r="AA77" s="1008" t="s">
        <v>4</v>
      </c>
      <c r="AB77" s="1016" t="s">
        <v>379</v>
      </c>
      <c r="AC77" s="1016"/>
    </row>
    <row r="78" spans="1:31" x14ac:dyDescent="0.2">
      <c r="A78" s="941"/>
      <c r="B78" s="779" t="s">
        <v>527</v>
      </c>
      <c r="C78" s="18">
        <v>81</v>
      </c>
      <c r="D78" s="18">
        <v>82</v>
      </c>
      <c r="E78" s="18">
        <v>83</v>
      </c>
      <c r="F78" s="18">
        <v>84</v>
      </c>
      <c r="G78" s="18">
        <v>91</v>
      </c>
      <c r="H78" s="18">
        <v>92</v>
      </c>
      <c r="I78" s="18">
        <v>93</v>
      </c>
      <c r="J78" s="18">
        <v>94</v>
      </c>
      <c r="K78" s="18">
        <v>101</v>
      </c>
      <c r="L78" s="18">
        <v>102</v>
      </c>
      <c r="M78" s="18">
        <v>103</v>
      </c>
      <c r="N78" s="779">
        <v>104</v>
      </c>
      <c r="O78" s="779">
        <v>105</v>
      </c>
      <c r="P78" s="779">
        <v>111</v>
      </c>
      <c r="Q78" s="779">
        <v>112</v>
      </c>
      <c r="R78" s="779">
        <v>113</v>
      </c>
      <c r="S78" s="779">
        <v>114</v>
      </c>
      <c r="T78" s="779">
        <v>115</v>
      </c>
      <c r="U78" s="779">
        <v>121</v>
      </c>
      <c r="V78" s="779">
        <v>122</v>
      </c>
      <c r="W78" s="779">
        <v>123</v>
      </c>
      <c r="X78" s="779">
        <v>124</v>
      </c>
      <c r="Y78" s="1005"/>
      <c r="Z78" s="1011"/>
      <c r="AA78" s="1009"/>
      <c r="AB78" s="2" t="s">
        <v>380</v>
      </c>
      <c r="AC78" t="s">
        <v>378</v>
      </c>
      <c r="AD78" s="68" t="s">
        <v>44</v>
      </c>
      <c r="AE78" t="s">
        <v>142</v>
      </c>
    </row>
    <row r="79" spans="1:31" x14ac:dyDescent="0.2">
      <c r="A79" s="13">
        <v>2011</v>
      </c>
      <c r="B79" s="13" t="s">
        <v>528</v>
      </c>
      <c r="C79" s="814"/>
      <c r="D79" s="814"/>
      <c r="E79" s="814"/>
      <c r="F79" s="814"/>
      <c r="G79" s="201"/>
      <c r="H79" s="201"/>
      <c r="I79" s="201"/>
      <c r="J79" s="819">
        <v>0</v>
      </c>
      <c r="K79" s="201"/>
      <c r="L79" s="201"/>
      <c r="M79" s="201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224"/>
      <c r="AA79" s="225"/>
      <c r="AB79" s="2"/>
      <c r="AD79" s="68"/>
    </row>
    <row r="80" spans="1:31" x14ac:dyDescent="0.2">
      <c r="A80" s="13">
        <v>2012</v>
      </c>
      <c r="B80" s="13" t="s">
        <v>528</v>
      </c>
      <c r="C80" s="814"/>
      <c r="D80" s="814"/>
      <c r="E80" s="814"/>
      <c r="F80" s="814"/>
      <c r="G80" s="201"/>
      <c r="H80" s="325">
        <v>8</v>
      </c>
      <c r="I80" s="201"/>
      <c r="J80" s="201"/>
      <c r="K80" s="201"/>
      <c r="L80" s="201"/>
      <c r="M80" s="201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224"/>
      <c r="AA80" s="225"/>
      <c r="AB80" s="2"/>
      <c r="AD80" s="68"/>
    </row>
    <row r="81" spans="1:30" x14ac:dyDescent="0.2">
      <c r="A81" s="13">
        <v>2013</v>
      </c>
      <c r="B81" s="13" t="s">
        <v>528</v>
      </c>
      <c r="C81" s="814"/>
      <c r="D81" s="203"/>
      <c r="E81" s="814"/>
      <c r="F81" s="203"/>
      <c r="G81" s="201"/>
      <c r="H81" s="815">
        <v>0</v>
      </c>
      <c r="I81" s="201"/>
      <c r="J81" s="201"/>
      <c r="K81" s="201"/>
      <c r="L81" s="201"/>
      <c r="M81" s="201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224"/>
      <c r="AA81" s="225"/>
      <c r="AB81" s="2"/>
      <c r="AD81" s="68"/>
    </row>
    <row r="82" spans="1:30" x14ac:dyDescent="0.2">
      <c r="A82" s="13">
        <v>2014</v>
      </c>
      <c r="B82" s="13" t="s">
        <v>528</v>
      </c>
      <c r="C82" s="814"/>
      <c r="D82" s="816"/>
      <c r="E82" s="814"/>
      <c r="F82" s="816"/>
      <c r="G82" s="187"/>
      <c r="H82" s="187"/>
      <c r="I82" s="187"/>
      <c r="J82" s="187"/>
      <c r="K82" s="187"/>
      <c r="L82" s="187"/>
      <c r="M82" s="187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224"/>
      <c r="AA82" s="225"/>
      <c r="AB82" s="2"/>
      <c r="AD82" s="68"/>
    </row>
    <row r="83" spans="1:30" x14ac:dyDescent="0.2">
      <c r="A83" s="13">
        <v>2015</v>
      </c>
      <c r="B83" s="13" t="s">
        <v>528</v>
      </c>
      <c r="C83" s="814"/>
      <c r="D83" s="816"/>
      <c r="E83" s="814"/>
      <c r="F83" s="816"/>
      <c r="G83" s="187"/>
      <c r="H83" s="187"/>
      <c r="I83" s="187"/>
      <c r="J83" s="187"/>
      <c r="K83" s="221"/>
      <c r="L83" s="221"/>
      <c r="M83" s="187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224"/>
      <c r="AA83" s="225"/>
      <c r="AB83" s="2"/>
      <c r="AD83" s="68"/>
    </row>
    <row r="84" spans="1:30" x14ac:dyDescent="0.2">
      <c r="A84" s="13">
        <v>2016</v>
      </c>
      <c r="B84" s="13" t="s">
        <v>528</v>
      </c>
      <c r="C84" s="814"/>
      <c r="D84" s="816"/>
      <c r="E84" s="814"/>
      <c r="F84" s="816"/>
      <c r="G84" s="187"/>
      <c r="H84" s="187"/>
      <c r="I84" s="187"/>
      <c r="J84" s="187"/>
      <c r="K84" s="803"/>
      <c r="L84" s="803"/>
      <c r="M84" s="187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224"/>
      <c r="AA84" s="225"/>
      <c r="AB84" s="2"/>
      <c r="AD84" s="68"/>
    </row>
    <row r="85" spans="1:30" x14ac:dyDescent="0.2">
      <c r="A85" s="13">
        <v>2017</v>
      </c>
      <c r="B85" s="13" t="s">
        <v>528</v>
      </c>
      <c r="C85" s="814"/>
      <c r="D85" s="816"/>
      <c r="E85" s="801">
        <v>0</v>
      </c>
      <c r="F85" s="801">
        <v>0</v>
      </c>
      <c r="G85" s="187"/>
      <c r="H85" s="802"/>
      <c r="I85" s="187"/>
      <c r="J85" s="187"/>
      <c r="K85" s="803"/>
      <c r="L85" s="801">
        <v>0</v>
      </c>
      <c r="M85" s="187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224"/>
      <c r="AA85" s="225"/>
      <c r="AB85" s="2"/>
      <c r="AD85" s="68"/>
    </row>
    <row r="86" spans="1:30" x14ac:dyDescent="0.2">
      <c r="A86" s="13">
        <v>2018</v>
      </c>
      <c r="B86" s="13" t="s">
        <v>528</v>
      </c>
      <c r="C86" s="814"/>
      <c r="D86" s="816"/>
      <c r="E86" s="814"/>
      <c r="F86" s="691"/>
      <c r="G86" s="820"/>
      <c r="H86" s="187"/>
      <c r="I86" s="189">
        <v>250</v>
      </c>
      <c r="J86" s="223"/>
      <c r="K86" s="804"/>
      <c r="L86" s="804"/>
      <c r="M86" s="22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224"/>
      <c r="AA86" s="225"/>
      <c r="AB86" s="2"/>
      <c r="AD86" s="68"/>
    </row>
    <row r="87" spans="1:30" x14ac:dyDescent="0.2">
      <c r="A87" s="13">
        <v>2019</v>
      </c>
      <c r="B87" s="13" t="s">
        <v>528</v>
      </c>
      <c r="C87" s="814"/>
      <c r="D87" s="816"/>
      <c r="E87" s="587">
        <v>280</v>
      </c>
      <c r="F87" s="220"/>
      <c r="G87" s="818">
        <v>0</v>
      </c>
      <c r="H87" s="186">
        <v>0</v>
      </c>
      <c r="I87" s="220"/>
      <c r="J87" s="187"/>
      <c r="K87" s="803"/>
      <c r="L87" s="803"/>
      <c r="M87" s="187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224"/>
      <c r="AA87" s="225"/>
      <c r="AB87" s="2"/>
      <c r="AD87" s="68"/>
    </row>
    <row r="88" spans="1:30" x14ac:dyDescent="0.2">
      <c r="A88" s="13">
        <v>2020</v>
      </c>
      <c r="B88" s="13" t="s">
        <v>528</v>
      </c>
      <c r="C88" s="814"/>
      <c r="D88" s="816"/>
      <c r="E88" s="691">
        <v>0</v>
      </c>
      <c r="F88" s="690">
        <v>0</v>
      </c>
      <c r="G88" s="690">
        <v>0</v>
      </c>
      <c r="H88" s="187"/>
      <c r="I88" s="186">
        <v>0</v>
      </c>
      <c r="J88" s="186">
        <v>0</v>
      </c>
      <c r="K88" s="186">
        <v>0</v>
      </c>
      <c r="L88" s="409"/>
      <c r="M88" s="822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224"/>
      <c r="AA88" s="225"/>
      <c r="AB88" s="2"/>
      <c r="AD88" s="68"/>
    </row>
    <row r="89" spans="1:30" x14ac:dyDescent="0.2">
      <c r="A89" s="13">
        <v>2021</v>
      </c>
      <c r="B89" s="13" t="s">
        <v>528</v>
      </c>
      <c r="C89" s="787"/>
      <c r="D89" s="787"/>
      <c r="E89" s="787"/>
      <c r="F89" s="787"/>
      <c r="G89" s="788">
        <v>1000</v>
      </c>
      <c r="H89" s="787"/>
      <c r="I89" s="787"/>
      <c r="J89" s="792">
        <v>1572</v>
      </c>
      <c r="K89" s="787"/>
      <c r="L89" s="787"/>
      <c r="M89" s="793">
        <v>95</v>
      </c>
      <c r="N89" s="787"/>
      <c r="O89" s="787"/>
      <c r="P89" s="787"/>
      <c r="Q89" s="787"/>
      <c r="R89" s="787"/>
      <c r="S89" s="787"/>
      <c r="T89" s="787"/>
      <c r="U89" s="787"/>
      <c r="V89" s="787"/>
      <c r="W89" s="787"/>
      <c r="X89" s="787"/>
      <c r="Y89" s="787"/>
      <c r="Z89" s="787"/>
      <c r="AA89" s="787"/>
    </row>
    <row r="90" spans="1:30" x14ac:dyDescent="0.2">
      <c r="A90" s="13"/>
      <c r="B90" s="13" t="s">
        <v>530</v>
      </c>
      <c r="C90" s="787"/>
      <c r="D90" s="787"/>
      <c r="E90" s="787"/>
      <c r="F90" s="787"/>
      <c r="G90" s="787"/>
      <c r="H90" s="787"/>
      <c r="I90" s="787"/>
      <c r="J90" s="792">
        <v>11</v>
      </c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87"/>
    </row>
    <row r="91" spans="1:30" x14ac:dyDescent="0.2">
      <c r="A91" s="13"/>
      <c r="B91" s="13" t="s">
        <v>529</v>
      </c>
      <c r="C91" s="787"/>
      <c r="D91" s="787"/>
      <c r="E91" s="787"/>
      <c r="F91" s="787"/>
      <c r="G91" s="787"/>
      <c r="H91" s="787"/>
      <c r="I91" s="787"/>
      <c r="J91" s="789">
        <v>823</v>
      </c>
      <c r="K91" s="787"/>
      <c r="L91" s="793">
        <v>1150</v>
      </c>
      <c r="M91" s="790">
        <v>655</v>
      </c>
      <c r="N91" s="787"/>
      <c r="O91" s="787"/>
      <c r="P91" s="787"/>
      <c r="Q91" s="787"/>
      <c r="R91" s="787"/>
      <c r="S91" s="787"/>
      <c r="T91" s="787"/>
      <c r="U91" s="787"/>
      <c r="V91" s="787"/>
      <c r="W91" s="787"/>
      <c r="X91" s="787"/>
      <c r="Y91" s="787"/>
      <c r="Z91" s="787"/>
      <c r="AA91" s="787"/>
    </row>
    <row r="92" spans="1:30" x14ac:dyDescent="0.2">
      <c r="A92" s="13">
        <v>2022</v>
      </c>
      <c r="B92" s="13" t="s">
        <v>528</v>
      </c>
      <c r="H92" s="698">
        <v>423</v>
      </c>
      <c r="I92" s="698"/>
      <c r="J92" s="698">
        <v>19</v>
      </c>
      <c r="K92" s="698">
        <v>241</v>
      </c>
    </row>
    <row r="93" spans="1:30" x14ac:dyDescent="0.2">
      <c r="B93" s="13" t="s">
        <v>530</v>
      </c>
      <c r="H93" s="698">
        <v>0</v>
      </c>
      <c r="I93" s="888"/>
      <c r="J93" s="888"/>
      <c r="K93" s="888"/>
      <c r="M93" s="698">
        <v>0</v>
      </c>
    </row>
    <row r="94" spans="1:30" x14ac:dyDescent="0.2">
      <c r="B94" s="13" t="s">
        <v>529</v>
      </c>
    </row>
    <row r="95" spans="1:30" x14ac:dyDescent="0.2">
      <c r="A95" s="330">
        <v>2023</v>
      </c>
      <c r="B95" s="13" t="s">
        <v>528</v>
      </c>
      <c r="G95" s="964">
        <v>167</v>
      </c>
      <c r="H95" s="964">
        <v>150</v>
      </c>
      <c r="I95" s="961"/>
      <c r="J95" s="961"/>
      <c r="K95" s="973">
        <v>45</v>
      </c>
    </row>
    <row r="96" spans="1:30" x14ac:dyDescent="0.2">
      <c r="A96" s="13"/>
      <c r="B96" s="13" t="s">
        <v>530</v>
      </c>
      <c r="G96" s="964">
        <v>0</v>
      </c>
      <c r="H96" s="961"/>
      <c r="I96" s="961"/>
      <c r="J96" s="961"/>
      <c r="K96" s="961"/>
    </row>
    <row r="97" spans="1:31" x14ac:dyDescent="0.2">
      <c r="A97" s="13"/>
      <c r="B97" s="13" t="s">
        <v>529</v>
      </c>
      <c r="G97" s="961"/>
      <c r="H97" s="961"/>
      <c r="I97" s="964">
        <v>0</v>
      </c>
      <c r="J97" s="961"/>
      <c r="K97" s="964">
        <v>130</v>
      </c>
    </row>
    <row r="98" spans="1:31" x14ac:dyDescent="0.2">
      <c r="B98" s="776"/>
      <c r="C98" s="777"/>
      <c r="D98" s="777"/>
      <c r="E98" s="777"/>
      <c r="F98" s="777"/>
      <c r="G98" s="777"/>
      <c r="H98" s="777"/>
      <c r="I98" s="777"/>
      <c r="J98" s="777"/>
    </row>
    <row r="99" spans="1:31" x14ac:dyDescent="0.2">
      <c r="B99" s="938"/>
      <c r="C99" s="939"/>
      <c r="D99" s="939"/>
      <c r="E99" s="939"/>
      <c r="F99" s="939"/>
      <c r="G99" s="939"/>
      <c r="H99" s="939"/>
      <c r="I99" s="939"/>
      <c r="J99" s="939"/>
    </row>
    <row r="100" spans="1:31" x14ac:dyDescent="0.2">
      <c r="B100" s="938"/>
      <c r="C100" s="939"/>
      <c r="D100" s="939"/>
      <c r="E100" s="939"/>
      <c r="F100" s="939"/>
      <c r="G100" s="939"/>
      <c r="H100" s="939"/>
      <c r="I100" s="939"/>
      <c r="J100" s="939"/>
    </row>
    <row r="101" spans="1:31" x14ac:dyDescent="0.2">
      <c r="A101" s="938" t="s">
        <v>616</v>
      </c>
      <c r="B101" s="938"/>
      <c r="C101" s="939"/>
      <c r="D101" s="939"/>
      <c r="E101" s="939"/>
      <c r="F101" s="939"/>
      <c r="G101" s="939"/>
      <c r="H101" s="939"/>
      <c r="I101" s="939"/>
      <c r="J101" s="939"/>
    </row>
    <row r="102" spans="1:31" ht="13.5" thickBot="1" x14ac:dyDescent="0.25"/>
    <row r="103" spans="1:31" ht="13.5" thickTop="1" x14ac:dyDescent="0.2">
      <c r="A103" s="940" t="s">
        <v>0</v>
      </c>
      <c r="B103" s="778"/>
      <c r="C103" s="1006" t="s">
        <v>1</v>
      </c>
      <c r="D103" s="1006"/>
      <c r="E103" s="1006"/>
      <c r="F103" s="1006"/>
      <c r="G103" s="1006"/>
      <c r="H103" s="1006"/>
      <c r="I103" s="1006"/>
      <c r="J103" s="1006"/>
      <c r="K103" s="1006"/>
      <c r="L103" s="1006"/>
      <c r="M103" s="1006"/>
      <c r="N103" s="1006"/>
      <c r="O103" s="1006"/>
      <c r="P103" s="1006"/>
      <c r="Q103" s="1006"/>
      <c r="R103" s="1006"/>
      <c r="S103" s="1006"/>
      <c r="T103" s="1006"/>
      <c r="U103" s="1006"/>
      <c r="V103" s="1006"/>
      <c r="W103" s="1006"/>
      <c r="X103" s="1006"/>
      <c r="Y103" s="1004" t="s">
        <v>2</v>
      </c>
      <c r="Z103" s="1010" t="s">
        <v>3</v>
      </c>
      <c r="AA103" s="1008" t="s">
        <v>4</v>
      </c>
      <c r="AB103" s="1016" t="s">
        <v>379</v>
      </c>
      <c r="AC103" s="1016"/>
    </row>
    <row r="104" spans="1:31" x14ac:dyDescent="0.2">
      <c r="A104" s="941"/>
      <c r="B104" s="779" t="s">
        <v>527</v>
      </c>
      <c r="C104" s="779">
        <v>81</v>
      </c>
      <c r="D104" s="779">
        <v>82</v>
      </c>
      <c r="E104" s="18">
        <v>83</v>
      </c>
      <c r="F104" s="18">
        <v>84</v>
      </c>
      <c r="G104" s="18">
        <v>91</v>
      </c>
      <c r="H104" s="18">
        <v>92</v>
      </c>
      <c r="I104" s="18">
        <v>93</v>
      </c>
      <c r="J104" s="18">
        <v>94</v>
      </c>
      <c r="K104" s="18">
        <v>101</v>
      </c>
      <c r="L104" s="18">
        <v>102</v>
      </c>
      <c r="M104" s="779">
        <v>103</v>
      </c>
      <c r="N104" s="779">
        <v>104</v>
      </c>
      <c r="O104" s="779">
        <v>105</v>
      </c>
      <c r="P104" s="779">
        <v>111</v>
      </c>
      <c r="Q104" s="779">
        <v>112</v>
      </c>
      <c r="R104" s="779">
        <v>113</v>
      </c>
      <c r="S104" s="779">
        <v>114</v>
      </c>
      <c r="T104" s="779">
        <v>115</v>
      </c>
      <c r="U104" s="779">
        <v>121</v>
      </c>
      <c r="V104" s="779">
        <v>122</v>
      </c>
      <c r="W104" s="779">
        <v>123</v>
      </c>
      <c r="X104" s="779">
        <v>124</v>
      </c>
      <c r="Y104" s="1005"/>
      <c r="Z104" s="1011"/>
      <c r="AA104" s="1009"/>
      <c r="AB104" s="2" t="s">
        <v>380</v>
      </c>
      <c r="AC104" t="s">
        <v>378</v>
      </c>
      <c r="AD104" s="68" t="s">
        <v>44</v>
      </c>
      <c r="AE104" t="s">
        <v>142</v>
      </c>
    </row>
    <row r="105" spans="1:31" x14ac:dyDescent="0.2">
      <c r="A105" s="13">
        <v>2011</v>
      </c>
      <c r="B105" s="13" t="s">
        <v>528</v>
      </c>
      <c r="C105" s="13"/>
      <c r="D105" s="13"/>
      <c r="E105" s="814"/>
      <c r="F105" s="814"/>
      <c r="G105" s="201"/>
      <c r="H105" s="201"/>
      <c r="I105" s="201"/>
      <c r="J105" s="819">
        <v>0</v>
      </c>
      <c r="K105" s="201"/>
      <c r="L105" s="201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224"/>
      <c r="AA105" s="225"/>
      <c r="AB105" s="2"/>
      <c r="AD105" s="68"/>
    </row>
    <row r="106" spans="1:31" x14ac:dyDescent="0.2">
      <c r="A106" s="13">
        <v>2012</v>
      </c>
      <c r="B106" s="13" t="s">
        <v>528</v>
      </c>
      <c r="C106" s="13"/>
      <c r="D106" s="13"/>
      <c r="E106" s="814"/>
      <c r="F106" s="814"/>
      <c r="G106" s="201"/>
      <c r="H106" s="325">
        <v>0</v>
      </c>
      <c r="I106" s="201"/>
      <c r="J106" s="201"/>
      <c r="K106" s="201"/>
      <c r="L106" s="201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224"/>
      <c r="AA106" s="225"/>
      <c r="AB106" s="2"/>
      <c r="AD106" s="68"/>
    </row>
    <row r="107" spans="1:31" x14ac:dyDescent="0.2">
      <c r="A107" s="13">
        <v>2013</v>
      </c>
      <c r="B107" s="13" t="s">
        <v>528</v>
      </c>
      <c r="C107" s="13"/>
      <c r="D107" s="13"/>
      <c r="E107" s="814"/>
      <c r="F107" s="203"/>
      <c r="G107" s="201"/>
      <c r="H107" s="201"/>
      <c r="I107" s="201"/>
      <c r="J107" s="201"/>
      <c r="K107" s="201"/>
      <c r="L107" s="201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224"/>
      <c r="AA107" s="225"/>
      <c r="AB107" s="2"/>
      <c r="AD107" s="68"/>
    </row>
    <row r="108" spans="1:31" x14ac:dyDescent="0.2">
      <c r="A108" s="13">
        <v>2014</v>
      </c>
      <c r="B108" s="13" t="s">
        <v>528</v>
      </c>
      <c r="C108" s="13"/>
      <c r="D108" s="13"/>
      <c r="E108" s="814"/>
      <c r="F108" s="816"/>
      <c r="G108" s="187"/>
      <c r="H108" s="187"/>
      <c r="I108" s="187"/>
      <c r="J108" s="187"/>
      <c r="K108" s="187"/>
      <c r="L108" s="187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224"/>
      <c r="AA108" s="225"/>
      <c r="AB108" s="2"/>
      <c r="AD108" s="68"/>
    </row>
    <row r="109" spans="1:31" x14ac:dyDescent="0.2">
      <c r="A109" s="13">
        <v>2015</v>
      </c>
      <c r="B109" s="13" t="s">
        <v>528</v>
      </c>
      <c r="C109" s="13"/>
      <c r="D109" s="13"/>
      <c r="E109" s="814"/>
      <c r="F109" s="816"/>
      <c r="G109" s="187"/>
      <c r="H109" s="220"/>
      <c r="I109" s="187"/>
      <c r="J109" s="187"/>
      <c r="K109" s="221"/>
      <c r="L109" s="221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224"/>
      <c r="AA109" s="225"/>
      <c r="AB109" s="2"/>
      <c r="AD109" s="68"/>
    </row>
    <row r="110" spans="1:31" x14ac:dyDescent="0.2">
      <c r="A110" s="13">
        <v>2016</v>
      </c>
      <c r="B110" s="13" t="s">
        <v>528</v>
      </c>
      <c r="C110" s="13"/>
      <c r="D110" s="13"/>
      <c r="E110" s="814"/>
      <c r="F110" s="816"/>
      <c r="G110" s="187"/>
      <c r="H110" s="220"/>
      <c r="I110" s="187"/>
      <c r="J110" s="187"/>
      <c r="K110" s="803"/>
      <c r="L110" s="80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224"/>
      <c r="AA110" s="225"/>
      <c r="AB110" s="2"/>
      <c r="AD110" s="68"/>
    </row>
    <row r="111" spans="1:31" x14ac:dyDescent="0.2">
      <c r="A111" s="13">
        <v>2017</v>
      </c>
      <c r="B111" s="13" t="s">
        <v>528</v>
      </c>
      <c r="C111" s="13"/>
      <c r="D111" s="13"/>
      <c r="E111" s="801">
        <v>0</v>
      </c>
      <c r="F111" s="801">
        <v>0</v>
      </c>
      <c r="G111" s="187"/>
      <c r="H111" s="802"/>
      <c r="I111" s="187"/>
      <c r="J111" s="187"/>
      <c r="K111" s="803"/>
      <c r="L111" s="801">
        <v>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224"/>
      <c r="AA111" s="225"/>
      <c r="AB111" s="2"/>
      <c r="AD111" s="68"/>
    </row>
    <row r="112" spans="1:31" x14ac:dyDescent="0.2">
      <c r="A112" s="13">
        <v>2018</v>
      </c>
      <c r="B112" s="13" t="s">
        <v>528</v>
      </c>
      <c r="C112" s="13"/>
      <c r="D112" s="13"/>
      <c r="E112" s="814"/>
      <c r="F112" s="691"/>
      <c r="G112" s="820"/>
      <c r="H112" s="220"/>
      <c r="I112" s="189">
        <v>6</v>
      </c>
      <c r="J112" s="223"/>
      <c r="K112" s="804"/>
      <c r="L112" s="804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224"/>
      <c r="AA112" s="225"/>
      <c r="AB112" s="2"/>
      <c r="AD112" s="68"/>
    </row>
    <row r="113" spans="1:30" x14ac:dyDescent="0.2">
      <c r="A113" s="13">
        <v>2019</v>
      </c>
      <c r="B113" s="13" t="s">
        <v>528</v>
      </c>
      <c r="C113" s="13"/>
      <c r="D113" s="13"/>
      <c r="E113" s="587">
        <v>14</v>
      </c>
      <c r="F113" s="220"/>
      <c r="G113" s="818">
        <v>0</v>
      </c>
      <c r="H113" s="587">
        <v>0</v>
      </c>
      <c r="I113" s="220"/>
      <c r="J113" s="187"/>
      <c r="K113" s="803"/>
      <c r="L113" s="80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224"/>
      <c r="AA113" s="225"/>
      <c r="AB113" s="2"/>
      <c r="AD113" s="68"/>
    </row>
    <row r="114" spans="1:30" x14ac:dyDescent="0.2">
      <c r="A114" s="13">
        <v>2020</v>
      </c>
      <c r="B114" s="13" t="s">
        <v>528</v>
      </c>
      <c r="C114" s="13"/>
      <c r="D114" s="13"/>
      <c r="E114" s="691">
        <v>0</v>
      </c>
      <c r="F114" s="690">
        <v>0</v>
      </c>
      <c r="G114" s="690">
        <v>0</v>
      </c>
      <c r="H114" s="187"/>
      <c r="I114" s="186">
        <v>0</v>
      </c>
      <c r="J114" s="186">
        <v>0</v>
      </c>
      <c r="K114" s="186">
        <v>0</v>
      </c>
      <c r="L114" s="409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224"/>
      <c r="AA114" s="225"/>
      <c r="AB114" s="2"/>
      <c r="AD114" s="68"/>
    </row>
    <row r="115" spans="1:30" x14ac:dyDescent="0.2">
      <c r="A115" s="13">
        <v>2021</v>
      </c>
      <c r="B115" s="13" t="s">
        <v>528</v>
      </c>
      <c r="G115" s="788">
        <v>49</v>
      </c>
      <c r="H115" s="787"/>
      <c r="I115" s="787"/>
      <c r="J115" s="792">
        <v>0</v>
      </c>
      <c r="K115" s="787"/>
      <c r="L115" s="787"/>
      <c r="M115" s="793">
        <v>0</v>
      </c>
    </row>
    <row r="116" spans="1:30" x14ac:dyDescent="0.2">
      <c r="A116" s="13"/>
      <c r="B116" s="13" t="s">
        <v>530</v>
      </c>
      <c r="G116" s="787"/>
      <c r="H116" s="787"/>
      <c r="I116" s="787"/>
      <c r="J116" s="792">
        <v>2</v>
      </c>
      <c r="K116" s="787"/>
      <c r="L116" s="787"/>
      <c r="M116" s="787"/>
    </row>
    <row r="117" spans="1:30" x14ac:dyDescent="0.2">
      <c r="A117" s="13"/>
      <c r="B117" s="13" t="s">
        <v>529</v>
      </c>
      <c r="G117" s="787"/>
      <c r="H117" s="787"/>
      <c r="I117" s="787"/>
      <c r="J117" s="789">
        <v>0</v>
      </c>
      <c r="K117" s="787"/>
      <c r="L117" s="793">
        <v>6</v>
      </c>
      <c r="M117" s="794">
        <v>0</v>
      </c>
    </row>
    <row r="118" spans="1:30" x14ac:dyDescent="0.2">
      <c r="A118" s="89">
        <v>2022</v>
      </c>
      <c r="B118" s="13" t="s">
        <v>528</v>
      </c>
      <c r="H118" s="698">
        <v>4</v>
      </c>
      <c r="I118" s="698"/>
      <c r="J118" s="698">
        <v>2</v>
      </c>
      <c r="K118" s="698">
        <v>6</v>
      </c>
    </row>
    <row r="119" spans="1:30" x14ac:dyDescent="0.2">
      <c r="B119" s="13" t="s">
        <v>530</v>
      </c>
      <c r="H119" s="698">
        <v>1</v>
      </c>
      <c r="I119" s="888"/>
      <c r="J119" s="888"/>
      <c r="K119" s="888"/>
      <c r="L119" s="888"/>
      <c r="M119" s="698">
        <v>2</v>
      </c>
    </row>
    <row r="120" spans="1:30" x14ac:dyDescent="0.2">
      <c r="B120" s="13" t="s">
        <v>529</v>
      </c>
    </row>
    <row r="121" spans="1:30" x14ac:dyDescent="0.2">
      <c r="A121">
        <v>2023</v>
      </c>
      <c r="B121" s="13" t="s">
        <v>528</v>
      </c>
      <c r="G121" s="963">
        <v>22</v>
      </c>
      <c r="H121" s="963">
        <v>10</v>
      </c>
      <c r="I121" s="330"/>
      <c r="J121" s="330"/>
      <c r="K121" s="974">
        <v>0</v>
      </c>
    </row>
    <row r="122" spans="1:30" x14ac:dyDescent="0.2">
      <c r="B122" s="13" t="s">
        <v>530</v>
      </c>
      <c r="G122" s="963">
        <v>0</v>
      </c>
      <c r="H122" s="330"/>
      <c r="I122" s="330"/>
      <c r="J122" s="330"/>
      <c r="K122" s="330"/>
    </row>
    <row r="123" spans="1:30" x14ac:dyDescent="0.2">
      <c r="B123" s="13" t="s">
        <v>529</v>
      </c>
      <c r="G123" s="330"/>
      <c r="H123" s="330"/>
      <c r="I123" s="963">
        <v>0</v>
      </c>
      <c r="J123" s="330"/>
      <c r="K123" s="963">
        <v>1</v>
      </c>
    </row>
  </sheetData>
  <mergeCells count="29">
    <mergeCell ref="AB3:AC3"/>
    <mergeCell ref="A1:J1"/>
    <mergeCell ref="Y3:Y4"/>
    <mergeCell ref="Z3:Z4"/>
    <mergeCell ref="A3:A4"/>
    <mergeCell ref="C3:X3"/>
    <mergeCell ref="AA3:AA4"/>
    <mergeCell ref="AA28:AA29"/>
    <mergeCell ref="AB28:AC28"/>
    <mergeCell ref="A53:A54"/>
    <mergeCell ref="C53:X53"/>
    <mergeCell ref="Y53:Y54"/>
    <mergeCell ref="Z53:Z54"/>
    <mergeCell ref="AA53:AA54"/>
    <mergeCell ref="AB53:AC53"/>
    <mergeCell ref="A28:A29"/>
    <mergeCell ref="C28:X28"/>
    <mergeCell ref="Y28:Y29"/>
    <mergeCell ref="Z28:Z29"/>
    <mergeCell ref="AA77:AA78"/>
    <mergeCell ref="AB77:AC77"/>
    <mergeCell ref="C103:X103"/>
    <mergeCell ref="Y103:Y104"/>
    <mergeCell ref="Z103:Z104"/>
    <mergeCell ref="AA103:AA104"/>
    <mergeCell ref="AB103:AC103"/>
    <mergeCell ref="C77:X77"/>
    <mergeCell ref="Y77:Y78"/>
    <mergeCell ref="Z77:Z78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AV190"/>
  <sheetViews>
    <sheetView topLeftCell="A91" zoomScale="85" zoomScaleNormal="85" workbookViewId="0">
      <selection activeCell="U122" sqref="U122"/>
    </sheetView>
  </sheetViews>
  <sheetFormatPr defaultColWidth="9.140625" defaultRowHeight="12.75" x14ac:dyDescent="0.2"/>
  <cols>
    <col min="1" max="1" width="10.28515625" style="2" customWidth="1"/>
    <col min="2" max="17" width="6.5703125" style="2" customWidth="1"/>
    <col min="18" max="18" width="7.7109375" style="2" bestFit="1" customWidth="1"/>
    <col min="19" max="23" width="6.5703125" style="2" customWidth="1"/>
    <col min="24" max="25" width="9.140625" style="2"/>
    <col min="26" max="26" width="11.7109375" style="56" customWidth="1"/>
    <col min="27" max="27" width="19.140625" style="56" bestFit="1" customWidth="1"/>
    <col min="28" max="28" width="9.140625" style="2"/>
    <col min="29" max="34" width="8.7109375"/>
    <col min="35" max="35" width="13.140625" customWidth="1"/>
    <col min="36" max="48" width="8.7109375" customWidth="1"/>
    <col min="49" max="16384" width="9.140625" style="2"/>
  </cols>
  <sheetData>
    <row r="1" spans="1:48" ht="18" customHeight="1" x14ac:dyDescent="0.2">
      <c r="A1" s="1002" t="s">
        <v>620</v>
      </c>
      <c r="B1" s="1003"/>
      <c r="C1" s="1003"/>
      <c r="D1" s="1003"/>
      <c r="E1" s="1003"/>
      <c r="F1" s="1003"/>
      <c r="G1" s="1003"/>
      <c r="H1" s="1003"/>
      <c r="I1" s="1003"/>
      <c r="J1" s="446" t="s">
        <v>396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8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1:48" ht="18" customHeight="1" thickTop="1" x14ac:dyDescent="0.25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A3" s="443"/>
      <c r="AD3" s="1017" t="s">
        <v>93</v>
      </c>
      <c r="AE3" s="1017"/>
      <c r="AF3" s="1017"/>
      <c r="AH3" s="1013" t="s">
        <v>117</v>
      </c>
      <c r="AI3" s="1013" t="s">
        <v>118</v>
      </c>
      <c r="AJ3" s="157" t="s">
        <v>119</v>
      </c>
      <c r="AL3" s="158" t="s">
        <v>120</v>
      </c>
      <c r="AM3" s="158"/>
      <c r="AN3" s="159"/>
      <c r="AO3" s="160" t="s">
        <v>121</v>
      </c>
      <c r="AP3" s="160"/>
      <c r="AQ3" s="161" t="s">
        <v>122</v>
      </c>
    </row>
    <row r="4" spans="1:48" ht="18" customHeight="1" x14ac:dyDescent="0.2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225" t="s">
        <v>380</v>
      </c>
      <c r="AB4" s="68" t="s">
        <v>44</v>
      </c>
      <c r="AC4" t="s">
        <v>142</v>
      </c>
      <c r="AD4" s="84" t="s">
        <v>0</v>
      </c>
      <c r="AE4" s="84" t="s">
        <v>32</v>
      </c>
      <c r="AF4" s="84" t="s">
        <v>33</v>
      </c>
      <c r="AH4" s="1014"/>
      <c r="AI4" s="1014"/>
      <c r="AJ4" s="162" t="s">
        <v>123</v>
      </c>
      <c r="AL4" s="163" t="s">
        <v>124</v>
      </c>
      <c r="AM4" s="163" t="s">
        <v>125</v>
      </c>
      <c r="AN4" s="163"/>
      <c r="AO4" s="164" t="s">
        <v>126</v>
      </c>
      <c r="AQ4" s="164" t="s">
        <v>126</v>
      </c>
    </row>
    <row r="5" spans="1:48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6"/>
      <c r="I5" s="6">
        <v>16</v>
      </c>
      <c r="J5" s="6">
        <v>279</v>
      </c>
      <c r="K5" s="6"/>
      <c r="L5" s="6">
        <v>25</v>
      </c>
      <c r="M5" s="6"/>
      <c r="N5" s="6">
        <v>0</v>
      </c>
      <c r="O5" s="6"/>
      <c r="P5" s="6"/>
      <c r="Q5" s="6"/>
      <c r="R5" s="6"/>
      <c r="S5" s="6"/>
      <c r="T5" s="1"/>
      <c r="U5" s="1"/>
      <c r="V5" s="1"/>
      <c r="W5" s="1"/>
      <c r="X5" s="7">
        <v>525</v>
      </c>
      <c r="Y5" s="7" t="s">
        <v>5</v>
      </c>
      <c r="Z5" s="10">
        <v>15</v>
      </c>
      <c r="AA5" s="2" t="s">
        <v>316</v>
      </c>
      <c r="AC5">
        <f>X5/MAX(B5:W5)</f>
        <v>1.881720430107527</v>
      </c>
      <c r="AD5" s="1">
        <v>1995</v>
      </c>
      <c r="AE5" s="7">
        <v>525</v>
      </c>
      <c r="AF5" s="7">
        <v>412</v>
      </c>
      <c r="AG5"/>
      <c r="AH5" s="165"/>
      <c r="AI5" s="166"/>
      <c r="AJ5" s="167"/>
      <c r="AK5"/>
      <c r="AL5"/>
      <c r="AM5"/>
      <c r="AN5"/>
      <c r="AO5"/>
      <c r="AP5"/>
      <c r="AQ5"/>
      <c r="AR5"/>
      <c r="AS5"/>
      <c r="AT5"/>
      <c r="AU5"/>
      <c r="AV5"/>
    </row>
    <row r="6" spans="1:48" s="8" customFormat="1" ht="18" customHeight="1" x14ac:dyDescent="0.2">
      <c r="A6" s="1">
        <v>1996</v>
      </c>
      <c r="B6" s="6"/>
      <c r="C6" s="6"/>
      <c r="D6" s="6"/>
      <c r="E6" s="6"/>
      <c r="F6" s="6">
        <v>0</v>
      </c>
      <c r="G6" s="6"/>
      <c r="H6" s="6">
        <v>519</v>
      </c>
      <c r="I6" s="6">
        <v>170</v>
      </c>
      <c r="J6" s="6">
        <v>350</v>
      </c>
      <c r="K6" s="6">
        <v>153</v>
      </c>
      <c r="L6" s="6"/>
      <c r="M6" s="6">
        <v>7</v>
      </c>
      <c r="N6" s="6">
        <v>1</v>
      </c>
      <c r="O6" s="6">
        <v>0</v>
      </c>
      <c r="P6" s="6"/>
      <c r="Q6" s="6">
        <v>0</v>
      </c>
      <c r="R6" s="6"/>
      <c r="S6" s="6"/>
      <c r="T6" s="1"/>
      <c r="U6" s="1"/>
      <c r="V6" s="1"/>
      <c r="W6" s="1"/>
      <c r="X6" s="7">
        <v>771</v>
      </c>
      <c r="Y6" s="7" t="s">
        <v>5</v>
      </c>
      <c r="Z6" s="10">
        <v>20</v>
      </c>
      <c r="AA6" s="8" t="s">
        <v>390</v>
      </c>
      <c r="AC6">
        <f t="shared" ref="AC6:AC30" si="0">X6/MAX(B6:W6)</f>
        <v>1.4855491329479769</v>
      </c>
      <c r="AD6" s="1">
        <v>1996</v>
      </c>
      <c r="AE6" s="7">
        <v>771</v>
      </c>
      <c r="AF6" s="7">
        <v>715</v>
      </c>
      <c r="AG6"/>
      <c r="AH6" s="165"/>
      <c r="AI6" s="166"/>
      <c r="AJ6" s="167"/>
      <c r="AK6"/>
      <c r="AL6"/>
      <c r="AM6"/>
      <c r="AN6"/>
      <c r="AO6"/>
      <c r="AP6"/>
      <c r="AQ6"/>
      <c r="AR6"/>
      <c r="AS6"/>
      <c r="AT6"/>
      <c r="AU6"/>
      <c r="AV6"/>
    </row>
    <row r="7" spans="1:48" s="8" customFormat="1" ht="18" customHeight="1" x14ac:dyDescent="0.2">
      <c r="A7" s="1">
        <v>1997</v>
      </c>
      <c r="B7" s="6"/>
      <c r="C7" s="6"/>
      <c r="D7" s="6">
        <v>0</v>
      </c>
      <c r="E7" s="6"/>
      <c r="F7" s="6">
        <v>1</v>
      </c>
      <c r="G7" s="6"/>
      <c r="H7" s="6">
        <v>601</v>
      </c>
      <c r="I7" s="6">
        <v>295</v>
      </c>
      <c r="J7" s="6"/>
      <c r="K7" s="6"/>
      <c r="L7" s="6">
        <v>10</v>
      </c>
      <c r="M7" s="6">
        <v>0</v>
      </c>
      <c r="N7" s="6"/>
      <c r="O7" s="6">
        <v>0</v>
      </c>
      <c r="P7" s="6"/>
      <c r="Q7" s="6">
        <v>1</v>
      </c>
      <c r="R7" s="6"/>
      <c r="S7" s="6">
        <v>0</v>
      </c>
      <c r="T7" s="1"/>
      <c r="U7" s="1"/>
      <c r="V7" s="1"/>
      <c r="W7" s="1"/>
      <c r="X7" s="7">
        <v>722</v>
      </c>
      <c r="Y7" s="7" t="s">
        <v>5</v>
      </c>
      <c r="Z7" s="61">
        <v>20</v>
      </c>
      <c r="AA7" s="8" t="s">
        <v>391</v>
      </c>
      <c r="AC7">
        <f t="shared" si="0"/>
        <v>1.2013311148086523</v>
      </c>
      <c r="AD7" s="1">
        <v>1997</v>
      </c>
      <c r="AE7" s="7">
        <v>722</v>
      </c>
      <c r="AF7" s="7">
        <v>516</v>
      </c>
      <c r="AG7"/>
      <c r="AH7" s="165" t="s">
        <v>127</v>
      </c>
      <c r="AI7" s="185">
        <v>41886</v>
      </c>
      <c r="AJ7" s="167">
        <v>0</v>
      </c>
      <c r="AK7"/>
      <c r="AL7"/>
      <c r="AM7" s="169">
        <v>0</v>
      </c>
      <c r="AN7"/>
      <c r="AO7"/>
      <c r="AP7"/>
      <c r="AQ7"/>
      <c r="AR7"/>
      <c r="AS7"/>
      <c r="AT7"/>
      <c r="AU7"/>
      <c r="AV7"/>
    </row>
    <row r="8" spans="1:48" s="8" customFormat="1" ht="18" customHeight="1" x14ac:dyDescent="0.2">
      <c r="A8" s="1">
        <v>1998</v>
      </c>
      <c r="B8" s="6"/>
      <c r="C8" s="6">
        <v>0</v>
      </c>
      <c r="D8" s="6"/>
      <c r="E8" s="6"/>
      <c r="F8" s="6"/>
      <c r="G8" s="6"/>
      <c r="H8" s="6"/>
      <c r="I8" s="6"/>
      <c r="J8" s="6">
        <v>69</v>
      </c>
      <c r="K8" s="6">
        <v>408</v>
      </c>
      <c r="L8" s="6"/>
      <c r="M8" s="6">
        <v>33</v>
      </c>
      <c r="N8" s="6">
        <v>18</v>
      </c>
      <c r="O8" s="6"/>
      <c r="P8" s="6">
        <v>2</v>
      </c>
      <c r="Q8" s="6"/>
      <c r="R8" s="6"/>
      <c r="S8" s="6"/>
      <c r="T8" s="1"/>
      <c r="U8" s="1"/>
      <c r="V8" s="1"/>
      <c r="W8" s="1"/>
      <c r="X8" s="7">
        <v>587</v>
      </c>
      <c r="Y8" s="7" t="s">
        <v>5</v>
      </c>
      <c r="Z8" s="61">
        <v>15</v>
      </c>
      <c r="AA8" s="8" t="s">
        <v>391</v>
      </c>
      <c r="AC8">
        <f t="shared" si="0"/>
        <v>1.4387254901960784</v>
      </c>
      <c r="AD8" s="1">
        <v>1998</v>
      </c>
      <c r="AE8" s="7">
        <v>587</v>
      </c>
      <c r="AF8" s="7">
        <v>380</v>
      </c>
      <c r="AG8"/>
      <c r="AH8" s="165"/>
      <c r="AI8" s="185">
        <v>41902</v>
      </c>
      <c r="AJ8" s="170">
        <v>0</v>
      </c>
      <c r="AK8"/>
      <c r="AL8" s="171">
        <v>1</v>
      </c>
      <c r="AM8" s="172">
        <f>AJ8/AL8</f>
        <v>0</v>
      </c>
      <c r="AN8"/>
      <c r="AO8" s="172">
        <f>(AI8-AI7)*(AJ8+AJ7)</f>
        <v>0</v>
      </c>
      <c r="AP8"/>
      <c r="AQ8" s="172">
        <f>(AI8-AI7)*(AM8+AM7)</f>
        <v>0</v>
      </c>
      <c r="AR8"/>
      <c r="AS8"/>
      <c r="AT8"/>
      <c r="AU8"/>
      <c r="AV8"/>
    </row>
    <row r="9" spans="1:48" s="8" customFormat="1" ht="18" customHeight="1" x14ac:dyDescent="0.2">
      <c r="A9" s="1">
        <v>1999</v>
      </c>
      <c r="B9" s="6"/>
      <c r="C9" s="6"/>
      <c r="D9" s="6"/>
      <c r="E9" s="6"/>
      <c r="F9" s="6"/>
      <c r="G9" s="6">
        <v>22</v>
      </c>
      <c r="H9" s="6"/>
      <c r="I9" s="6"/>
      <c r="J9" s="6">
        <v>1270</v>
      </c>
      <c r="K9" s="6">
        <v>322</v>
      </c>
      <c r="L9" s="6"/>
      <c r="M9" s="6">
        <v>73</v>
      </c>
      <c r="N9" s="6"/>
      <c r="O9" s="6">
        <v>13</v>
      </c>
      <c r="P9" s="6"/>
      <c r="Q9" s="6">
        <v>2</v>
      </c>
      <c r="R9" s="6"/>
      <c r="S9" s="6"/>
      <c r="T9" s="1">
        <v>0</v>
      </c>
      <c r="U9" s="1"/>
      <c r="V9" s="1"/>
      <c r="W9" s="1"/>
      <c r="X9" s="9">
        <v>1731</v>
      </c>
      <c r="Y9" s="7" t="s">
        <v>5</v>
      </c>
      <c r="Z9" s="62">
        <v>17.5</v>
      </c>
      <c r="AA9" s="8" t="s">
        <v>391</v>
      </c>
      <c r="AC9">
        <f t="shared" si="0"/>
        <v>1.3629921259842519</v>
      </c>
      <c r="AD9" s="1">
        <v>1999</v>
      </c>
      <c r="AE9" s="9">
        <v>1731</v>
      </c>
      <c r="AF9" s="9">
        <v>822</v>
      </c>
      <c r="AG9"/>
      <c r="AH9" s="165"/>
      <c r="AI9" s="185">
        <v>41909</v>
      </c>
      <c r="AJ9" s="170">
        <v>73</v>
      </c>
      <c r="AK9"/>
      <c r="AL9" s="171">
        <v>0.8</v>
      </c>
      <c r="AM9" s="172">
        <f>AJ9/AL9</f>
        <v>91.25</v>
      </c>
      <c r="AN9"/>
      <c r="AO9" s="172">
        <f>(AI9-AI8)*(AJ9+AJ8)</f>
        <v>511</v>
      </c>
      <c r="AP9"/>
      <c r="AQ9" s="172">
        <f>(AI9-AI8)*(AM9+AM8)</f>
        <v>638.75</v>
      </c>
      <c r="AR9"/>
      <c r="AS9"/>
      <c r="AT9"/>
      <c r="AU9"/>
      <c r="AV9"/>
    </row>
    <row r="10" spans="1:48" s="8" customFormat="1" ht="18" customHeight="1" x14ac:dyDescent="0.2">
      <c r="A10" s="1">
        <v>2000</v>
      </c>
      <c r="B10" s="6"/>
      <c r="C10" s="6"/>
      <c r="D10" s="6"/>
      <c r="E10" s="6"/>
      <c r="F10" s="6"/>
      <c r="G10" s="6"/>
      <c r="H10" s="6">
        <v>468</v>
      </c>
      <c r="I10" s="6"/>
      <c r="J10" s="6"/>
      <c r="K10" s="6">
        <v>602</v>
      </c>
      <c r="L10" s="6"/>
      <c r="M10" s="6"/>
      <c r="N10" s="6">
        <v>12</v>
      </c>
      <c r="O10" s="6"/>
      <c r="P10" s="6">
        <v>2</v>
      </c>
      <c r="Q10" s="6"/>
      <c r="R10" s="6"/>
      <c r="S10" s="6"/>
      <c r="T10" s="1"/>
      <c r="U10" s="1"/>
      <c r="V10" s="1"/>
      <c r="W10" s="1"/>
      <c r="X10" s="10">
        <v>1320</v>
      </c>
      <c r="Y10" s="7" t="s">
        <v>5</v>
      </c>
      <c r="Z10" s="62">
        <v>15</v>
      </c>
      <c r="AA10" s="8" t="s">
        <v>391</v>
      </c>
      <c r="AC10">
        <f t="shared" si="0"/>
        <v>2.1926910299003324</v>
      </c>
      <c r="AD10" s="1">
        <v>2000</v>
      </c>
      <c r="AE10" s="10">
        <v>1320</v>
      </c>
      <c r="AF10" s="10">
        <v>182</v>
      </c>
      <c r="AG10"/>
      <c r="AH10" s="173"/>
      <c r="AI10" s="185">
        <v>41918</v>
      </c>
      <c r="AJ10" s="170">
        <v>72</v>
      </c>
      <c r="AK10"/>
      <c r="AL10" s="171">
        <v>0.8</v>
      </c>
      <c r="AM10" s="172">
        <f>AJ10/AL10</f>
        <v>90</v>
      </c>
      <c r="AN10"/>
      <c r="AO10" s="172">
        <f>(AI10-AI9)*(AJ10+AJ9)</f>
        <v>1305</v>
      </c>
      <c r="AP10"/>
      <c r="AQ10" s="172">
        <f>(AI10-AI9)*(AM10+AM9)</f>
        <v>1631.25</v>
      </c>
      <c r="AR10"/>
      <c r="AS10"/>
      <c r="AT10"/>
      <c r="AU10"/>
      <c r="AV10"/>
    </row>
    <row r="11" spans="1:48" s="8" customFormat="1" ht="18" customHeight="1" x14ac:dyDescent="0.2">
      <c r="A11" s="1">
        <v>2001</v>
      </c>
      <c r="B11" s="6"/>
      <c r="C11" s="6"/>
      <c r="D11" s="6"/>
      <c r="E11" s="6">
        <v>24</v>
      </c>
      <c r="F11" s="6"/>
      <c r="G11" s="6">
        <v>37</v>
      </c>
      <c r="H11" s="6"/>
      <c r="I11" s="6"/>
      <c r="J11" s="6">
        <v>359</v>
      </c>
      <c r="K11" s="6"/>
      <c r="L11" s="6"/>
      <c r="M11" s="6">
        <v>9</v>
      </c>
      <c r="N11" s="6">
        <v>4</v>
      </c>
      <c r="O11" s="6"/>
      <c r="P11" s="6"/>
      <c r="Q11" s="6"/>
      <c r="R11" s="6"/>
      <c r="S11" s="6"/>
      <c r="T11" s="1"/>
      <c r="U11" s="1"/>
      <c r="V11" s="1"/>
      <c r="W11" s="1"/>
      <c r="X11" s="7">
        <v>389</v>
      </c>
      <c r="Y11" s="7" t="s">
        <v>5</v>
      </c>
      <c r="Z11" s="62">
        <v>20</v>
      </c>
      <c r="AA11" s="8" t="s">
        <v>391</v>
      </c>
      <c r="AC11">
        <f t="shared" si="0"/>
        <v>1.0835654596100279</v>
      </c>
      <c r="AD11" s="1">
        <v>2001</v>
      </c>
      <c r="AE11" s="7">
        <v>389</v>
      </c>
      <c r="AF11" s="7">
        <v>394</v>
      </c>
      <c r="AG11"/>
      <c r="AH11" s="174"/>
      <c r="AI11" s="185">
        <v>41937</v>
      </c>
      <c r="AJ11" s="170">
        <v>4</v>
      </c>
      <c r="AK11"/>
      <c r="AL11" s="171">
        <v>1</v>
      </c>
      <c r="AM11" s="172">
        <f>AJ11/AL11</f>
        <v>4</v>
      </c>
      <c r="AN11"/>
      <c r="AO11" s="172">
        <f>(AI11-AI10)*(AJ11+AJ10)</f>
        <v>1444</v>
      </c>
      <c r="AP11"/>
      <c r="AQ11" s="172">
        <f>(AI11-AI10)*(AM11+AM10)</f>
        <v>1786</v>
      </c>
      <c r="AR11"/>
      <c r="AS11"/>
      <c r="AT11"/>
      <c r="AU11"/>
      <c r="AV11"/>
    </row>
    <row r="12" spans="1:48" s="8" customFormat="1" ht="18" customHeight="1" x14ac:dyDescent="0.2">
      <c r="A12" s="1">
        <v>2002</v>
      </c>
      <c r="B12" s="6"/>
      <c r="C12" s="6"/>
      <c r="D12" s="6"/>
      <c r="E12" s="6"/>
      <c r="F12" s="6"/>
      <c r="G12" s="6">
        <v>622</v>
      </c>
      <c r="H12" s="6"/>
      <c r="I12" s="6">
        <v>531</v>
      </c>
      <c r="J12" s="6"/>
      <c r="K12" s="6">
        <v>92</v>
      </c>
      <c r="L12" s="6"/>
      <c r="M12" s="6"/>
      <c r="N12" s="6">
        <v>2</v>
      </c>
      <c r="O12" s="6"/>
      <c r="P12" s="6"/>
      <c r="Q12" s="6">
        <v>0</v>
      </c>
      <c r="R12" s="6"/>
      <c r="S12" s="6"/>
      <c r="T12" s="1"/>
      <c r="U12" s="1"/>
      <c r="V12" s="1"/>
      <c r="W12" s="1"/>
      <c r="X12" s="7">
        <v>758</v>
      </c>
      <c r="Y12" s="7" t="s">
        <v>5</v>
      </c>
      <c r="Z12" s="62">
        <v>21</v>
      </c>
      <c r="AA12" s="8" t="s">
        <v>392</v>
      </c>
      <c r="AC12">
        <f t="shared" si="0"/>
        <v>1.2186495176848875</v>
      </c>
      <c r="AD12" s="1">
        <v>2002</v>
      </c>
      <c r="AE12" s="7">
        <v>758</v>
      </c>
      <c r="AF12" s="7">
        <v>944</v>
      </c>
      <c r="AG12"/>
      <c r="AI12" s="185">
        <v>41953</v>
      </c>
      <c r="AJ12" s="170">
        <v>0</v>
      </c>
      <c r="AK12"/>
      <c r="AL12" s="171">
        <v>1</v>
      </c>
      <c r="AM12" s="172">
        <f>AJ12/AL12</f>
        <v>0</v>
      </c>
      <c r="AN12"/>
      <c r="AO12" s="172">
        <f>(AI12-AI11)*(AJ12+AJ11)</f>
        <v>64</v>
      </c>
      <c r="AP12"/>
      <c r="AQ12" s="172">
        <f>(AI12-AI11)*(AM12+AM11)</f>
        <v>64</v>
      </c>
      <c r="AR12"/>
      <c r="AS12"/>
      <c r="AT12"/>
      <c r="AU12"/>
      <c r="AV12"/>
    </row>
    <row r="13" spans="1:48" s="8" customFormat="1" ht="18" customHeight="1" x14ac:dyDescent="0.2">
      <c r="A13" s="1">
        <v>2003</v>
      </c>
      <c r="B13" s="6"/>
      <c r="C13" s="6"/>
      <c r="D13" s="6"/>
      <c r="E13" s="6">
        <v>114</v>
      </c>
      <c r="F13" s="6"/>
      <c r="G13" s="6">
        <v>128</v>
      </c>
      <c r="H13" s="6"/>
      <c r="I13" s="6">
        <v>567</v>
      </c>
      <c r="J13" s="6"/>
      <c r="K13" s="6">
        <v>394</v>
      </c>
      <c r="L13" s="6"/>
      <c r="M13" s="6">
        <v>6</v>
      </c>
      <c r="N13" s="6"/>
      <c r="O13" s="6"/>
      <c r="P13" s="6"/>
      <c r="Q13" s="6">
        <v>2</v>
      </c>
      <c r="R13" s="6"/>
      <c r="S13" s="6"/>
      <c r="T13" s="1"/>
      <c r="U13" s="1"/>
      <c r="V13" s="1"/>
      <c r="W13" s="1"/>
      <c r="X13" s="7">
        <v>762</v>
      </c>
      <c r="Y13" s="7" t="s">
        <v>5</v>
      </c>
      <c r="Z13" s="62">
        <v>28</v>
      </c>
      <c r="AA13" s="8" t="s">
        <v>393</v>
      </c>
      <c r="AC13">
        <f t="shared" si="0"/>
        <v>1.343915343915344</v>
      </c>
      <c r="AD13" s="1">
        <v>2003</v>
      </c>
      <c r="AE13" s="7">
        <v>762</v>
      </c>
      <c r="AF13" s="7">
        <v>401</v>
      </c>
      <c r="AG13"/>
      <c r="AH13" s="165" t="s">
        <v>128</v>
      </c>
      <c r="AI13" s="175"/>
      <c r="AJ13" s="176"/>
      <c r="AK13"/>
      <c r="AL13" s="177"/>
      <c r="AM13" s="178"/>
      <c r="AN13" s="179"/>
      <c r="AO13" s="172"/>
      <c r="AP13"/>
      <c r="AQ13" s="172"/>
      <c r="AR13"/>
      <c r="AS13"/>
      <c r="AT13"/>
      <c r="AU13"/>
      <c r="AV13"/>
    </row>
    <row r="14" spans="1:48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6">
        <v>640</v>
      </c>
      <c r="I14" s="6"/>
      <c r="J14" s="6">
        <v>728</v>
      </c>
      <c r="K14" s="6"/>
      <c r="L14" s="6">
        <v>213</v>
      </c>
      <c r="M14" s="6"/>
      <c r="N14" s="6">
        <v>4</v>
      </c>
      <c r="O14" s="6"/>
      <c r="P14" s="6"/>
      <c r="Q14" s="6">
        <v>0</v>
      </c>
      <c r="R14" s="6"/>
      <c r="S14" s="6"/>
      <c r="T14" s="1"/>
      <c r="U14" s="1"/>
      <c r="V14" s="1"/>
      <c r="W14" s="1"/>
      <c r="X14" s="11">
        <v>905</v>
      </c>
      <c r="Y14" s="7" t="s">
        <v>5</v>
      </c>
      <c r="Z14" s="62">
        <v>25</v>
      </c>
      <c r="AA14" s="8" t="s">
        <v>393</v>
      </c>
      <c r="AC14">
        <f t="shared" si="0"/>
        <v>1.2431318681318682</v>
      </c>
      <c r="AD14" s="1">
        <v>2004</v>
      </c>
      <c r="AE14" s="11">
        <v>905</v>
      </c>
      <c r="AF14" s="11">
        <v>632</v>
      </c>
      <c r="AG14"/>
      <c r="AH14" s="165" t="s">
        <v>2</v>
      </c>
      <c r="AI14" s="167">
        <v>7</v>
      </c>
      <c r="AJ14" s="167"/>
      <c r="AK14" s="167"/>
      <c r="AL14"/>
      <c r="AM14"/>
      <c r="AN14"/>
      <c r="AO14"/>
      <c r="AP14"/>
      <c r="AQ14"/>
      <c r="AR14"/>
      <c r="AS14"/>
      <c r="AT14"/>
      <c r="AU14"/>
      <c r="AV14"/>
    </row>
    <row r="15" spans="1:48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6">
        <v>2</v>
      </c>
      <c r="I15" s="6"/>
      <c r="J15" s="6">
        <v>31</v>
      </c>
      <c r="K15" s="6">
        <v>147</v>
      </c>
      <c r="L15" s="6"/>
      <c r="M15" s="6">
        <v>17</v>
      </c>
      <c r="N15" s="6">
        <v>8</v>
      </c>
      <c r="O15" s="6"/>
      <c r="P15" s="6"/>
      <c r="Q15" s="6">
        <v>0</v>
      </c>
      <c r="R15" s="6"/>
      <c r="S15" s="6">
        <v>0</v>
      </c>
      <c r="T15" s="1"/>
      <c r="U15" s="1"/>
      <c r="V15" s="1"/>
      <c r="W15" s="1"/>
      <c r="X15" s="11">
        <v>182</v>
      </c>
      <c r="Y15" s="7" t="s">
        <v>5</v>
      </c>
      <c r="Z15" s="54">
        <v>15</v>
      </c>
      <c r="AA15" s="8" t="s">
        <v>394</v>
      </c>
      <c r="AC15">
        <f t="shared" si="0"/>
        <v>1.2380952380952381</v>
      </c>
      <c r="AD15" s="1">
        <v>2005</v>
      </c>
      <c r="AE15" s="11">
        <v>182</v>
      </c>
      <c r="AF15" s="11">
        <v>324</v>
      </c>
      <c r="AG15"/>
      <c r="AH15" s="165" t="s">
        <v>129</v>
      </c>
      <c r="AI15" s="167"/>
      <c r="AJ15" s="167">
        <f>MAX(AJ7:AJ13)</f>
        <v>73</v>
      </c>
      <c r="AK15" s="167"/>
      <c r="AL15" s="167"/>
      <c r="AM15" s="167">
        <f>MAX(AM7:AM13)</f>
        <v>91.25</v>
      </c>
      <c r="AN15" s="167"/>
      <c r="AO15" s="167"/>
      <c r="AP15" s="180"/>
      <c r="AQ15"/>
      <c r="AR15"/>
      <c r="AS15"/>
      <c r="AT15"/>
      <c r="AU15"/>
      <c r="AV15"/>
    </row>
    <row r="16" spans="1:48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6">
        <v>118</v>
      </c>
      <c r="I16" s="6">
        <v>60</v>
      </c>
      <c r="J16" s="6"/>
      <c r="K16" s="6">
        <v>65</v>
      </c>
      <c r="L16" s="6">
        <v>26</v>
      </c>
      <c r="M16" s="6">
        <v>11</v>
      </c>
      <c r="N16" s="6">
        <v>13</v>
      </c>
      <c r="O16" s="6"/>
      <c r="P16" s="6"/>
      <c r="Q16" s="6">
        <v>0</v>
      </c>
      <c r="R16" s="6"/>
      <c r="S16" s="6">
        <v>0</v>
      </c>
      <c r="T16" s="1"/>
      <c r="U16" s="1">
        <v>0</v>
      </c>
      <c r="V16" s="1"/>
      <c r="W16" s="1"/>
      <c r="X16" s="12">
        <v>141</v>
      </c>
      <c r="Y16" s="7" t="s">
        <v>5</v>
      </c>
      <c r="Z16" s="54">
        <v>17.5</v>
      </c>
      <c r="AA16" s="8" t="s">
        <v>394</v>
      </c>
      <c r="AC16">
        <f t="shared" si="0"/>
        <v>1.1949152542372881</v>
      </c>
      <c r="AD16" s="1">
        <v>2006</v>
      </c>
      <c r="AE16" s="12">
        <v>141</v>
      </c>
      <c r="AF16" s="12">
        <v>177</v>
      </c>
      <c r="AG16"/>
      <c r="AH16" s="165" t="s">
        <v>130</v>
      </c>
      <c r="AI16" s="167"/>
      <c r="AJ16" s="169">
        <v>20</v>
      </c>
      <c r="AK16" s="167"/>
      <c r="AL16"/>
      <c r="AM16" s="169">
        <v>20</v>
      </c>
      <c r="AR16"/>
      <c r="AS16"/>
      <c r="AT16"/>
      <c r="AU16"/>
      <c r="AV16"/>
    </row>
    <row r="17" spans="1:48" s="8" customFormat="1" ht="18" customHeight="1" x14ac:dyDescent="0.2">
      <c r="A17" s="1">
        <v>2007</v>
      </c>
      <c r="B17" s="6"/>
      <c r="C17" s="6"/>
      <c r="D17" s="6"/>
      <c r="E17" s="6"/>
      <c r="F17" s="6">
        <v>17</v>
      </c>
      <c r="G17" s="6"/>
      <c r="H17" s="6">
        <v>106</v>
      </c>
      <c r="I17" s="6"/>
      <c r="J17" s="6"/>
      <c r="K17" s="6">
        <v>34</v>
      </c>
      <c r="L17" s="6"/>
      <c r="M17" s="6">
        <v>6</v>
      </c>
      <c r="N17" s="6"/>
      <c r="O17" s="6"/>
      <c r="P17" s="6"/>
      <c r="Q17" s="6">
        <v>0</v>
      </c>
      <c r="R17" s="6"/>
      <c r="S17" s="6"/>
      <c r="T17" s="1"/>
      <c r="U17" s="1"/>
      <c r="V17" s="1"/>
      <c r="W17" s="1"/>
      <c r="X17" s="12">
        <v>131</v>
      </c>
      <c r="Y17" s="7" t="s">
        <v>5</v>
      </c>
      <c r="Z17" s="62">
        <v>22.5</v>
      </c>
      <c r="AA17" s="8" t="s">
        <v>393</v>
      </c>
      <c r="AC17">
        <f t="shared" si="0"/>
        <v>1.2358490566037736</v>
      </c>
      <c r="AD17" s="1">
        <v>2007</v>
      </c>
      <c r="AE17" s="12">
        <v>131</v>
      </c>
      <c r="AF17" s="12">
        <v>180</v>
      </c>
      <c r="AG17"/>
      <c r="AH17" s="165" t="s">
        <v>131</v>
      </c>
      <c r="AI17" s="167"/>
      <c r="AJ17" s="181">
        <f>(0.5*SUM(AO8:AO13))/AJ16</f>
        <v>83.1</v>
      </c>
      <c r="AK17" s="167"/>
      <c r="AL17"/>
      <c r="AM17" s="181">
        <f>(0.5*SUM(AQ8:AQ13))/AM16</f>
        <v>103</v>
      </c>
      <c r="AR17"/>
      <c r="AS17"/>
      <c r="AT17"/>
      <c r="AU17"/>
      <c r="AV17"/>
    </row>
    <row r="18" spans="1:48" s="8" customFormat="1" ht="18" customHeight="1" x14ac:dyDescent="0.2">
      <c r="A18" s="1">
        <v>2008</v>
      </c>
      <c r="B18" s="1"/>
      <c r="C18" s="1"/>
      <c r="D18" s="1"/>
      <c r="E18" s="1"/>
      <c r="F18" s="1">
        <v>32</v>
      </c>
      <c r="G18" s="1"/>
      <c r="H18" s="1"/>
      <c r="I18" s="1">
        <v>85</v>
      </c>
      <c r="J18" s="1">
        <v>176</v>
      </c>
      <c r="K18" s="1"/>
      <c r="L18" s="1">
        <v>117</v>
      </c>
      <c r="M18" s="1">
        <v>3</v>
      </c>
      <c r="N18" s="1"/>
      <c r="O18" s="1"/>
      <c r="P18" s="1"/>
      <c r="Q18" s="1">
        <v>0</v>
      </c>
      <c r="R18" s="1"/>
      <c r="S18" s="1"/>
      <c r="T18" s="1"/>
      <c r="U18" s="1"/>
      <c r="V18" s="1"/>
      <c r="W18" s="1"/>
      <c r="X18" s="1">
        <v>281</v>
      </c>
      <c r="Y18" s="7" t="s">
        <v>5</v>
      </c>
      <c r="Z18" s="62">
        <v>22.5</v>
      </c>
      <c r="AA18" s="8" t="s">
        <v>393</v>
      </c>
      <c r="AC18">
        <f t="shared" si="0"/>
        <v>1.5965909090909092</v>
      </c>
      <c r="AD18" s="1">
        <v>2008</v>
      </c>
      <c r="AE18" s="1">
        <v>281</v>
      </c>
      <c r="AF18" s="1">
        <v>274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8" customFormat="1" ht="18" customHeight="1" x14ac:dyDescent="0.2">
      <c r="A19" s="1">
        <v>2009</v>
      </c>
      <c r="B19" s="1"/>
      <c r="C19" s="1"/>
      <c r="D19" s="1"/>
      <c r="E19" s="1"/>
      <c r="F19" s="1"/>
      <c r="G19" s="1">
        <v>283</v>
      </c>
      <c r="H19" s="1"/>
      <c r="I19" s="1">
        <v>480</v>
      </c>
      <c r="J19" s="1">
        <v>226</v>
      </c>
      <c r="K19" s="1"/>
      <c r="L19" s="1">
        <v>54</v>
      </c>
      <c r="M19" s="1">
        <v>12</v>
      </c>
      <c r="N19" s="1">
        <v>2</v>
      </c>
      <c r="O19" s="1"/>
      <c r="P19" s="1">
        <v>0</v>
      </c>
      <c r="Q19" s="1"/>
      <c r="R19" s="1"/>
      <c r="S19" s="1"/>
      <c r="T19" s="1"/>
      <c r="U19" s="1"/>
      <c r="V19" s="1"/>
      <c r="W19" s="1"/>
      <c r="X19" s="1">
        <v>780</v>
      </c>
      <c r="Y19" s="7" t="s">
        <v>5</v>
      </c>
      <c r="Z19" s="62">
        <v>20</v>
      </c>
      <c r="AA19" s="8" t="s">
        <v>393</v>
      </c>
      <c r="AC19">
        <f t="shared" si="0"/>
        <v>1.625</v>
      </c>
      <c r="AD19" s="1">
        <v>2009</v>
      </c>
      <c r="AE19" s="1">
        <v>780</v>
      </c>
      <c r="AF19" s="1">
        <v>730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8" customFormat="1" ht="18" customHeight="1" x14ac:dyDescent="0.2">
      <c r="A20" s="1">
        <v>2010</v>
      </c>
      <c r="B20" s="1"/>
      <c r="C20" s="1"/>
      <c r="D20" s="1"/>
      <c r="E20" s="1"/>
      <c r="F20" s="1"/>
      <c r="G20" s="1"/>
      <c r="H20" s="1">
        <v>25</v>
      </c>
      <c r="I20" s="1"/>
      <c r="J20" s="1">
        <v>282</v>
      </c>
      <c r="K20" s="1"/>
      <c r="L20" s="1"/>
      <c r="M20" s="1">
        <v>33</v>
      </c>
      <c r="N20" s="1">
        <v>3</v>
      </c>
      <c r="O20" s="1"/>
      <c r="P20" s="1">
        <v>0</v>
      </c>
      <c r="Q20" s="1"/>
      <c r="R20" s="1"/>
      <c r="S20" s="1"/>
      <c r="T20" s="1"/>
      <c r="U20" s="1"/>
      <c r="V20" s="1"/>
      <c r="W20" s="1"/>
      <c r="X20" s="1">
        <v>380</v>
      </c>
      <c r="Y20" s="7"/>
      <c r="Z20" s="62"/>
      <c r="AA20" s="8" t="s">
        <v>395</v>
      </c>
      <c r="AB20" s="8">
        <v>5</v>
      </c>
      <c r="AC20">
        <f t="shared" si="0"/>
        <v>1.3475177304964538</v>
      </c>
      <c r="AD20" s="1">
        <v>2010</v>
      </c>
      <c r="AE20" s="1">
        <v>380</v>
      </c>
      <c r="AF20" s="1">
        <v>430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8" customFormat="1" ht="18" customHeight="1" x14ac:dyDescent="0.2">
      <c r="A21" s="1">
        <v>2011</v>
      </c>
      <c r="B21" s="1"/>
      <c r="C21" s="1"/>
      <c r="D21" s="1"/>
      <c r="E21" s="1"/>
      <c r="F21" s="1"/>
      <c r="G21" s="1">
        <v>2</v>
      </c>
      <c r="H21" s="1">
        <v>18</v>
      </c>
      <c r="I21" s="1"/>
      <c r="J21" s="1">
        <v>176</v>
      </c>
      <c r="K21" s="1">
        <v>77</v>
      </c>
      <c r="L21" s="1">
        <v>11</v>
      </c>
      <c r="M21" s="1"/>
      <c r="N21" s="1">
        <v>0</v>
      </c>
      <c r="O21" s="1">
        <v>0</v>
      </c>
      <c r="P21" s="1"/>
      <c r="Q21" s="1">
        <v>0</v>
      </c>
      <c r="R21" s="1"/>
      <c r="S21" s="1"/>
      <c r="T21" s="1">
        <v>1</v>
      </c>
      <c r="U21" s="1"/>
      <c r="V21" s="1"/>
      <c r="W21" s="1"/>
      <c r="X21" s="1">
        <v>219</v>
      </c>
      <c r="Y21" s="7" t="s">
        <v>9</v>
      </c>
      <c r="Z21" s="62"/>
      <c r="AA21" s="8" t="s">
        <v>393</v>
      </c>
      <c r="AB21" s="8">
        <v>8</v>
      </c>
      <c r="AC21">
        <f t="shared" si="0"/>
        <v>1.2443181818181819</v>
      </c>
      <c r="AD21" s="13">
        <v>2011</v>
      </c>
      <c r="AE21" s="13">
        <v>219</v>
      </c>
      <c r="AF21" s="13">
        <v>392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8" customFormat="1" ht="18" customHeight="1" x14ac:dyDescent="0.2">
      <c r="A22" s="1">
        <v>2012</v>
      </c>
      <c r="B22" s="1"/>
      <c r="C22" s="1"/>
      <c r="D22" s="1"/>
      <c r="E22" s="1"/>
      <c r="F22" s="1">
        <v>0</v>
      </c>
      <c r="G22" s="1">
        <v>15</v>
      </c>
      <c r="H22" s="1">
        <v>18</v>
      </c>
      <c r="I22" s="1"/>
      <c r="J22" s="1">
        <v>10</v>
      </c>
      <c r="K22" s="1"/>
      <c r="L22" s="1"/>
      <c r="M22" s="1">
        <v>109</v>
      </c>
      <c r="N22" s="1"/>
      <c r="O22" s="1">
        <v>0</v>
      </c>
      <c r="P22" s="1"/>
      <c r="Q22" s="1"/>
      <c r="R22" s="1"/>
      <c r="S22" s="1"/>
      <c r="T22" s="1"/>
      <c r="U22" s="1"/>
      <c r="V22" s="1"/>
      <c r="W22" s="1"/>
      <c r="X22" s="1">
        <v>163</v>
      </c>
      <c r="Y22" s="7" t="s">
        <v>5</v>
      </c>
      <c r="Z22" s="62">
        <v>20</v>
      </c>
      <c r="AA22" s="8" t="s">
        <v>394</v>
      </c>
      <c r="AC22">
        <f t="shared" si="0"/>
        <v>1.4954128440366972</v>
      </c>
      <c r="AD22" s="13">
        <v>2012</v>
      </c>
      <c r="AE22" s="13"/>
      <c r="AF22" s="13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8" customFormat="1" ht="18" customHeight="1" x14ac:dyDescent="0.2">
      <c r="A23" s="1">
        <v>2013</v>
      </c>
      <c r="B23" s="13"/>
      <c r="C23" s="13"/>
      <c r="D23" s="13"/>
      <c r="E23" s="13"/>
      <c r="F23" s="109">
        <v>15</v>
      </c>
      <c r="G23" s="13"/>
      <c r="H23" s="109">
        <v>23</v>
      </c>
      <c r="I23" s="155">
        <v>470</v>
      </c>
      <c r="J23" s="13"/>
      <c r="K23" s="109">
        <v>256</v>
      </c>
      <c r="L23" s="89"/>
      <c r="M23" s="109">
        <v>1</v>
      </c>
      <c r="N23" s="89"/>
      <c r="O23" s="109">
        <v>0</v>
      </c>
      <c r="P23" s="13"/>
      <c r="Q23" s="13"/>
      <c r="R23" s="13"/>
      <c r="S23" s="13"/>
      <c r="T23" s="13"/>
      <c r="U23" s="13"/>
      <c r="V23" s="13"/>
      <c r="W23" s="13"/>
      <c r="X23" s="1">
        <v>545</v>
      </c>
      <c r="Y23" s="7" t="s">
        <v>5</v>
      </c>
      <c r="Z23" s="62">
        <v>20</v>
      </c>
      <c r="AA23" s="8" t="s">
        <v>394</v>
      </c>
      <c r="AC23">
        <f t="shared" si="0"/>
        <v>1.1595744680851063</v>
      </c>
      <c r="AD23" s="13"/>
      <c r="AE23" s="13"/>
      <c r="AF23" s="1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8" customFormat="1" ht="18" customHeight="1" x14ac:dyDescent="0.2">
      <c r="A24" s="1">
        <v>2014</v>
      </c>
      <c r="B24" s="1"/>
      <c r="C24" s="1"/>
      <c r="D24" s="1"/>
      <c r="E24" s="1"/>
      <c r="F24" s="108">
        <v>0</v>
      </c>
      <c r="G24" s="13"/>
      <c r="H24" s="109">
        <v>0</v>
      </c>
      <c r="I24" s="109">
        <v>73</v>
      </c>
      <c r="J24" s="13"/>
      <c r="K24" s="109">
        <v>72</v>
      </c>
      <c r="L24" s="13"/>
      <c r="M24" s="109">
        <v>4</v>
      </c>
      <c r="N24" s="13"/>
      <c r="O24" s="13"/>
      <c r="P24" s="109">
        <v>0</v>
      </c>
      <c r="Q24" s="1"/>
      <c r="R24" s="1"/>
      <c r="S24" s="1"/>
      <c r="T24" s="1"/>
      <c r="U24" s="1"/>
      <c r="V24" s="1"/>
      <c r="W24" s="1"/>
      <c r="X24" s="1">
        <v>91</v>
      </c>
      <c r="Y24" s="7" t="s">
        <v>5</v>
      </c>
      <c r="Z24" s="62">
        <v>20</v>
      </c>
      <c r="AA24" s="8" t="s">
        <v>393</v>
      </c>
      <c r="AC24">
        <f t="shared" si="0"/>
        <v>1.2465753424657535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s="8" customFormat="1" ht="18" customHeight="1" x14ac:dyDescent="0.2">
      <c r="A25" s="1">
        <v>2015</v>
      </c>
      <c r="B25" s="1"/>
      <c r="C25" s="1"/>
      <c r="D25" s="1"/>
      <c r="E25" s="1"/>
      <c r="F25" s="109">
        <v>110</v>
      </c>
      <c r="G25" s="109">
        <v>138</v>
      </c>
      <c r="H25" s="1"/>
      <c r="I25" s="1"/>
      <c r="J25" s="109">
        <v>230</v>
      </c>
      <c r="K25" s="109">
        <v>69</v>
      </c>
      <c r="L25" s="109">
        <v>26</v>
      </c>
      <c r="M25" s="1"/>
      <c r="N25" s="109">
        <v>2</v>
      </c>
      <c r="O25" s="109">
        <v>1</v>
      </c>
      <c r="P25" s="1"/>
      <c r="Q25" s="1"/>
      <c r="R25" s="1"/>
      <c r="S25" s="1"/>
      <c r="T25" s="1"/>
      <c r="U25" s="1"/>
      <c r="V25" s="1"/>
      <c r="W25" s="1"/>
      <c r="X25" s="1">
        <v>310</v>
      </c>
      <c r="Y25" s="7" t="s">
        <v>5</v>
      </c>
      <c r="Z25" s="62">
        <v>20</v>
      </c>
      <c r="AA25" s="8" t="s">
        <v>394</v>
      </c>
      <c r="AC25">
        <f t="shared" si="0"/>
        <v>1.3478260869565217</v>
      </c>
      <c r="AD25" s="56" t="s">
        <v>328</v>
      </c>
      <c r="AE25" s="93" t="s">
        <v>329</v>
      </c>
      <c r="AF25" s="93" t="s">
        <v>330</v>
      </c>
      <c r="AG25" s="93" t="s">
        <v>331</v>
      </c>
      <c r="AH25" s="93" t="s">
        <v>332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s="8" customFormat="1" ht="18" customHeight="1" thickBot="1" x14ac:dyDescent="0.25">
      <c r="A26" s="1">
        <v>2016</v>
      </c>
      <c r="B26" s="1"/>
      <c r="C26" s="1"/>
      <c r="D26" s="1"/>
      <c r="E26" s="1"/>
      <c r="F26" s="1"/>
      <c r="G26" s="109">
        <v>84</v>
      </c>
      <c r="H26" s="109">
        <v>82</v>
      </c>
      <c r="I26" s="109">
        <v>186</v>
      </c>
      <c r="J26" s="106">
        <v>140</v>
      </c>
      <c r="K26" s="1"/>
      <c r="L26" s="106">
        <v>37</v>
      </c>
      <c r="M26" s="1"/>
      <c r="N26" s="1"/>
      <c r="O26" s="109">
        <v>2</v>
      </c>
      <c r="P26" s="1"/>
      <c r="Q26" s="109">
        <v>4</v>
      </c>
      <c r="R26" s="1"/>
      <c r="S26" s="1"/>
      <c r="T26" s="1"/>
      <c r="U26" s="1"/>
      <c r="V26" s="1"/>
      <c r="W26" s="1"/>
      <c r="X26" s="1">
        <v>258</v>
      </c>
      <c r="Y26" s="7" t="s">
        <v>5</v>
      </c>
      <c r="Z26" s="62">
        <v>20</v>
      </c>
      <c r="AA26" s="8" t="s">
        <v>394</v>
      </c>
      <c r="AC26">
        <f t="shared" si="0"/>
        <v>1.3870967741935485</v>
      </c>
      <c r="AD26">
        <v>40</v>
      </c>
      <c r="AE26">
        <v>9</v>
      </c>
      <c r="AF26">
        <v>21</v>
      </c>
      <c r="AG26">
        <v>5</v>
      </c>
      <c r="AH26">
        <v>3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s="8" customFormat="1" ht="18" customHeight="1" thickBot="1" x14ac:dyDescent="0.25">
      <c r="A27" s="1">
        <v>2017</v>
      </c>
      <c r="B27" s="1"/>
      <c r="C27" s="1"/>
      <c r="D27" s="1"/>
      <c r="E27" s="1"/>
      <c r="F27" s="109">
        <v>0</v>
      </c>
      <c r="G27" s="447">
        <v>6</v>
      </c>
      <c r="H27" s="109">
        <v>334</v>
      </c>
      <c r="I27" s="358"/>
      <c r="J27" s="381">
        <v>299</v>
      </c>
      <c r="K27" s="106">
        <v>161</v>
      </c>
      <c r="L27" s="1"/>
      <c r="M27" s="109">
        <v>12</v>
      </c>
      <c r="N27" s="109">
        <v>1</v>
      </c>
      <c r="O27" s="1"/>
      <c r="P27" s="1"/>
      <c r="Q27" s="1"/>
      <c r="R27" s="1"/>
      <c r="S27" s="1"/>
      <c r="T27" s="1"/>
      <c r="U27" s="1"/>
      <c r="V27" s="1"/>
      <c r="W27" s="1"/>
      <c r="X27" s="1">
        <v>569</v>
      </c>
      <c r="Y27" s="7"/>
      <c r="Z27" s="62">
        <v>20</v>
      </c>
      <c r="AA27" s="62"/>
      <c r="AC27">
        <f t="shared" si="0"/>
        <v>1.7035928143712575</v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s="8" customFormat="1" ht="18" customHeight="1" x14ac:dyDescent="0.2">
      <c r="A28" s="1">
        <v>2018</v>
      </c>
      <c r="B28" s="1"/>
      <c r="C28" s="1"/>
      <c r="D28" s="1"/>
      <c r="E28" s="1"/>
      <c r="F28" s="106">
        <v>0</v>
      </c>
      <c r="G28" s="338">
        <v>762</v>
      </c>
      <c r="H28" s="338">
        <v>881</v>
      </c>
      <c r="I28" s="156">
        <v>563</v>
      </c>
      <c r="J28" s="1"/>
      <c r="K28" s="156">
        <v>190</v>
      </c>
      <c r="L28" s="1"/>
      <c r="M28" s="1"/>
      <c r="N28" s="1"/>
      <c r="O28" s="109">
        <v>4</v>
      </c>
      <c r="P28" s="1"/>
      <c r="Q28" s="1"/>
      <c r="R28" s="1"/>
      <c r="S28" s="1"/>
      <c r="T28" s="1"/>
      <c r="U28" s="1"/>
      <c r="V28" s="1"/>
      <c r="W28" s="1"/>
      <c r="X28" s="1">
        <f>1330+112</f>
        <v>1442</v>
      </c>
      <c r="Y28" s="7"/>
      <c r="Z28" s="62">
        <v>20</v>
      </c>
      <c r="AA28" s="62"/>
      <c r="AC28">
        <f t="shared" si="0"/>
        <v>1.6367763904653803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s="8" customFormat="1" ht="18" customHeight="1" x14ac:dyDescent="0.2">
      <c r="A29" s="1">
        <v>2019</v>
      </c>
      <c r="B29" s="1"/>
      <c r="C29" s="1"/>
      <c r="D29" s="1"/>
      <c r="E29" s="1"/>
      <c r="F29" s="106">
        <v>4</v>
      </c>
      <c r="G29" s="1"/>
      <c r="H29" s="427">
        <v>1171</v>
      </c>
      <c r="I29" s="536">
        <v>1001</v>
      </c>
      <c r="J29" s="1"/>
      <c r="K29" s="338">
        <v>289</v>
      </c>
      <c r="L29" s="1"/>
      <c r="M29" s="1"/>
      <c r="N29" s="106">
        <v>17</v>
      </c>
      <c r="O29" s="106">
        <v>4</v>
      </c>
      <c r="P29" s="1"/>
      <c r="Q29" s="1"/>
      <c r="R29" s="1"/>
      <c r="S29" s="1"/>
      <c r="T29" s="1"/>
      <c r="U29" s="1"/>
      <c r="V29" s="1"/>
      <c r="W29" s="1"/>
      <c r="X29" s="1">
        <f>1651+112</f>
        <v>1763</v>
      </c>
      <c r="Y29" s="7"/>
      <c r="Z29" s="62">
        <v>20</v>
      </c>
      <c r="AA29" s="62"/>
      <c r="AC29">
        <f t="shared" si="0"/>
        <v>1.5055508112724167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s="8" customFormat="1" ht="18" customHeight="1" x14ac:dyDescent="0.2">
      <c r="A30" s="1">
        <v>2020</v>
      </c>
      <c r="B30" s="1"/>
      <c r="C30" s="1"/>
      <c r="D30" s="1"/>
      <c r="E30" s="1"/>
      <c r="F30" s="106">
        <v>14</v>
      </c>
      <c r="G30" s="1"/>
      <c r="H30" s="427">
        <v>39</v>
      </c>
      <c r="I30" s="427">
        <v>352</v>
      </c>
      <c r="J30" s="536">
        <v>711</v>
      </c>
      <c r="K30" s="427">
        <v>364</v>
      </c>
      <c r="L30" s="1"/>
      <c r="M30" s="106">
        <v>20</v>
      </c>
      <c r="N30" s="1"/>
      <c r="O30" s="106">
        <v>8</v>
      </c>
      <c r="P30" s="1"/>
      <c r="Q30" s="1"/>
      <c r="R30" s="1"/>
      <c r="S30" s="1"/>
      <c r="T30" s="1"/>
      <c r="U30" s="1"/>
      <c r="V30" s="1"/>
      <c r="W30" s="1"/>
      <c r="X30" s="1">
        <v>855</v>
      </c>
      <c r="Y30" s="7" t="s">
        <v>5</v>
      </c>
      <c r="Z30" s="62">
        <v>17.5</v>
      </c>
      <c r="AA30" s="62"/>
      <c r="AC30">
        <f t="shared" si="0"/>
        <v>1.2025316455696202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s="94" customFormat="1" ht="18" customHeight="1" x14ac:dyDescent="0.2">
      <c r="A31" s="227">
        <v>2021</v>
      </c>
      <c r="B31" s="227"/>
      <c r="C31" s="227"/>
      <c r="D31" s="227"/>
      <c r="E31" s="227"/>
      <c r="F31" s="89"/>
      <c r="G31" s="975">
        <v>24</v>
      </c>
      <c r="H31" s="199">
        <v>458</v>
      </c>
      <c r="I31" s="821">
        <v>1061</v>
      </c>
      <c r="J31" s="949"/>
      <c r="K31" s="821">
        <f>661+37</f>
        <v>698</v>
      </c>
      <c r="L31" s="976"/>
      <c r="M31" s="806">
        <f>30+1</f>
        <v>31</v>
      </c>
      <c r="N31" s="806">
        <v>7</v>
      </c>
      <c r="O31" s="896"/>
      <c r="P31" s="896"/>
      <c r="Q31" s="806">
        <v>3</v>
      </c>
      <c r="R31" s="227"/>
      <c r="S31" s="227"/>
      <c r="T31" s="227"/>
      <c r="U31" s="227"/>
      <c r="V31" s="227"/>
      <c r="W31" s="227"/>
      <c r="X31" s="227">
        <v>2309</v>
      </c>
      <c r="Y31" s="11"/>
      <c r="Z31" s="750"/>
      <c r="AA31" s="750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</row>
    <row r="32" spans="1:48" s="94" customFormat="1" ht="18" customHeight="1" x14ac:dyDescent="0.2">
      <c r="A32" s="227">
        <v>2022</v>
      </c>
      <c r="B32" s="227"/>
      <c r="C32" s="227"/>
      <c r="D32" s="227"/>
      <c r="E32" s="227"/>
      <c r="F32" s="89"/>
      <c r="G32" s="200">
        <v>75</v>
      </c>
      <c r="H32" s="186">
        <v>97</v>
      </c>
      <c r="I32" s="944"/>
      <c r="J32" s="186">
        <v>100</v>
      </c>
      <c r="K32" s="539">
        <v>106</v>
      </c>
      <c r="L32" s="807"/>
      <c r="M32" s="799"/>
      <c r="N32" s="799"/>
      <c r="O32" s="821">
        <v>19</v>
      </c>
      <c r="P32" s="187"/>
      <c r="Q32" s="799"/>
      <c r="R32" s="227"/>
      <c r="S32" s="227"/>
      <c r="T32" s="227"/>
      <c r="U32" s="227"/>
      <c r="V32" s="227"/>
      <c r="W32" s="227"/>
      <c r="X32" s="227">
        <v>263</v>
      </c>
      <c r="Y32" s="11"/>
      <c r="Z32" s="750"/>
      <c r="AA32" s="750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</row>
    <row r="33" spans="1:48" s="94" customFormat="1" ht="18" customHeight="1" x14ac:dyDescent="0.2">
      <c r="A33" s="227">
        <v>2023</v>
      </c>
      <c r="B33" s="227"/>
      <c r="C33" s="227"/>
      <c r="D33" s="227"/>
      <c r="E33" s="106">
        <v>0</v>
      </c>
      <c r="F33" s="227"/>
      <c r="G33" s="106">
        <v>35</v>
      </c>
      <c r="H33" s="227"/>
      <c r="I33" s="536">
        <v>1015</v>
      </c>
      <c r="J33" s="227"/>
      <c r="K33" s="106">
        <v>213</v>
      </c>
      <c r="L33" s="227"/>
      <c r="M33" s="227"/>
      <c r="N33" s="227"/>
      <c r="O33" s="227"/>
      <c r="P33" s="227"/>
      <c r="Q33" s="875"/>
      <c r="R33" s="227"/>
      <c r="S33" s="227"/>
      <c r="T33" s="227"/>
      <c r="U33" s="227"/>
      <c r="V33" s="227"/>
      <c r="W33" s="227"/>
      <c r="X33" s="227"/>
      <c r="Y33" s="11"/>
      <c r="Z33" s="750"/>
      <c r="AA33" s="750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</row>
    <row r="34" spans="1:48" s="8" customFormat="1" ht="18" customHeight="1" x14ac:dyDescent="0.2">
      <c r="A34" s="64" t="s">
        <v>17</v>
      </c>
      <c r="B34" s="16"/>
      <c r="C34" s="16">
        <f t="shared" ref="C34:O34" si="1">AVERAGE(C5:C25)</f>
        <v>0</v>
      </c>
      <c r="D34" s="16">
        <f t="shared" si="1"/>
        <v>0</v>
      </c>
      <c r="E34" s="16">
        <f t="shared" si="1"/>
        <v>69</v>
      </c>
      <c r="F34" s="16">
        <f t="shared" si="1"/>
        <v>21.875</v>
      </c>
      <c r="G34" s="16">
        <f t="shared" si="1"/>
        <v>155.875</v>
      </c>
      <c r="H34" s="16">
        <f t="shared" si="1"/>
        <v>211.5</v>
      </c>
      <c r="I34" s="16">
        <f t="shared" si="1"/>
        <v>274.7</v>
      </c>
      <c r="J34" s="16">
        <f t="shared" si="1"/>
        <v>322</v>
      </c>
      <c r="K34" s="16">
        <f t="shared" si="1"/>
        <v>207</v>
      </c>
      <c r="L34" s="16">
        <f t="shared" si="1"/>
        <v>60.25</v>
      </c>
      <c r="M34" s="16">
        <f t="shared" si="1"/>
        <v>21.6</v>
      </c>
      <c r="N34" s="16">
        <f t="shared" si="1"/>
        <v>5.3076923076923075</v>
      </c>
      <c r="O34" s="16">
        <f t="shared" si="1"/>
        <v>2</v>
      </c>
      <c r="P34" s="16">
        <f>AVERAGE(P5:P25)</f>
        <v>0.8</v>
      </c>
      <c r="Q34" s="16">
        <f>AVERAGE(Q5:Q25)</f>
        <v>0.45454545454545453</v>
      </c>
      <c r="R34" s="16"/>
      <c r="S34" s="16">
        <f>AVERAGE(S5:S25)</f>
        <v>0</v>
      </c>
      <c r="T34" s="16">
        <f>AVERAGE(T5:T25)</f>
        <v>0.5</v>
      </c>
      <c r="U34" s="16">
        <f>AVERAGE(U5:U25)</f>
        <v>0</v>
      </c>
      <c r="V34" s="16"/>
      <c r="W34" s="16"/>
      <c r="X34" s="16">
        <f>AVERAGE(X5:X19)</f>
        <v>665.66666666666663</v>
      </c>
      <c r="Y34" s="17"/>
      <c r="Z34" s="16">
        <f>AVERAGE(Z5:Z19)</f>
        <v>19.600000000000001</v>
      </c>
      <c r="AA34" s="92"/>
      <c r="AC34"/>
      <c r="AD34"/>
      <c r="AE34" s="432">
        <f>AE26/$AD$26</f>
        <v>0.22500000000000001</v>
      </c>
      <c r="AF34" s="432">
        <f>AF26/$AD$26</f>
        <v>0.52500000000000002</v>
      </c>
      <c r="AG34" s="432">
        <f>AG26/$AD$26</f>
        <v>0.125</v>
      </c>
      <c r="AH34" s="432">
        <f>AH26/$AD$26</f>
        <v>7.4999999999999997E-2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48" ht="18" customHeight="1" x14ac:dyDescent="0.2">
      <c r="A36" s="1002" t="s">
        <v>621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48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</row>
    <row r="38" spans="1:48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  <c r="AA38" s="443"/>
    </row>
    <row r="39" spans="1:48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A39" s="225"/>
      <c r="AD39" t="s">
        <v>142</v>
      </c>
    </row>
    <row r="40" spans="1:48" ht="18" customHeight="1" x14ac:dyDescent="0.2">
      <c r="A40" s="1">
        <v>1995</v>
      </c>
      <c r="B40" s="6"/>
      <c r="C40" s="6"/>
      <c r="D40" s="6"/>
      <c r="E40" s="6"/>
      <c r="F40" s="6"/>
      <c r="G40" s="6"/>
      <c r="H40" s="6"/>
      <c r="I40" s="6">
        <v>0</v>
      </c>
      <c r="J40" s="6">
        <v>19</v>
      </c>
      <c r="K40" s="6"/>
      <c r="L40" s="6">
        <v>103</v>
      </c>
      <c r="M40" s="6"/>
      <c r="N40" s="6">
        <v>95</v>
      </c>
      <c r="O40" s="6"/>
      <c r="P40" s="6"/>
      <c r="Q40" s="6"/>
      <c r="R40" s="6"/>
      <c r="S40" s="6"/>
      <c r="T40" s="13"/>
      <c r="U40" s="13"/>
      <c r="V40" s="13"/>
      <c r="W40" s="13"/>
      <c r="X40" s="29">
        <v>308</v>
      </c>
      <c r="Y40" s="7" t="s">
        <v>5</v>
      </c>
      <c r="Z40" s="58">
        <v>10</v>
      </c>
      <c r="AA40" s="58"/>
      <c r="AD40">
        <f t="shared" ref="AD40:AD57" si="2">X40/MAX(B40:W40)</f>
        <v>2.9902912621359223</v>
      </c>
    </row>
    <row r="41" spans="1:48" ht="18" customHeight="1" x14ac:dyDescent="0.2">
      <c r="A41" s="1">
        <v>1996</v>
      </c>
      <c r="B41" s="6"/>
      <c r="C41" s="6"/>
      <c r="D41" s="6"/>
      <c r="E41" s="6"/>
      <c r="F41" s="6">
        <v>0</v>
      </c>
      <c r="G41" s="6"/>
      <c r="H41" s="6">
        <v>20</v>
      </c>
      <c r="I41" s="6">
        <v>14</v>
      </c>
      <c r="J41" s="6">
        <v>0</v>
      </c>
      <c r="K41" s="6">
        <v>48</v>
      </c>
      <c r="L41" s="6"/>
      <c r="M41" s="6">
        <v>79</v>
      </c>
      <c r="N41" s="6">
        <v>59</v>
      </c>
      <c r="O41" s="6">
        <v>51</v>
      </c>
      <c r="P41" s="6"/>
      <c r="Q41" s="6">
        <v>18</v>
      </c>
      <c r="R41" s="6"/>
      <c r="S41" s="6"/>
      <c r="T41" s="13"/>
      <c r="U41" s="13"/>
      <c r="V41" s="13"/>
      <c r="W41" s="13"/>
      <c r="X41" s="29">
        <v>99</v>
      </c>
      <c r="Y41" s="7" t="s">
        <v>7</v>
      </c>
      <c r="Z41" s="60"/>
      <c r="AA41" s="60"/>
      <c r="AD41">
        <f t="shared" si="2"/>
        <v>1.2531645569620253</v>
      </c>
    </row>
    <row r="42" spans="1:48" ht="18" customHeight="1" x14ac:dyDescent="0.2">
      <c r="A42" s="1">
        <v>1997</v>
      </c>
      <c r="B42" s="6"/>
      <c r="C42" s="6"/>
      <c r="D42" s="6">
        <v>0</v>
      </c>
      <c r="E42" s="6"/>
      <c r="F42" s="6">
        <v>2</v>
      </c>
      <c r="G42" s="6"/>
      <c r="H42" s="6">
        <v>32</v>
      </c>
      <c r="I42" s="6">
        <v>29</v>
      </c>
      <c r="J42" s="6"/>
      <c r="K42" s="6"/>
      <c r="L42" s="6">
        <v>291</v>
      </c>
      <c r="M42" s="6">
        <v>369</v>
      </c>
      <c r="N42" s="6"/>
      <c r="O42" s="6">
        <v>220</v>
      </c>
      <c r="P42" s="6"/>
      <c r="Q42" s="6">
        <v>392</v>
      </c>
      <c r="R42" s="6"/>
      <c r="S42" s="6">
        <v>133</v>
      </c>
      <c r="T42" s="13"/>
      <c r="U42" s="13"/>
      <c r="V42" s="13"/>
      <c r="W42" s="13"/>
      <c r="X42" s="29">
        <v>667</v>
      </c>
      <c r="Y42" s="7" t="s">
        <v>5</v>
      </c>
      <c r="Z42" s="58">
        <v>30</v>
      </c>
      <c r="AA42" s="58"/>
      <c r="AD42">
        <f t="shared" si="2"/>
        <v>1.7015306122448979</v>
      </c>
    </row>
    <row r="43" spans="1:48" ht="18" customHeight="1" x14ac:dyDescent="0.2">
      <c r="A43" s="1">
        <v>1998</v>
      </c>
      <c r="B43" s="6"/>
      <c r="C43" s="6">
        <v>0</v>
      </c>
      <c r="D43" s="6"/>
      <c r="E43" s="6"/>
      <c r="F43" s="6"/>
      <c r="G43" s="6"/>
      <c r="H43" s="6"/>
      <c r="I43" s="6"/>
      <c r="J43" s="6">
        <v>4</v>
      </c>
      <c r="K43" s="6">
        <v>187</v>
      </c>
      <c r="L43" s="6"/>
      <c r="M43" s="6">
        <v>483</v>
      </c>
      <c r="N43" s="6">
        <v>458</v>
      </c>
      <c r="O43" s="6"/>
      <c r="P43" s="6">
        <v>305</v>
      </c>
      <c r="Q43" s="6"/>
      <c r="R43" s="6"/>
      <c r="S43" s="6"/>
      <c r="T43" s="13"/>
      <c r="U43" s="13"/>
      <c r="V43" s="13"/>
      <c r="W43" s="13"/>
      <c r="X43" s="29">
        <v>773</v>
      </c>
      <c r="Y43" s="7" t="s">
        <v>5</v>
      </c>
      <c r="Z43" s="58">
        <v>35</v>
      </c>
      <c r="AA43" s="58"/>
      <c r="AD43">
        <f t="shared" si="2"/>
        <v>1.6004140786749483</v>
      </c>
    </row>
    <row r="44" spans="1:48" ht="18" customHeight="1" x14ac:dyDescent="0.2">
      <c r="A44" s="1">
        <v>1999</v>
      </c>
      <c r="B44" s="6"/>
      <c r="C44" s="6"/>
      <c r="D44" s="6"/>
      <c r="E44" s="6"/>
      <c r="F44" s="6"/>
      <c r="G44" s="6">
        <v>3</v>
      </c>
      <c r="H44" s="6"/>
      <c r="I44" s="6"/>
      <c r="J44" s="6">
        <v>169</v>
      </c>
      <c r="K44" s="6">
        <v>52</v>
      </c>
      <c r="L44" s="6"/>
      <c r="M44" s="6">
        <v>336</v>
      </c>
      <c r="N44" s="6"/>
      <c r="O44" s="6">
        <v>733</v>
      </c>
      <c r="P44" s="6"/>
      <c r="Q44" s="6">
        <v>857</v>
      </c>
      <c r="R44" s="6"/>
      <c r="S44" s="6"/>
      <c r="T44" s="13">
        <v>401</v>
      </c>
      <c r="U44" s="13"/>
      <c r="V44" s="13"/>
      <c r="W44" s="13"/>
      <c r="X44" s="29">
        <v>2026</v>
      </c>
      <c r="Y44" s="7" t="s">
        <v>5</v>
      </c>
      <c r="Z44" s="58">
        <v>25</v>
      </c>
      <c r="AA44" s="58"/>
      <c r="AD44">
        <f t="shared" si="2"/>
        <v>2.3640606767794634</v>
      </c>
    </row>
    <row r="45" spans="1:48" ht="18" customHeight="1" x14ac:dyDescent="0.2">
      <c r="A45" s="1">
        <v>2000</v>
      </c>
      <c r="B45" s="6"/>
      <c r="C45" s="6"/>
      <c r="D45" s="6"/>
      <c r="E45" s="6"/>
      <c r="F45" s="6"/>
      <c r="G45" s="6"/>
      <c r="H45" s="6">
        <v>44</v>
      </c>
      <c r="I45" s="6"/>
      <c r="J45" s="6"/>
      <c r="K45" s="6">
        <v>330</v>
      </c>
      <c r="L45" s="6"/>
      <c r="M45" s="6"/>
      <c r="N45" s="6">
        <v>599</v>
      </c>
      <c r="O45" s="6"/>
      <c r="P45" s="6">
        <v>1982</v>
      </c>
      <c r="Q45" s="6"/>
      <c r="R45" s="6">
        <v>1998</v>
      </c>
      <c r="S45" s="6"/>
      <c r="T45" s="13">
        <v>689</v>
      </c>
      <c r="U45" s="13"/>
      <c r="V45" s="13"/>
      <c r="W45" s="13"/>
      <c r="X45" s="29">
        <v>3414</v>
      </c>
      <c r="Y45" s="7" t="s">
        <v>5</v>
      </c>
      <c r="Z45" s="58">
        <v>25</v>
      </c>
      <c r="AA45" s="58"/>
      <c r="AD45">
        <f t="shared" si="2"/>
        <v>1.7087087087087087</v>
      </c>
    </row>
    <row r="46" spans="1:48" ht="18" customHeight="1" x14ac:dyDescent="0.2">
      <c r="A46" s="1">
        <v>2001</v>
      </c>
      <c r="B46" s="6"/>
      <c r="C46" s="6"/>
      <c r="D46" s="6"/>
      <c r="E46" s="6">
        <v>4</v>
      </c>
      <c r="F46" s="6"/>
      <c r="G46" s="6">
        <v>5</v>
      </c>
      <c r="H46" s="6"/>
      <c r="I46" s="6"/>
      <c r="J46" s="6">
        <v>242</v>
      </c>
      <c r="K46" s="6"/>
      <c r="L46" s="6">
        <v>280</v>
      </c>
      <c r="M46" s="6">
        <v>558</v>
      </c>
      <c r="N46" s="6">
        <v>688</v>
      </c>
      <c r="O46" s="6"/>
      <c r="P46" s="6"/>
      <c r="Q46" s="6"/>
      <c r="R46" s="6">
        <v>381</v>
      </c>
      <c r="S46" s="6"/>
      <c r="T46" s="13">
        <v>260</v>
      </c>
      <c r="U46" s="13"/>
      <c r="V46" s="13"/>
      <c r="W46" s="13"/>
      <c r="X46" s="29">
        <v>767</v>
      </c>
      <c r="Y46" s="7" t="s">
        <v>5</v>
      </c>
      <c r="Z46" s="58">
        <v>45</v>
      </c>
      <c r="AA46" s="58"/>
      <c r="AD46">
        <f t="shared" si="2"/>
        <v>1.1148255813953489</v>
      </c>
    </row>
    <row r="47" spans="1:48" ht="18" customHeight="1" x14ac:dyDescent="0.2">
      <c r="A47" s="1">
        <v>2002</v>
      </c>
      <c r="B47" s="6"/>
      <c r="C47" s="6"/>
      <c r="D47" s="6"/>
      <c r="E47" s="6"/>
      <c r="F47" s="6"/>
      <c r="G47" s="6">
        <v>22</v>
      </c>
      <c r="H47" s="6"/>
      <c r="I47" s="6">
        <v>50</v>
      </c>
      <c r="J47" s="6"/>
      <c r="K47" s="6">
        <v>35</v>
      </c>
      <c r="L47" s="6"/>
      <c r="M47" s="6"/>
      <c r="N47" s="6">
        <v>88</v>
      </c>
      <c r="O47" s="6"/>
      <c r="P47" s="6"/>
      <c r="Q47" s="6">
        <v>526</v>
      </c>
      <c r="R47" s="6"/>
      <c r="S47" s="6"/>
      <c r="T47" s="13"/>
      <c r="U47" s="13"/>
      <c r="V47" s="13"/>
      <c r="W47" s="13"/>
      <c r="X47" s="29">
        <v>587</v>
      </c>
      <c r="Y47" s="7" t="s">
        <v>9</v>
      </c>
      <c r="Z47" s="60"/>
      <c r="AA47" s="60"/>
      <c r="AD47">
        <f t="shared" si="2"/>
        <v>1.1159695817490494</v>
      </c>
    </row>
    <row r="48" spans="1:48" ht="18" customHeight="1" x14ac:dyDescent="0.2">
      <c r="A48" s="1">
        <v>2003</v>
      </c>
      <c r="B48" s="6"/>
      <c r="C48" s="6"/>
      <c r="D48" s="6"/>
      <c r="E48" s="6">
        <v>4</v>
      </c>
      <c r="F48" s="6"/>
      <c r="G48" s="6">
        <v>2</v>
      </c>
      <c r="H48" s="6"/>
      <c r="I48" s="6">
        <v>68</v>
      </c>
      <c r="J48" s="6"/>
      <c r="K48" s="6">
        <v>102</v>
      </c>
      <c r="L48" s="6"/>
      <c r="M48" s="6">
        <v>587</v>
      </c>
      <c r="N48" s="6"/>
      <c r="O48" s="6"/>
      <c r="P48" s="6"/>
      <c r="Q48" s="6">
        <v>468</v>
      </c>
      <c r="R48" s="6"/>
      <c r="S48" s="6"/>
      <c r="T48" s="13"/>
      <c r="U48" s="13"/>
      <c r="V48" s="13"/>
      <c r="W48" s="13"/>
      <c r="X48" s="29">
        <v>673</v>
      </c>
      <c r="Y48" s="7" t="s">
        <v>5</v>
      </c>
      <c r="Z48" s="58">
        <v>45</v>
      </c>
      <c r="AA48" s="58"/>
      <c r="AD48">
        <f t="shared" si="2"/>
        <v>1.1465076660988074</v>
      </c>
    </row>
    <row r="49" spans="1:48" ht="18" customHeight="1" x14ac:dyDescent="0.2">
      <c r="A49" s="1">
        <v>2004</v>
      </c>
      <c r="B49" s="6"/>
      <c r="C49" s="6"/>
      <c r="D49" s="6"/>
      <c r="E49" s="6"/>
      <c r="F49" s="6"/>
      <c r="G49" s="6"/>
      <c r="H49" s="6">
        <v>182</v>
      </c>
      <c r="I49" s="6"/>
      <c r="J49" s="6">
        <v>142</v>
      </c>
      <c r="K49" s="6"/>
      <c r="L49" s="6">
        <v>838</v>
      </c>
      <c r="M49" s="6"/>
      <c r="N49" s="6">
        <v>1371</v>
      </c>
      <c r="O49" s="6"/>
      <c r="P49" s="6"/>
      <c r="Q49" s="6">
        <v>1063</v>
      </c>
      <c r="R49" s="6"/>
      <c r="S49" s="6"/>
      <c r="T49" s="13"/>
      <c r="U49" s="13"/>
      <c r="V49" s="13"/>
      <c r="W49" s="13"/>
      <c r="X49" s="21">
        <v>1860</v>
      </c>
      <c r="Y49" s="7" t="s">
        <v>5</v>
      </c>
      <c r="Z49" s="59">
        <v>40</v>
      </c>
      <c r="AA49" s="59"/>
      <c r="AD49">
        <f t="shared" si="2"/>
        <v>1.3566739606126914</v>
      </c>
    </row>
    <row r="50" spans="1:48" ht="18" customHeight="1" x14ac:dyDescent="0.2">
      <c r="A50" s="1">
        <v>2005</v>
      </c>
      <c r="B50" s="6"/>
      <c r="C50" s="6"/>
      <c r="D50" s="6"/>
      <c r="E50" s="6"/>
      <c r="F50" s="6"/>
      <c r="G50" s="6"/>
      <c r="H50" s="6">
        <v>18</v>
      </c>
      <c r="I50" s="6"/>
      <c r="J50" s="6">
        <v>22</v>
      </c>
      <c r="K50" s="6">
        <v>275</v>
      </c>
      <c r="L50" s="6"/>
      <c r="M50" s="6">
        <v>457</v>
      </c>
      <c r="N50" s="6">
        <v>871</v>
      </c>
      <c r="O50" s="6"/>
      <c r="P50" s="6"/>
      <c r="Q50" s="6">
        <v>0</v>
      </c>
      <c r="R50" s="6"/>
      <c r="S50" s="6">
        <v>0</v>
      </c>
      <c r="T50" s="13"/>
      <c r="U50" s="13"/>
      <c r="V50" s="13"/>
      <c r="W50" s="13"/>
      <c r="X50" s="29">
        <v>1096</v>
      </c>
      <c r="Y50" s="7" t="s">
        <v>5</v>
      </c>
      <c r="Z50" s="60">
        <v>37.5</v>
      </c>
      <c r="AA50" s="60"/>
      <c r="AD50">
        <f t="shared" si="2"/>
        <v>1.2583237657864523</v>
      </c>
    </row>
    <row r="51" spans="1:48" ht="18" customHeight="1" x14ac:dyDescent="0.2">
      <c r="A51" s="1">
        <v>2006</v>
      </c>
      <c r="B51" s="6"/>
      <c r="C51" s="6"/>
      <c r="D51" s="6"/>
      <c r="E51" s="6"/>
      <c r="F51" s="6"/>
      <c r="G51" s="6"/>
      <c r="H51" s="6">
        <v>40</v>
      </c>
      <c r="I51" s="6">
        <v>53</v>
      </c>
      <c r="J51" s="6"/>
      <c r="K51" s="6">
        <v>79</v>
      </c>
      <c r="L51" s="6">
        <v>105</v>
      </c>
      <c r="M51" s="6">
        <v>331</v>
      </c>
      <c r="N51" s="6">
        <v>751</v>
      </c>
      <c r="O51" s="6"/>
      <c r="P51" s="6"/>
      <c r="Q51" s="6">
        <v>628</v>
      </c>
      <c r="R51" s="6"/>
      <c r="S51" s="6">
        <v>466</v>
      </c>
      <c r="T51" s="13"/>
      <c r="U51" s="13">
        <v>136</v>
      </c>
      <c r="V51" s="13"/>
      <c r="W51" s="13"/>
      <c r="X51" s="30">
        <v>788</v>
      </c>
      <c r="Y51" s="7" t="s">
        <v>5</v>
      </c>
      <c r="Z51" s="60">
        <v>45</v>
      </c>
      <c r="AA51" s="60"/>
      <c r="AD51">
        <f t="shared" si="2"/>
        <v>1.0492676431424768</v>
      </c>
    </row>
    <row r="52" spans="1:48" ht="18" customHeight="1" x14ac:dyDescent="0.2">
      <c r="A52" s="1">
        <v>2007</v>
      </c>
      <c r="B52" s="6"/>
      <c r="C52" s="6"/>
      <c r="D52" s="6"/>
      <c r="E52" s="6"/>
      <c r="F52" s="6">
        <v>14</v>
      </c>
      <c r="G52" s="6"/>
      <c r="H52" s="6"/>
      <c r="I52" s="6">
        <v>24</v>
      </c>
      <c r="J52" s="6"/>
      <c r="K52" s="6">
        <v>441</v>
      </c>
      <c r="L52" s="6"/>
      <c r="M52" s="6">
        <v>448</v>
      </c>
      <c r="N52" s="6"/>
      <c r="O52" s="6"/>
      <c r="P52" s="6"/>
      <c r="Q52" s="6"/>
      <c r="R52" s="6">
        <v>374</v>
      </c>
      <c r="S52" s="6"/>
      <c r="T52" s="13"/>
      <c r="U52" s="13"/>
      <c r="V52" s="13"/>
      <c r="W52" s="13"/>
      <c r="X52" s="30">
        <v>649</v>
      </c>
      <c r="Y52" s="7" t="s">
        <v>5</v>
      </c>
      <c r="Z52" s="53">
        <v>37.5</v>
      </c>
      <c r="AA52" s="53"/>
      <c r="AD52">
        <f t="shared" si="2"/>
        <v>1.4486607142857142</v>
      </c>
    </row>
    <row r="53" spans="1:48" s="55" customFormat="1" ht="18" customHeight="1" x14ac:dyDescent="0.2">
      <c r="A53" s="13">
        <v>2008</v>
      </c>
      <c r="B53" s="13"/>
      <c r="C53" s="13"/>
      <c r="D53" s="13"/>
      <c r="E53" s="13"/>
      <c r="F53" s="13">
        <v>12</v>
      </c>
      <c r="G53" s="13"/>
      <c r="H53" s="13"/>
      <c r="I53" s="13">
        <v>23</v>
      </c>
      <c r="J53" s="13">
        <v>43</v>
      </c>
      <c r="K53" s="13"/>
      <c r="L53" s="13">
        <v>1103</v>
      </c>
      <c r="M53" s="13">
        <v>1381</v>
      </c>
      <c r="N53" s="13"/>
      <c r="O53" s="13"/>
      <c r="P53" s="13"/>
      <c r="Q53" s="13">
        <v>946</v>
      </c>
      <c r="R53" s="13"/>
      <c r="S53" s="13"/>
      <c r="T53" s="13"/>
      <c r="U53" s="13"/>
      <c r="V53" s="13"/>
      <c r="W53" s="13"/>
      <c r="X53" s="29">
        <v>1577</v>
      </c>
      <c r="Y53" s="7" t="s">
        <v>5</v>
      </c>
      <c r="Z53" s="58">
        <v>45</v>
      </c>
      <c r="AA53" s="58"/>
      <c r="AC53"/>
      <c r="AD53">
        <f t="shared" si="2"/>
        <v>1.1419261404779146</v>
      </c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ht="18" customHeight="1" x14ac:dyDescent="0.2">
      <c r="A54" s="13">
        <v>2009</v>
      </c>
      <c r="B54" s="13"/>
      <c r="C54" s="13"/>
      <c r="D54" s="13"/>
      <c r="E54" s="13"/>
      <c r="F54" s="13"/>
      <c r="G54" s="13">
        <v>203</v>
      </c>
      <c r="H54" s="13"/>
      <c r="I54" s="13">
        <v>572</v>
      </c>
      <c r="J54" s="13">
        <v>896</v>
      </c>
      <c r="K54" s="13"/>
      <c r="L54" s="13">
        <v>1391</v>
      </c>
      <c r="M54" s="13">
        <v>1111</v>
      </c>
      <c r="N54" s="13">
        <v>1302</v>
      </c>
      <c r="O54" s="13"/>
      <c r="P54" s="13"/>
      <c r="Q54" s="13">
        <v>875</v>
      </c>
      <c r="R54" s="13"/>
      <c r="S54" s="13"/>
      <c r="T54" s="13"/>
      <c r="U54" s="13"/>
      <c r="V54" s="13"/>
      <c r="W54" s="13"/>
      <c r="X54" s="29">
        <v>2140</v>
      </c>
      <c r="Y54" s="7" t="s">
        <v>5</v>
      </c>
      <c r="Z54" s="58">
        <v>40</v>
      </c>
      <c r="AA54" s="58"/>
      <c r="AD54">
        <f t="shared" si="2"/>
        <v>1.5384615384615385</v>
      </c>
    </row>
    <row r="55" spans="1:48" ht="18" customHeight="1" x14ac:dyDescent="0.2">
      <c r="A55" s="13">
        <v>2010</v>
      </c>
      <c r="B55" s="13"/>
      <c r="C55" s="13"/>
      <c r="D55" s="13"/>
      <c r="E55" s="13"/>
      <c r="F55" s="13"/>
      <c r="G55" s="13"/>
      <c r="H55" s="1">
        <v>7</v>
      </c>
      <c r="I55" s="1"/>
      <c r="J55" s="1">
        <v>491</v>
      </c>
      <c r="K55" s="1"/>
      <c r="L55" s="1"/>
      <c r="M55" s="1">
        <v>1053</v>
      </c>
      <c r="N55" s="1">
        <v>1271</v>
      </c>
      <c r="O55" s="1"/>
      <c r="P55" s="1">
        <v>1335</v>
      </c>
      <c r="Q55" s="13"/>
      <c r="R55" s="13"/>
      <c r="S55" s="13"/>
      <c r="T55" s="13"/>
      <c r="U55" s="13"/>
      <c r="V55" s="13"/>
      <c r="W55" s="13"/>
      <c r="X55" s="29">
        <v>2590</v>
      </c>
      <c r="Y55" s="7" t="s">
        <v>5</v>
      </c>
      <c r="Z55" s="58">
        <v>25</v>
      </c>
      <c r="AA55" s="58"/>
      <c r="AD55">
        <f t="shared" si="2"/>
        <v>1.9400749063670413</v>
      </c>
    </row>
    <row r="56" spans="1:48" ht="18" customHeight="1" x14ac:dyDescent="0.2">
      <c r="A56" s="13">
        <v>2011</v>
      </c>
      <c r="B56" s="13"/>
      <c r="C56" s="13"/>
      <c r="D56" s="13"/>
      <c r="E56" s="13"/>
      <c r="F56" s="13"/>
      <c r="G56" s="13">
        <v>8</v>
      </c>
      <c r="H56" s="13">
        <v>46</v>
      </c>
      <c r="I56" s="13"/>
      <c r="J56" s="13">
        <v>959</v>
      </c>
      <c r="K56" s="13">
        <v>1079</v>
      </c>
      <c r="L56" s="13">
        <v>1210</v>
      </c>
      <c r="M56" s="13"/>
      <c r="N56" s="13">
        <v>1380</v>
      </c>
      <c r="O56" s="13">
        <v>890</v>
      </c>
      <c r="P56" s="13"/>
      <c r="Q56" s="13">
        <v>1312</v>
      </c>
      <c r="R56" s="13"/>
      <c r="S56" s="13"/>
      <c r="T56" s="13">
        <v>631</v>
      </c>
      <c r="U56" s="13"/>
      <c r="V56" s="13"/>
      <c r="W56" s="13"/>
      <c r="X56" s="29">
        <v>2300</v>
      </c>
      <c r="Y56" s="7" t="s">
        <v>5</v>
      </c>
      <c r="Z56" s="58">
        <v>41.5</v>
      </c>
      <c r="AA56" s="58"/>
      <c r="AD56">
        <f t="shared" si="2"/>
        <v>1.6666666666666667</v>
      </c>
    </row>
    <row r="57" spans="1:48" ht="18" customHeight="1" x14ac:dyDescent="0.2">
      <c r="A57" s="13">
        <v>2012</v>
      </c>
      <c r="B57" s="13"/>
      <c r="C57" s="13"/>
      <c r="D57" s="13"/>
      <c r="E57" s="13"/>
      <c r="F57" s="13">
        <v>4</v>
      </c>
      <c r="G57" s="13">
        <v>19</v>
      </c>
      <c r="H57" s="13">
        <v>18</v>
      </c>
      <c r="I57" s="13"/>
      <c r="J57" s="13">
        <v>44</v>
      </c>
      <c r="K57" s="13"/>
      <c r="L57" s="13"/>
      <c r="M57" s="13">
        <v>625</v>
      </c>
      <c r="N57" s="13"/>
      <c r="O57" s="13">
        <v>401</v>
      </c>
      <c r="P57" s="13"/>
      <c r="Q57" s="13"/>
      <c r="R57" s="13"/>
      <c r="S57" s="13"/>
      <c r="T57" s="13"/>
      <c r="U57" s="13"/>
      <c r="V57" s="13"/>
      <c r="W57" s="13"/>
      <c r="X57" s="29">
        <v>1013</v>
      </c>
      <c r="Y57" s="7" t="s">
        <v>5</v>
      </c>
      <c r="Z57" s="58">
        <v>25</v>
      </c>
      <c r="AA57" s="58"/>
      <c r="AD57">
        <f t="shared" si="2"/>
        <v>1.6208</v>
      </c>
    </row>
    <row r="58" spans="1:48" ht="18" customHeight="1" x14ac:dyDescent="0.2">
      <c r="A58" s="13">
        <v>2013</v>
      </c>
      <c r="B58" s="13"/>
      <c r="C58" s="13"/>
      <c r="D58" s="13"/>
      <c r="E58" s="13"/>
      <c r="F58" s="109">
        <v>14</v>
      </c>
      <c r="G58" s="13"/>
      <c r="H58" s="109">
        <v>47</v>
      </c>
      <c r="I58" s="109">
        <v>300</v>
      </c>
      <c r="J58" s="13"/>
      <c r="K58" s="109">
        <v>299</v>
      </c>
      <c r="L58" s="89"/>
      <c r="M58" s="109">
        <v>338</v>
      </c>
      <c r="N58" s="89"/>
      <c r="O58" s="155">
        <v>375</v>
      </c>
      <c r="P58" s="13"/>
      <c r="Q58" s="13"/>
      <c r="R58" s="13"/>
      <c r="S58" s="13"/>
      <c r="T58" s="13"/>
      <c r="U58" s="13"/>
      <c r="V58" s="13"/>
      <c r="W58" s="13"/>
      <c r="X58" s="29">
        <v>738</v>
      </c>
      <c r="Y58" s="7" t="s">
        <v>5</v>
      </c>
      <c r="Z58" s="58">
        <v>35</v>
      </c>
      <c r="AA58" s="58"/>
      <c r="AD58">
        <f t="shared" ref="AD58:AD67" si="3">X58/MAX(B58:W58)</f>
        <v>1.968</v>
      </c>
    </row>
    <row r="59" spans="1:48" ht="18" customHeight="1" x14ac:dyDescent="0.2">
      <c r="A59" s="13">
        <v>2014</v>
      </c>
      <c r="B59" s="13"/>
      <c r="C59" s="13"/>
      <c r="D59" s="13"/>
      <c r="E59" s="13"/>
      <c r="F59" s="108">
        <v>0</v>
      </c>
      <c r="G59" s="13"/>
      <c r="H59" s="109">
        <v>2</v>
      </c>
      <c r="I59" s="109">
        <v>240</v>
      </c>
      <c r="J59" s="13"/>
      <c r="K59" s="109">
        <v>403</v>
      </c>
      <c r="L59" s="13"/>
      <c r="M59" s="109">
        <v>1011</v>
      </c>
      <c r="N59" s="13"/>
      <c r="O59" s="13"/>
      <c r="P59" s="109">
        <v>829</v>
      </c>
      <c r="Q59" s="13"/>
      <c r="R59" s="13"/>
      <c r="S59" s="13"/>
      <c r="T59" s="13"/>
      <c r="U59" s="13"/>
      <c r="V59" s="13"/>
      <c r="W59" s="13"/>
      <c r="X59" s="29">
        <v>1773</v>
      </c>
      <c r="Y59" s="7" t="s">
        <v>5</v>
      </c>
      <c r="Z59" s="58">
        <v>35</v>
      </c>
      <c r="AA59" s="58"/>
      <c r="AD59">
        <f t="shared" si="3"/>
        <v>1.7537091988130564</v>
      </c>
    </row>
    <row r="60" spans="1:48" ht="18" customHeight="1" x14ac:dyDescent="0.2">
      <c r="A60" s="13">
        <v>2015</v>
      </c>
      <c r="B60" s="13"/>
      <c r="C60" s="13"/>
      <c r="D60" s="13"/>
      <c r="E60" s="13"/>
      <c r="F60" s="109">
        <v>107</v>
      </c>
      <c r="G60" s="13">
        <v>37</v>
      </c>
      <c r="H60" s="13"/>
      <c r="I60" s="13"/>
      <c r="J60" s="13">
        <v>360</v>
      </c>
      <c r="K60" s="13">
        <v>405</v>
      </c>
      <c r="L60" s="13">
        <v>361</v>
      </c>
      <c r="M60" s="13"/>
      <c r="N60" s="13">
        <v>540</v>
      </c>
      <c r="O60" s="13">
        <v>399</v>
      </c>
      <c r="P60" s="13"/>
      <c r="Q60" s="13"/>
      <c r="R60" s="13"/>
      <c r="S60" s="13"/>
      <c r="T60" s="13"/>
      <c r="U60" s="13"/>
      <c r="V60" s="13"/>
      <c r="W60" s="13"/>
      <c r="X60" s="29">
        <v>848</v>
      </c>
      <c r="Y60" s="7" t="s">
        <v>5</v>
      </c>
      <c r="Z60" s="58">
        <v>30</v>
      </c>
      <c r="AA60" s="58"/>
      <c r="AD60">
        <f t="shared" si="3"/>
        <v>1.5703703703703704</v>
      </c>
    </row>
    <row r="61" spans="1:48" ht="18" customHeight="1" x14ac:dyDescent="0.2">
      <c r="A61" s="13">
        <v>2016</v>
      </c>
      <c r="B61" s="13"/>
      <c r="C61" s="13"/>
      <c r="D61" s="13"/>
      <c r="E61" s="13"/>
      <c r="F61" s="13"/>
      <c r="G61" s="109">
        <v>250</v>
      </c>
      <c r="H61" s="109">
        <v>164</v>
      </c>
      <c r="I61" s="109">
        <v>380</v>
      </c>
      <c r="J61" s="109">
        <v>315</v>
      </c>
      <c r="K61" s="13"/>
      <c r="L61" s="109">
        <v>481</v>
      </c>
      <c r="M61" s="13"/>
      <c r="N61" s="13"/>
      <c r="O61" s="155">
        <v>848</v>
      </c>
      <c r="P61" s="13"/>
      <c r="Q61" s="338">
        <v>753</v>
      </c>
      <c r="R61" s="13"/>
      <c r="S61" s="13"/>
      <c r="T61" s="13"/>
      <c r="U61" s="13"/>
      <c r="V61" s="13"/>
      <c r="W61" s="13"/>
      <c r="X61" s="29">
        <v>1370</v>
      </c>
      <c r="Y61" s="7"/>
      <c r="Z61" s="58">
        <v>35</v>
      </c>
      <c r="AA61" s="58"/>
      <c r="AD61">
        <f t="shared" si="3"/>
        <v>1.6155660377358489</v>
      </c>
    </row>
    <row r="62" spans="1:48" ht="18" customHeight="1" x14ac:dyDescent="0.2">
      <c r="A62" s="13">
        <v>2017</v>
      </c>
      <c r="B62" s="13"/>
      <c r="C62" s="13"/>
      <c r="D62" s="13"/>
      <c r="E62" s="13"/>
      <c r="F62" s="109">
        <v>0</v>
      </c>
      <c r="G62" s="447">
        <v>8</v>
      </c>
      <c r="H62" s="109">
        <v>260</v>
      </c>
      <c r="I62" s="13"/>
      <c r="J62" s="109">
        <v>451</v>
      </c>
      <c r="K62" s="109">
        <v>591</v>
      </c>
      <c r="L62" s="13"/>
      <c r="M62" s="109">
        <v>639</v>
      </c>
      <c r="N62" s="109">
        <v>602</v>
      </c>
      <c r="O62" s="13"/>
      <c r="P62" s="13"/>
      <c r="Q62" s="13"/>
      <c r="R62" s="13"/>
      <c r="S62" s="13"/>
      <c r="T62" s="13"/>
      <c r="U62" s="13"/>
      <c r="V62" s="13"/>
      <c r="W62" s="13"/>
      <c r="X62" s="29">
        <v>1319</v>
      </c>
      <c r="Y62" s="7"/>
      <c r="Z62" s="58">
        <v>35</v>
      </c>
      <c r="AA62" s="58"/>
      <c r="AD62">
        <f t="shared" si="3"/>
        <v>2.0641627543035992</v>
      </c>
    </row>
    <row r="63" spans="1:48" ht="18" customHeight="1" x14ac:dyDescent="0.2">
      <c r="A63" s="13">
        <v>2018</v>
      </c>
      <c r="B63" s="13"/>
      <c r="C63" s="13"/>
      <c r="D63" s="13"/>
      <c r="E63" s="13"/>
      <c r="F63" s="109">
        <v>0</v>
      </c>
      <c r="G63" s="109">
        <v>201</v>
      </c>
      <c r="H63" s="109">
        <v>354</v>
      </c>
      <c r="I63" s="109">
        <v>521</v>
      </c>
      <c r="J63" s="13"/>
      <c r="K63" s="109">
        <v>660</v>
      </c>
      <c r="L63" s="13"/>
      <c r="M63" s="13"/>
      <c r="N63" s="13"/>
      <c r="O63" s="109">
        <v>873</v>
      </c>
      <c r="P63" s="13"/>
      <c r="Q63" s="13"/>
      <c r="R63" s="13"/>
      <c r="S63" s="13"/>
      <c r="T63" s="13"/>
      <c r="U63" s="13"/>
      <c r="V63" s="13"/>
      <c r="W63" s="13"/>
      <c r="X63" s="29">
        <v>1334</v>
      </c>
      <c r="Y63" s="7"/>
      <c r="Z63" s="58">
        <v>35</v>
      </c>
      <c r="AA63" s="58"/>
      <c r="AD63">
        <f t="shared" si="3"/>
        <v>1.5280641466208476</v>
      </c>
    </row>
    <row r="64" spans="1:48" ht="18" customHeight="1" x14ac:dyDescent="0.2">
      <c r="A64" s="13">
        <v>2019</v>
      </c>
      <c r="B64" s="13"/>
      <c r="C64" s="13"/>
      <c r="D64" s="13"/>
      <c r="E64" s="13"/>
      <c r="F64" s="109">
        <v>1</v>
      </c>
      <c r="G64" s="13"/>
      <c r="H64" s="109">
        <v>183</v>
      </c>
      <c r="I64" s="109">
        <v>189</v>
      </c>
      <c r="J64" s="13"/>
      <c r="K64" s="109">
        <v>177</v>
      </c>
      <c r="L64" s="13"/>
      <c r="M64" s="13"/>
      <c r="N64" s="109">
        <v>228</v>
      </c>
      <c r="O64" s="109">
        <v>166</v>
      </c>
      <c r="P64" s="13"/>
      <c r="Q64" s="13"/>
      <c r="R64" s="13"/>
      <c r="S64" s="13"/>
      <c r="T64" s="13"/>
      <c r="U64" s="13"/>
      <c r="V64" s="13"/>
      <c r="W64" s="13"/>
      <c r="X64" s="29">
        <v>361</v>
      </c>
      <c r="Y64" s="7"/>
      <c r="Z64" s="58">
        <v>35</v>
      </c>
      <c r="AA64" s="58"/>
      <c r="AD64">
        <f t="shared" si="3"/>
        <v>1.5833333333333333</v>
      </c>
    </row>
    <row r="65" spans="1:48" ht="18" customHeight="1" x14ac:dyDescent="0.2">
      <c r="A65" s="13">
        <v>2020</v>
      </c>
      <c r="B65" s="13"/>
      <c r="C65" s="13"/>
      <c r="D65" s="13"/>
      <c r="E65" s="13"/>
      <c r="F65" s="109">
        <v>0</v>
      </c>
      <c r="G65" s="13"/>
      <c r="H65" s="109">
        <v>76</v>
      </c>
      <c r="I65" s="109">
        <v>64</v>
      </c>
      <c r="J65" s="109">
        <v>289</v>
      </c>
      <c r="K65" s="109">
        <v>283</v>
      </c>
      <c r="L65" s="13"/>
      <c r="M65" s="109">
        <v>311</v>
      </c>
      <c r="N65" s="13"/>
      <c r="O65" s="109">
        <v>423</v>
      </c>
      <c r="P65" s="13"/>
      <c r="Q65" s="13"/>
      <c r="R65" s="13"/>
      <c r="S65" s="13"/>
      <c r="T65" s="13"/>
      <c r="U65" s="13"/>
      <c r="V65" s="13"/>
      <c r="W65" s="13"/>
      <c r="X65" s="29">
        <v>495</v>
      </c>
      <c r="Y65" s="7" t="s">
        <v>5</v>
      </c>
      <c r="Z65" s="58">
        <v>35</v>
      </c>
      <c r="AA65" s="58"/>
      <c r="AD65">
        <f t="shared" si="3"/>
        <v>1.1702127659574468</v>
      </c>
    </row>
    <row r="66" spans="1:48" s="150" customFormat="1" ht="18" customHeight="1" x14ac:dyDescent="0.2">
      <c r="A66" s="89">
        <v>2021</v>
      </c>
      <c r="B66" s="89"/>
      <c r="C66" s="89"/>
      <c r="D66" s="89"/>
      <c r="E66" s="89"/>
      <c r="F66" s="89"/>
      <c r="G66" s="200">
        <v>0</v>
      </c>
      <c r="H66" s="186">
        <v>37</v>
      </c>
      <c r="I66" s="186">
        <v>261</v>
      </c>
      <c r="J66" s="893"/>
      <c r="K66" s="186">
        <v>649</v>
      </c>
      <c r="L66" s="976"/>
      <c r="M66" s="806">
        <v>999</v>
      </c>
      <c r="N66" s="806">
        <v>1037</v>
      </c>
      <c r="O66" s="896"/>
      <c r="P66" s="896"/>
      <c r="Q66" s="806">
        <v>1041</v>
      </c>
      <c r="R66" s="89"/>
      <c r="S66" s="89"/>
      <c r="T66" s="89"/>
      <c r="U66" s="89"/>
      <c r="V66" s="89"/>
      <c r="W66" s="89"/>
      <c r="X66" s="21">
        <v>2484</v>
      </c>
      <c r="Y66" s="11"/>
      <c r="Z66" s="92"/>
      <c r="AA66" s="92"/>
      <c r="AC66" s="151"/>
      <c r="AD66">
        <f t="shared" si="3"/>
        <v>2.3861671469740635</v>
      </c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</row>
    <row r="67" spans="1:48" s="150" customFormat="1" ht="18" customHeight="1" x14ac:dyDescent="0.2">
      <c r="A67" s="89">
        <v>2022</v>
      </c>
      <c r="B67" s="89"/>
      <c r="C67" s="89"/>
      <c r="D67" s="89"/>
      <c r="E67" s="89"/>
      <c r="F67" s="89"/>
      <c r="G67" s="200">
        <v>30</v>
      </c>
      <c r="H67" s="186">
        <v>35</v>
      </c>
      <c r="I67" s="187"/>
      <c r="J67" s="186">
        <v>56</v>
      </c>
      <c r="K67" s="186">
        <v>104</v>
      </c>
      <c r="L67" s="807"/>
      <c r="M67" s="799"/>
      <c r="N67" s="799"/>
      <c r="O67" s="186">
        <v>765</v>
      </c>
      <c r="P67" s="187"/>
      <c r="Q67" s="799"/>
      <c r="R67" s="89"/>
      <c r="S67" s="89"/>
      <c r="T67" s="89"/>
      <c r="U67" s="89"/>
      <c r="V67" s="89"/>
      <c r="W67" s="89"/>
      <c r="X67" s="21">
        <v>1234</v>
      </c>
      <c r="Y67" s="11"/>
      <c r="Z67" s="92"/>
      <c r="AA67" s="92"/>
      <c r="AC67" s="151"/>
      <c r="AD67">
        <f t="shared" si="3"/>
        <v>1.6130718954248366</v>
      </c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</row>
    <row r="68" spans="1:48" s="150" customFormat="1" ht="18" customHeight="1" x14ac:dyDescent="0.2">
      <c r="A68" s="89">
        <v>2023</v>
      </c>
      <c r="B68" s="89"/>
      <c r="C68" s="89"/>
      <c r="D68" s="89"/>
      <c r="E68" s="109">
        <v>1</v>
      </c>
      <c r="F68" s="89"/>
      <c r="G68" s="109">
        <v>14</v>
      </c>
      <c r="H68" s="89"/>
      <c r="I68" s="109">
        <v>366</v>
      </c>
      <c r="J68" s="89"/>
      <c r="K68" s="109">
        <v>590</v>
      </c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21"/>
      <c r="Y68" s="11"/>
      <c r="Z68" s="92"/>
      <c r="AA68" s="92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</row>
    <row r="69" spans="1:48" ht="18" customHeight="1" x14ac:dyDescent="0.2">
      <c r="A69" s="64" t="s">
        <v>17</v>
      </c>
      <c r="B69" s="16"/>
      <c r="C69" s="16">
        <f t="shared" ref="C69:U69" si="4">AVERAGE(C40:C60)</f>
        <v>0</v>
      </c>
      <c r="D69" s="16">
        <f t="shared" si="4"/>
        <v>0</v>
      </c>
      <c r="E69" s="16">
        <f t="shared" si="4"/>
        <v>4</v>
      </c>
      <c r="F69" s="16">
        <f>AVERAGE(F40:F60)</f>
        <v>19.125</v>
      </c>
      <c r="G69" s="16">
        <f t="shared" si="4"/>
        <v>37.375</v>
      </c>
      <c r="H69" s="16">
        <f t="shared" si="4"/>
        <v>41.454545454545453</v>
      </c>
      <c r="I69" s="16">
        <f t="shared" si="4"/>
        <v>124.81818181818181</v>
      </c>
      <c r="J69" s="16">
        <f t="shared" si="4"/>
        <v>260.84615384615387</v>
      </c>
      <c r="K69" s="16">
        <f t="shared" si="4"/>
        <v>287.30769230769232</v>
      </c>
      <c r="L69" s="16">
        <f t="shared" si="4"/>
        <v>631.33333333333337</v>
      </c>
      <c r="M69" s="16">
        <f t="shared" si="4"/>
        <v>611.13333333333333</v>
      </c>
      <c r="N69" s="16">
        <f t="shared" si="4"/>
        <v>728.69230769230774</v>
      </c>
      <c r="O69" s="16">
        <f t="shared" si="4"/>
        <v>438.42857142857144</v>
      </c>
      <c r="P69" s="16">
        <f t="shared" si="4"/>
        <v>1112.75</v>
      </c>
      <c r="Q69" s="16">
        <f t="shared" si="4"/>
        <v>644.09090909090912</v>
      </c>
      <c r="R69" s="16">
        <f t="shared" si="4"/>
        <v>917.66666666666663</v>
      </c>
      <c r="S69" s="16">
        <f t="shared" si="4"/>
        <v>199.66666666666666</v>
      </c>
      <c r="T69" s="16">
        <f t="shared" si="4"/>
        <v>495.25</v>
      </c>
      <c r="U69" s="16">
        <f t="shared" si="4"/>
        <v>136</v>
      </c>
      <c r="V69" s="16"/>
      <c r="W69" s="16"/>
      <c r="X69" s="16">
        <f>AVERAGE(X40:X54)</f>
        <v>1161.5999999999999</v>
      </c>
      <c r="Y69" s="17"/>
      <c r="Z69" s="16">
        <f>AVERAGE(Z40:Z54)</f>
        <v>35.384615384615387</v>
      </c>
      <c r="AA69" s="92"/>
    </row>
    <row r="70" spans="1:48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</row>
    <row r="71" spans="1:48" ht="18" customHeight="1" x14ac:dyDescent="0.2">
      <c r="A71" s="1002" t="s">
        <v>622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48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</row>
    <row r="73" spans="1:48" ht="18" customHeight="1" thickTop="1" x14ac:dyDescent="0.2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  <c r="AA73" s="443"/>
    </row>
    <row r="74" spans="1:48" ht="18" customHeight="1" x14ac:dyDescent="0.2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A74" s="225"/>
      <c r="AB74" s="2" t="s">
        <v>398</v>
      </c>
      <c r="AD74" t="s">
        <v>142</v>
      </c>
    </row>
    <row r="75" spans="1:48" ht="18" customHeight="1" x14ac:dyDescent="0.2">
      <c r="A75" s="1">
        <v>1995</v>
      </c>
      <c r="B75" s="6"/>
      <c r="C75" s="6"/>
      <c r="D75" s="6"/>
      <c r="E75" s="6"/>
      <c r="F75" s="6"/>
      <c r="G75" s="6"/>
      <c r="H75" s="6"/>
      <c r="I75" s="6">
        <v>0</v>
      </c>
      <c r="J75" s="6">
        <v>108</v>
      </c>
      <c r="K75" s="6"/>
      <c r="L75" s="6">
        <v>1026</v>
      </c>
      <c r="M75" s="6"/>
      <c r="N75" s="78">
        <v>4421</v>
      </c>
      <c r="O75" s="6"/>
      <c r="P75" s="6"/>
      <c r="Q75" s="6"/>
      <c r="R75" s="6"/>
      <c r="S75" s="6"/>
      <c r="T75" s="13"/>
      <c r="U75" s="13"/>
      <c r="V75" s="13"/>
      <c r="W75" s="13"/>
      <c r="X75" s="7">
        <v>5454</v>
      </c>
      <c r="Y75" s="7" t="s">
        <v>5</v>
      </c>
      <c r="Z75" s="10">
        <v>20</v>
      </c>
      <c r="AA75" s="10"/>
      <c r="AB75" s="2">
        <f>MAX(B75:W75)</f>
        <v>4421</v>
      </c>
      <c r="AD75">
        <f t="shared" ref="AD75:AD97" si="5">X75/MAX(B75:W75)</f>
        <v>1.233657543542185</v>
      </c>
    </row>
    <row r="76" spans="1:48" ht="18" customHeight="1" x14ac:dyDescent="0.2">
      <c r="A76" s="1">
        <v>1996</v>
      </c>
      <c r="B76" s="6"/>
      <c r="C76" s="6"/>
      <c r="D76" s="6"/>
      <c r="E76" s="6"/>
      <c r="F76" s="6">
        <v>0</v>
      </c>
      <c r="G76" s="6"/>
      <c r="H76" s="6">
        <v>0</v>
      </c>
      <c r="I76" s="6">
        <v>1</v>
      </c>
      <c r="J76" s="6">
        <v>0</v>
      </c>
      <c r="K76" s="6">
        <v>130</v>
      </c>
      <c r="L76" s="6"/>
      <c r="M76" s="6">
        <v>4520</v>
      </c>
      <c r="N76" s="78">
        <v>5025</v>
      </c>
      <c r="O76" s="6">
        <v>2870</v>
      </c>
      <c r="P76" s="6"/>
      <c r="Q76" s="6">
        <v>25</v>
      </c>
      <c r="R76" s="6"/>
      <c r="S76" s="6"/>
      <c r="T76" s="13"/>
      <c r="U76" s="13"/>
      <c r="V76" s="13"/>
      <c r="W76" s="13"/>
      <c r="X76" s="7">
        <v>8314</v>
      </c>
      <c r="Y76" s="7" t="s">
        <v>5</v>
      </c>
      <c r="Z76" s="10">
        <v>15</v>
      </c>
      <c r="AA76" s="10"/>
      <c r="AB76" s="2">
        <f t="shared" ref="AB76:AB99" si="6">MAX(B76:W76)</f>
        <v>5025</v>
      </c>
      <c r="AD76">
        <f t="shared" si="5"/>
        <v>1.6545273631840796</v>
      </c>
    </row>
    <row r="77" spans="1:48" ht="18" customHeight="1" x14ac:dyDescent="0.2">
      <c r="A77" s="1">
        <v>1997</v>
      </c>
      <c r="B77" s="6"/>
      <c r="C77" s="6"/>
      <c r="D77" s="6">
        <v>0</v>
      </c>
      <c r="E77" s="6"/>
      <c r="F77" s="6">
        <v>0</v>
      </c>
      <c r="G77" s="6"/>
      <c r="H77" s="6">
        <v>0</v>
      </c>
      <c r="I77" s="6">
        <v>1</v>
      </c>
      <c r="J77" s="6"/>
      <c r="K77" s="6"/>
      <c r="L77" s="6">
        <v>4200</v>
      </c>
      <c r="M77" s="6">
        <v>4795</v>
      </c>
      <c r="N77" s="6"/>
      <c r="O77" s="78">
        <v>6445</v>
      </c>
      <c r="P77" s="6"/>
      <c r="Q77" s="6">
        <v>3016</v>
      </c>
      <c r="R77" s="6"/>
      <c r="S77" s="6">
        <v>7</v>
      </c>
      <c r="T77" s="13"/>
      <c r="U77" s="13"/>
      <c r="V77" s="13"/>
      <c r="W77" s="13"/>
      <c r="X77" s="7">
        <v>10491</v>
      </c>
      <c r="Y77" s="7" t="s">
        <v>5</v>
      </c>
      <c r="Z77" s="10">
        <v>25</v>
      </c>
      <c r="AA77" s="10"/>
      <c r="AB77" s="2">
        <f t="shared" si="6"/>
        <v>6445</v>
      </c>
      <c r="AD77">
        <f t="shared" si="5"/>
        <v>1.6277734678044997</v>
      </c>
    </row>
    <row r="78" spans="1:48" ht="18" customHeight="1" x14ac:dyDescent="0.2">
      <c r="A78" s="1">
        <v>1998</v>
      </c>
      <c r="B78" s="6"/>
      <c r="C78" s="6">
        <v>0</v>
      </c>
      <c r="D78" s="6"/>
      <c r="E78" s="6"/>
      <c r="F78" s="6"/>
      <c r="G78" s="6"/>
      <c r="H78" s="6"/>
      <c r="I78" s="6"/>
      <c r="J78" s="6">
        <v>22</v>
      </c>
      <c r="K78" s="6">
        <v>2574</v>
      </c>
      <c r="L78" s="6"/>
      <c r="M78" s="6">
        <v>11198</v>
      </c>
      <c r="N78" s="6">
        <v>1276</v>
      </c>
      <c r="O78" s="6"/>
      <c r="P78" s="78">
        <v>13529</v>
      </c>
      <c r="Q78" s="6"/>
      <c r="R78" s="6"/>
      <c r="S78" s="6"/>
      <c r="T78" s="13"/>
      <c r="U78" s="13"/>
      <c r="V78" s="13"/>
      <c r="W78" s="13"/>
      <c r="X78" s="7">
        <v>32021</v>
      </c>
      <c r="Y78" s="7" t="s">
        <v>5</v>
      </c>
      <c r="Z78" s="10">
        <v>15</v>
      </c>
      <c r="AA78" s="10"/>
      <c r="AB78" s="2">
        <f t="shared" si="6"/>
        <v>13529</v>
      </c>
      <c r="AD78">
        <f t="shared" si="5"/>
        <v>2.3668415995269423</v>
      </c>
    </row>
    <row r="79" spans="1:48" ht="18" customHeight="1" x14ac:dyDescent="0.2">
      <c r="A79" s="1">
        <v>1999</v>
      </c>
      <c r="B79" s="6"/>
      <c r="C79" s="6"/>
      <c r="D79" s="6"/>
      <c r="E79" s="6"/>
      <c r="F79" s="6"/>
      <c r="G79" s="6">
        <v>0</v>
      </c>
      <c r="H79" s="6"/>
      <c r="I79" s="6"/>
      <c r="J79" s="6">
        <v>39</v>
      </c>
      <c r="K79" s="6">
        <v>100</v>
      </c>
      <c r="L79" s="6"/>
      <c r="M79" s="6">
        <v>2537</v>
      </c>
      <c r="N79" s="6"/>
      <c r="O79" s="6">
        <v>6850</v>
      </c>
      <c r="P79" s="6"/>
      <c r="Q79" s="6">
        <v>639</v>
      </c>
      <c r="R79" s="6"/>
      <c r="S79" s="6"/>
      <c r="T79" s="13">
        <v>1</v>
      </c>
      <c r="U79" s="13"/>
      <c r="V79" s="13"/>
      <c r="W79" s="13"/>
      <c r="X79" s="9">
        <v>14122</v>
      </c>
      <c r="Y79" s="7" t="s">
        <v>5</v>
      </c>
      <c r="Z79" s="60">
        <v>12.5</v>
      </c>
      <c r="AA79" s="60"/>
      <c r="AB79" s="2">
        <f t="shared" si="6"/>
        <v>6850</v>
      </c>
      <c r="AD79">
        <f t="shared" si="5"/>
        <v>2.0616058394160586</v>
      </c>
    </row>
    <row r="80" spans="1:48" ht="18" customHeight="1" x14ac:dyDescent="0.2">
      <c r="A80" s="1">
        <v>2000</v>
      </c>
      <c r="B80" s="6"/>
      <c r="C80" s="6"/>
      <c r="D80" s="6"/>
      <c r="E80" s="6"/>
      <c r="F80" s="6"/>
      <c r="G80" s="6"/>
      <c r="H80" s="6">
        <v>10</v>
      </c>
      <c r="I80" s="6"/>
      <c r="J80" s="6"/>
      <c r="K80" s="6">
        <v>112</v>
      </c>
      <c r="L80" s="6"/>
      <c r="M80" s="6"/>
      <c r="N80" s="78">
        <v>3732</v>
      </c>
      <c r="O80" s="6"/>
      <c r="P80" s="6">
        <v>2464</v>
      </c>
      <c r="Q80" s="6"/>
      <c r="R80" s="6">
        <v>19</v>
      </c>
      <c r="S80" s="6"/>
      <c r="T80" s="13">
        <v>4</v>
      </c>
      <c r="U80" s="13"/>
      <c r="V80" s="13"/>
      <c r="W80" s="13"/>
      <c r="X80" s="10">
        <v>10464</v>
      </c>
      <c r="Y80" s="7" t="s">
        <v>5</v>
      </c>
      <c r="Z80" s="60">
        <v>10</v>
      </c>
      <c r="AA80" s="60"/>
      <c r="AB80" s="2">
        <f t="shared" si="6"/>
        <v>3732</v>
      </c>
      <c r="AD80">
        <f t="shared" si="5"/>
        <v>2.8038585209003215</v>
      </c>
    </row>
    <row r="81" spans="1:48" ht="18" customHeight="1" x14ac:dyDescent="0.2">
      <c r="A81" s="1">
        <v>2001</v>
      </c>
      <c r="B81" s="6"/>
      <c r="C81" s="6"/>
      <c r="D81" s="6"/>
      <c r="E81" s="6">
        <v>0</v>
      </c>
      <c r="F81" s="6"/>
      <c r="G81" s="6">
        <v>0</v>
      </c>
      <c r="H81" s="6"/>
      <c r="I81" s="6"/>
      <c r="J81" s="6">
        <v>173</v>
      </c>
      <c r="K81" s="6"/>
      <c r="L81" s="6">
        <v>1350</v>
      </c>
      <c r="M81" s="6">
        <v>3929</v>
      </c>
      <c r="N81" s="78">
        <v>5993</v>
      </c>
      <c r="O81" s="6"/>
      <c r="P81" s="6"/>
      <c r="Q81" s="6"/>
      <c r="R81" s="6">
        <v>46</v>
      </c>
      <c r="S81" s="6"/>
      <c r="T81" s="13">
        <v>1</v>
      </c>
      <c r="U81" s="13"/>
      <c r="V81" s="13"/>
      <c r="W81" s="13"/>
      <c r="X81" s="7">
        <v>11932</v>
      </c>
      <c r="Y81" s="7" t="s">
        <v>5</v>
      </c>
      <c r="Z81" s="60">
        <v>15</v>
      </c>
      <c r="AA81" s="60"/>
      <c r="AB81" s="2">
        <f t="shared" si="6"/>
        <v>5993</v>
      </c>
      <c r="AD81">
        <f t="shared" si="5"/>
        <v>1.9909894877356917</v>
      </c>
    </row>
    <row r="82" spans="1:48" ht="18" customHeight="1" x14ac:dyDescent="0.2">
      <c r="A82" s="1">
        <v>2002</v>
      </c>
      <c r="B82" s="6"/>
      <c r="C82" s="6"/>
      <c r="D82" s="6"/>
      <c r="E82" s="6"/>
      <c r="F82" s="6"/>
      <c r="G82" s="6">
        <v>1</v>
      </c>
      <c r="H82" s="6"/>
      <c r="I82" s="6">
        <v>11</v>
      </c>
      <c r="J82" s="6"/>
      <c r="K82" s="6">
        <v>43</v>
      </c>
      <c r="L82" s="6"/>
      <c r="M82" s="6"/>
      <c r="N82" s="78">
        <v>2049</v>
      </c>
      <c r="O82" s="6"/>
      <c r="P82" s="6"/>
      <c r="Q82" s="6">
        <v>181</v>
      </c>
      <c r="R82" s="6"/>
      <c r="S82" s="6"/>
      <c r="T82" s="13"/>
      <c r="U82" s="13"/>
      <c r="V82" s="13"/>
      <c r="W82" s="13"/>
      <c r="X82" s="7">
        <v>5851</v>
      </c>
      <c r="Y82" s="7" t="s">
        <v>5</v>
      </c>
      <c r="Z82" s="60">
        <v>14</v>
      </c>
      <c r="AA82" s="60"/>
      <c r="AB82" s="2">
        <f t="shared" si="6"/>
        <v>2049</v>
      </c>
      <c r="AD82">
        <f t="shared" si="5"/>
        <v>2.8555392874572965</v>
      </c>
    </row>
    <row r="83" spans="1:48" ht="18" customHeight="1" x14ac:dyDescent="0.2">
      <c r="A83" s="1">
        <v>2003</v>
      </c>
      <c r="B83" s="6"/>
      <c r="C83" s="6"/>
      <c r="D83" s="6"/>
      <c r="E83" s="6">
        <v>0</v>
      </c>
      <c r="F83" s="6"/>
      <c r="G83" s="6">
        <v>0</v>
      </c>
      <c r="H83" s="6"/>
      <c r="I83" s="6">
        <v>30</v>
      </c>
      <c r="J83" s="6"/>
      <c r="K83" s="6">
        <v>44</v>
      </c>
      <c r="L83" s="6"/>
      <c r="M83" s="78">
        <v>5648</v>
      </c>
      <c r="N83" s="6"/>
      <c r="O83" s="6"/>
      <c r="P83" s="6"/>
      <c r="Q83" s="6">
        <v>1040</v>
      </c>
      <c r="R83" s="6"/>
      <c r="S83" s="6"/>
      <c r="T83" s="13"/>
      <c r="U83" s="13"/>
      <c r="V83" s="13"/>
      <c r="W83" s="13"/>
      <c r="X83" s="7">
        <v>7619</v>
      </c>
      <c r="Y83" s="7" t="s">
        <v>5</v>
      </c>
      <c r="Z83" s="60">
        <v>21</v>
      </c>
      <c r="AA83" s="60"/>
      <c r="AB83" s="2">
        <f t="shared" si="6"/>
        <v>5648</v>
      </c>
      <c r="AD83">
        <f t="shared" si="5"/>
        <v>1.348973087818697</v>
      </c>
    </row>
    <row r="84" spans="1:48" ht="18" customHeight="1" x14ac:dyDescent="0.2">
      <c r="A84" s="1">
        <v>2004</v>
      </c>
      <c r="B84" s="6"/>
      <c r="C84" s="6"/>
      <c r="D84" s="6"/>
      <c r="E84" s="6"/>
      <c r="F84" s="6"/>
      <c r="G84" s="6"/>
      <c r="H84" s="6">
        <v>0</v>
      </c>
      <c r="I84" s="6"/>
      <c r="J84" s="6">
        <v>6</v>
      </c>
      <c r="K84" s="6"/>
      <c r="L84" s="6">
        <v>4675</v>
      </c>
      <c r="M84" s="6"/>
      <c r="N84" s="78">
        <v>17430</v>
      </c>
      <c r="O84" s="6"/>
      <c r="P84" s="6"/>
      <c r="Q84" s="6">
        <v>289</v>
      </c>
      <c r="R84" s="6"/>
      <c r="S84" s="6"/>
      <c r="T84" s="13"/>
      <c r="U84" s="13"/>
      <c r="V84" s="13"/>
      <c r="W84" s="13"/>
      <c r="X84" s="7">
        <v>26071</v>
      </c>
      <c r="Y84" s="7" t="s">
        <v>5</v>
      </c>
      <c r="Z84" s="60">
        <v>15</v>
      </c>
      <c r="AA84" s="60"/>
      <c r="AB84" s="2">
        <f t="shared" si="6"/>
        <v>17430</v>
      </c>
      <c r="AD84">
        <f t="shared" si="5"/>
        <v>1.4957544463568559</v>
      </c>
    </row>
    <row r="85" spans="1:48" ht="18" customHeight="1" x14ac:dyDescent="0.2">
      <c r="A85" s="1">
        <v>2005</v>
      </c>
      <c r="B85" s="6"/>
      <c r="C85" s="6"/>
      <c r="D85" s="6"/>
      <c r="E85" s="6"/>
      <c r="F85" s="6"/>
      <c r="G85" s="6"/>
      <c r="H85" s="6">
        <v>2</v>
      </c>
      <c r="I85" s="6"/>
      <c r="J85" s="6">
        <v>1</v>
      </c>
      <c r="K85" s="6">
        <v>296</v>
      </c>
      <c r="L85" s="6"/>
      <c r="M85" s="98">
        <v>5554</v>
      </c>
      <c r="N85" s="97">
        <v>4924</v>
      </c>
      <c r="O85" s="6"/>
      <c r="P85" s="6"/>
      <c r="Q85" s="6">
        <v>114</v>
      </c>
      <c r="R85" s="6"/>
      <c r="S85" s="6">
        <v>1</v>
      </c>
      <c r="T85" s="13"/>
      <c r="U85" s="13"/>
      <c r="V85" s="13"/>
      <c r="W85" s="13"/>
      <c r="X85" s="11">
        <v>9305</v>
      </c>
      <c r="Y85" s="7" t="s">
        <v>5</v>
      </c>
      <c r="Z85" s="60">
        <v>17.5</v>
      </c>
      <c r="AA85" s="60"/>
      <c r="AB85" s="2">
        <f t="shared" si="6"/>
        <v>5554</v>
      </c>
      <c r="AD85">
        <f t="shared" si="5"/>
        <v>1.6753691033489377</v>
      </c>
    </row>
    <row r="86" spans="1:48" ht="18" customHeight="1" x14ac:dyDescent="0.2">
      <c r="A86" s="1">
        <v>2006</v>
      </c>
      <c r="B86" s="6"/>
      <c r="C86" s="6"/>
      <c r="D86" s="6"/>
      <c r="E86" s="6"/>
      <c r="F86" s="6"/>
      <c r="G86" s="6"/>
      <c r="H86" s="6">
        <v>1</v>
      </c>
      <c r="I86" s="6">
        <v>5</v>
      </c>
      <c r="J86" s="6"/>
      <c r="K86" s="6">
        <v>108</v>
      </c>
      <c r="L86" s="6">
        <v>642</v>
      </c>
      <c r="M86" s="97">
        <v>2059</v>
      </c>
      <c r="N86" s="78">
        <v>2424</v>
      </c>
      <c r="O86" s="6"/>
      <c r="P86" s="6"/>
      <c r="Q86" s="6">
        <v>62</v>
      </c>
      <c r="R86" s="6"/>
      <c r="S86" s="6">
        <v>31</v>
      </c>
      <c r="T86" s="13"/>
      <c r="U86" s="13">
        <v>1</v>
      </c>
      <c r="V86" s="13"/>
      <c r="W86" s="13"/>
      <c r="X86" s="12">
        <v>4351</v>
      </c>
      <c r="Y86" s="7" t="s">
        <v>5</v>
      </c>
      <c r="Z86" s="60">
        <v>12</v>
      </c>
      <c r="AA86" s="60"/>
      <c r="AB86" s="2">
        <f t="shared" si="6"/>
        <v>2424</v>
      </c>
      <c r="AD86">
        <f t="shared" si="5"/>
        <v>1.79496699669967</v>
      </c>
    </row>
    <row r="87" spans="1:48" ht="18" customHeight="1" x14ac:dyDescent="0.2">
      <c r="A87" s="1">
        <v>2007</v>
      </c>
      <c r="B87" s="6"/>
      <c r="C87" s="6"/>
      <c r="D87" s="6"/>
      <c r="E87" s="6"/>
      <c r="F87" s="6">
        <v>0</v>
      </c>
      <c r="G87" s="6"/>
      <c r="H87" s="6"/>
      <c r="I87" s="6">
        <v>2</v>
      </c>
      <c r="J87" s="6"/>
      <c r="K87" s="6">
        <v>205</v>
      </c>
      <c r="L87" s="6"/>
      <c r="M87" s="78">
        <v>426</v>
      </c>
      <c r="N87" s="6"/>
      <c r="O87" s="6"/>
      <c r="P87" s="6"/>
      <c r="Q87" s="6"/>
      <c r="R87" s="6">
        <v>11</v>
      </c>
      <c r="S87" s="6"/>
      <c r="T87" s="13"/>
      <c r="U87" s="13"/>
      <c r="V87" s="13"/>
      <c r="W87" s="13"/>
      <c r="X87" s="12">
        <v>1012</v>
      </c>
      <c r="Y87" s="7" t="s">
        <v>5</v>
      </c>
      <c r="Z87" s="53">
        <v>12</v>
      </c>
      <c r="AA87" s="53"/>
      <c r="AB87" s="2">
        <f t="shared" si="6"/>
        <v>426</v>
      </c>
      <c r="AD87">
        <f t="shared" si="5"/>
        <v>2.375586854460094</v>
      </c>
    </row>
    <row r="88" spans="1:48" s="55" customFormat="1" ht="18" customHeight="1" x14ac:dyDescent="0.2">
      <c r="A88" s="13">
        <v>2008</v>
      </c>
      <c r="B88" s="13"/>
      <c r="C88" s="13"/>
      <c r="D88" s="13"/>
      <c r="E88" s="13"/>
      <c r="F88" s="13">
        <v>0</v>
      </c>
      <c r="G88" s="13"/>
      <c r="H88" s="13"/>
      <c r="I88" s="13">
        <v>0</v>
      </c>
      <c r="J88" s="13">
        <v>13</v>
      </c>
      <c r="K88" s="13"/>
      <c r="L88" s="13">
        <v>289</v>
      </c>
      <c r="M88" s="87">
        <v>941</v>
      </c>
      <c r="N88" s="13"/>
      <c r="O88" s="13"/>
      <c r="P88" s="13"/>
      <c r="Q88" s="13">
        <v>55</v>
      </c>
      <c r="R88" s="13"/>
      <c r="S88" s="13"/>
      <c r="T88" s="13"/>
      <c r="U88" s="13"/>
      <c r="V88" s="13"/>
      <c r="W88" s="13"/>
      <c r="X88" s="13">
        <v>1762</v>
      </c>
      <c r="Y88" s="7" t="s">
        <v>5</v>
      </c>
      <c r="Z88" s="58">
        <v>12</v>
      </c>
      <c r="AA88" s="58"/>
      <c r="AB88" s="2">
        <f t="shared" si="6"/>
        <v>941</v>
      </c>
      <c r="AC88"/>
      <c r="AD88">
        <f t="shared" si="5"/>
        <v>1.8724760892667376</v>
      </c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ht="18" customHeight="1" x14ac:dyDescent="0.2">
      <c r="A89" s="13">
        <v>2009</v>
      </c>
      <c r="B89" s="13"/>
      <c r="C89" s="13"/>
      <c r="D89" s="13"/>
      <c r="E89" s="13"/>
      <c r="F89" s="13"/>
      <c r="G89" s="13">
        <v>0</v>
      </c>
      <c r="H89" s="13"/>
      <c r="I89" s="13">
        <v>1</v>
      </c>
      <c r="J89" s="13">
        <v>20</v>
      </c>
      <c r="K89" s="13"/>
      <c r="L89" s="13">
        <v>202</v>
      </c>
      <c r="M89" s="87">
        <v>3659</v>
      </c>
      <c r="N89" s="13">
        <v>1850</v>
      </c>
      <c r="O89" s="13"/>
      <c r="P89" s="13"/>
      <c r="Q89" s="13">
        <v>92</v>
      </c>
      <c r="R89" s="13"/>
      <c r="S89" s="13"/>
      <c r="T89" s="13"/>
      <c r="U89" s="13"/>
      <c r="V89" s="13"/>
      <c r="W89" s="13"/>
      <c r="X89" s="13">
        <v>5000</v>
      </c>
      <c r="Y89" s="7" t="s">
        <v>5</v>
      </c>
      <c r="Z89" s="58">
        <v>12</v>
      </c>
      <c r="AA89" s="58"/>
      <c r="AB89" s="2">
        <f t="shared" si="6"/>
        <v>3659</v>
      </c>
      <c r="AD89">
        <f t="shared" si="5"/>
        <v>1.3664935774801859</v>
      </c>
    </row>
    <row r="90" spans="1:48" ht="18" customHeight="1" x14ac:dyDescent="0.2">
      <c r="A90" s="13">
        <v>2010</v>
      </c>
      <c r="B90" s="13"/>
      <c r="C90" s="13"/>
      <c r="D90" s="13"/>
      <c r="E90" s="13"/>
      <c r="F90" s="13"/>
      <c r="G90" s="13"/>
      <c r="H90" s="1">
        <v>13</v>
      </c>
      <c r="I90" s="1"/>
      <c r="J90" s="1">
        <v>188</v>
      </c>
      <c r="K90" s="1"/>
      <c r="L90" s="1"/>
      <c r="M90" s="88">
        <v>1188</v>
      </c>
      <c r="N90" s="1">
        <v>1007</v>
      </c>
      <c r="O90" s="1"/>
      <c r="P90" s="1">
        <v>42</v>
      </c>
      <c r="Q90" s="13"/>
      <c r="R90" s="13"/>
      <c r="S90" s="13"/>
      <c r="T90" s="13"/>
      <c r="U90" s="13"/>
      <c r="V90" s="13"/>
      <c r="W90" s="13"/>
      <c r="X90" s="13"/>
      <c r="Y90" s="7"/>
      <c r="Z90" s="58"/>
      <c r="AA90" s="58"/>
      <c r="AB90" s="2">
        <f t="shared" si="6"/>
        <v>1188</v>
      </c>
    </row>
    <row r="91" spans="1:48" ht="18" customHeight="1" x14ac:dyDescent="0.2">
      <c r="A91" s="13">
        <v>2011</v>
      </c>
      <c r="B91" s="13"/>
      <c r="C91" s="13"/>
      <c r="D91" s="13"/>
      <c r="E91" s="13"/>
      <c r="F91" s="13"/>
      <c r="G91" s="13">
        <v>0</v>
      </c>
      <c r="H91" s="13">
        <v>0</v>
      </c>
      <c r="I91" s="13"/>
      <c r="J91" s="13">
        <v>172</v>
      </c>
      <c r="K91" s="13">
        <v>316</v>
      </c>
      <c r="L91" s="87">
        <v>961</v>
      </c>
      <c r="M91" s="13"/>
      <c r="N91" s="89">
        <v>837</v>
      </c>
      <c r="O91" s="13">
        <v>572</v>
      </c>
      <c r="P91" s="13"/>
      <c r="Q91" s="13">
        <v>38</v>
      </c>
      <c r="R91" s="13"/>
      <c r="S91" s="13"/>
      <c r="T91" s="13">
        <v>5</v>
      </c>
      <c r="U91" s="13"/>
      <c r="V91" s="13"/>
      <c r="W91" s="13"/>
      <c r="X91" s="13">
        <v>1600</v>
      </c>
      <c r="Y91" s="7" t="s">
        <v>5</v>
      </c>
      <c r="Z91" s="58">
        <v>20</v>
      </c>
      <c r="AA91" s="58"/>
      <c r="AB91" s="2">
        <f t="shared" si="6"/>
        <v>961</v>
      </c>
      <c r="AD91">
        <f t="shared" si="5"/>
        <v>1.6649323621227887</v>
      </c>
    </row>
    <row r="92" spans="1:48" ht="18" customHeight="1" x14ac:dyDescent="0.2">
      <c r="A92" s="13">
        <v>2012</v>
      </c>
      <c r="B92" s="13"/>
      <c r="C92" s="13"/>
      <c r="D92" s="13"/>
      <c r="E92" s="13"/>
      <c r="F92" s="13">
        <v>0</v>
      </c>
      <c r="G92" s="13">
        <v>0</v>
      </c>
      <c r="H92" s="13">
        <v>1</v>
      </c>
      <c r="I92" s="13"/>
      <c r="J92" s="13">
        <v>21</v>
      </c>
      <c r="K92" s="13"/>
      <c r="L92" s="89"/>
      <c r="M92" s="13">
        <v>2573</v>
      </c>
      <c r="N92" s="89"/>
      <c r="O92" s="13">
        <v>396</v>
      </c>
      <c r="P92" s="13"/>
      <c r="Q92" s="13"/>
      <c r="R92" s="13"/>
      <c r="S92" s="13"/>
      <c r="T92" s="13"/>
      <c r="U92" s="13"/>
      <c r="V92" s="13"/>
      <c r="W92" s="13"/>
      <c r="X92" s="13">
        <v>3954</v>
      </c>
      <c r="Y92" s="7" t="s">
        <v>5</v>
      </c>
      <c r="Z92" s="58">
        <v>15</v>
      </c>
      <c r="AA92" s="58"/>
      <c r="AB92" s="2">
        <f t="shared" si="6"/>
        <v>2573</v>
      </c>
      <c r="AD92">
        <f t="shared" si="5"/>
        <v>1.5367275553828217</v>
      </c>
    </row>
    <row r="93" spans="1:48" ht="18" customHeight="1" x14ac:dyDescent="0.2">
      <c r="A93" s="13">
        <v>2013</v>
      </c>
      <c r="B93" s="13"/>
      <c r="C93" s="13"/>
      <c r="D93" s="13"/>
      <c r="E93" s="13"/>
      <c r="F93" s="109">
        <v>1</v>
      </c>
      <c r="G93" s="13"/>
      <c r="H93" s="109">
        <v>0</v>
      </c>
      <c r="I93" s="109">
        <v>281</v>
      </c>
      <c r="J93" s="13"/>
      <c r="K93" s="109">
        <v>1108</v>
      </c>
      <c r="L93" s="89"/>
      <c r="M93" s="155">
        <v>1375</v>
      </c>
      <c r="N93" s="89"/>
      <c r="O93" s="109">
        <v>269</v>
      </c>
      <c r="P93" s="13"/>
      <c r="Q93" s="13"/>
      <c r="R93" s="13"/>
      <c r="S93" s="13"/>
      <c r="T93" s="13"/>
      <c r="U93" s="13"/>
      <c r="V93" s="13"/>
      <c r="W93" s="13"/>
      <c r="X93" s="13">
        <v>2424</v>
      </c>
      <c r="Y93" s="7" t="s">
        <v>5</v>
      </c>
      <c r="Z93" s="58">
        <v>20</v>
      </c>
      <c r="AA93" s="58"/>
      <c r="AB93" s="2">
        <f t="shared" si="6"/>
        <v>1375</v>
      </c>
      <c r="AD93">
        <f t="shared" si="5"/>
        <v>1.762909090909091</v>
      </c>
    </row>
    <row r="94" spans="1:48" ht="18" customHeight="1" x14ac:dyDescent="0.2">
      <c r="A94" s="13">
        <v>2014</v>
      </c>
      <c r="B94" s="13"/>
      <c r="C94" s="13"/>
      <c r="D94" s="13"/>
      <c r="E94" s="13"/>
      <c r="F94" s="108">
        <v>0</v>
      </c>
      <c r="G94" s="13"/>
      <c r="H94" s="109">
        <v>0</v>
      </c>
      <c r="I94" s="109">
        <v>49</v>
      </c>
      <c r="J94" s="13"/>
      <c r="K94" s="109">
        <v>526</v>
      </c>
      <c r="L94" s="13"/>
      <c r="M94" s="109">
        <v>3114</v>
      </c>
      <c r="N94" s="13"/>
      <c r="O94" s="13"/>
      <c r="P94" s="109">
        <v>53</v>
      </c>
      <c r="Q94" s="13"/>
      <c r="R94" s="13"/>
      <c r="S94" s="13"/>
      <c r="T94" s="13"/>
      <c r="U94" s="13"/>
      <c r="V94" s="13"/>
      <c r="W94" s="13"/>
      <c r="X94" s="13">
        <v>5188</v>
      </c>
      <c r="Y94" s="7" t="s">
        <v>5</v>
      </c>
      <c r="Z94" s="58">
        <v>15</v>
      </c>
      <c r="AA94" s="58"/>
      <c r="AB94" s="2">
        <f t="shared" si="6"/>
        <v>3114</v>
      </c>
      <c r="AD94">
        <f t="shared" si="5"/>
        <v>1.666024405908799</v>
      </c>
    </row>
    <row r="95" spans="1:48" ht="18" customHeight="1" thickBot="1" x14ac:dyDescent="0.25">
      <c r="A95" s="13">
        <v>2015</v>
      </c>
      <c r="B95" s="13"/>
      <c r="C95" s="13"/>
      <c r="D95" s="13"/>
      <c r="E95" s="13"/>
      <c r="F95" s="109">
        <v>5</v>
      </c>
      <c r="G95" s="13">
        <v>7</v>
      </c>
      <c r="H95" s="13"/>
      <c r="I95" s="13"/>
      <c r="J95" s="13">
        <v>787</v>
      </c>
      <c r="K95" s="13">
        <v>985</v>
      </c>
      <c r="L95" s="13">
        <v>3943</v>
      </c>
      <c r="M95" s="13"/>
      <c r="N95" s="13">
        <v>10086</v>
      </c>
      <c r="O95" s="13">
        <v>456</v>
      </c>
      <c r="P95" s="13"/>
      <c r="Q95" s="13"/>
      <c r="R95" s="13"/>
      <c r="S95" s="13"/>
      <c r="T95" s="13"/>
      <c r="U95" s="13"/>
      <c r="V95" s="13"/>
      <c r="W95" s="13"/>
      <c r="X95" s="13">
        <v>13465</v>
      </c>
      <c r="Y95" s="7" t="s">
        <v>5</v>
      </c>
      <c r="Z95" s="58">
        <v>14</v>
      </c>
      <c r="AA95" s="58"/>
      <c r="AB95" s="2">
        <f t="shared" si="6"/>
        <v>10086</v>
      </c>
      <c r="AD95">
        <f t="shared" si="5"/>
        <v>1.3350188379932579</v>
      </c>
    </row>
    <row r="96" spans="1:48" ht="18" customHeight="1" thickBot="1" x14ac:dyDescent="0.25">
      <c r="A96" s="13">
        <v>2016</v>
      </c>
      <c r="B96" s="13"/>
      <c r="C96" s="13"/>
      <c r="D96" s="13"/>
      <c r="E96" s="13"/>
      <c r="F96" s="13"/>
      <c r="G96" s="109">
        <v>5</v>
      </c>
      <c r="H96" s="109">
        <v>13</v>
      </c>
      <c r="I96" s="338">
        <v>249</v>
      </c>
      <c r="J96" s="338">
        <v>264</v>
      </c>
      <c r="K96" s="13"/>
      <c r="L96" s="321">
        <v>2954</v>
      </c>
      <c r="M96" s="358"/>
      <c r="N96" s="347"/>
      <c r="O96" s="381">
        <v>3149</v>
      </c>
      <c r="P96" s="13"/>
      <c r="Q96" s="321">
        <v>38</v>
      </c>
      <c r="R96" s="13"/>
      <c r="S96" s="13"/>
      <c r="T96" s="13"/>
      <c r="U96" s="13"/>
      <c r="V96" s="13"/>
      <c r="W96" s="13"/>
      <c r="X96" s="13">
        <v>7851</v>
      </c>
      <c r="Y96" s="7"/>
      <c r="Z96" s="58">
        <v>15</v>
      </c>
      <c r="AA96" s="58"/>
      <c r="AB96" s="2">
        <f t="shared" si="6"/>
        <v>3149</v>
      </c>
      <c r="AD96">
        <f t="shared" si="5"/>
        <v>2.4931724356938711</v>
      </c>
    </row>
    <row r="97" spans="1:48" ht="18" customHeight="1" x14ac:dyDescent="0.2">
      <c r="A97" s="13">
        <v>2017</v>
      </c>
      <c r="B97" s="13"/>
      <c r="C97" s="13"/>
      <c r="D97" s="13"/>
      <c r="E97" s="13"/>
      <c r="F97" s="109">
        <v>0</v>
      </c>
      <c r="G97" s="447">
        <v>0</v>
      </c>
      <c r="H97" s="109">
        <v>149</v>
      </c>
      <c r="I97" s="13"/>
      <c r="J97" s="109">
        <v>254</v>
      </c>
      <c r="K97" s="109">
        <v>799</v>
      </c>
      <c r="L97" s="13"/>
      <c r="M97" s="109">
        <v>573</v>
      </c>
      <c r="N97" s="155">
        <v>210</v>
      </c>
      <c r="O97" s="13"/>
      <c r="P97" s="13"/>
      <c r="Q97" s="13"/>
      <c r="R97" s="13"/>
      <c r="S97" s="13"/>
      <c r="T97" s="13"/>
      <c r="U97" s="13"/>
      <c r="V97" s="13"/>
      <c r="W97" s="13"/>
      <c r="X97" s="13">
        <v>1549</v>
      </c>
      <c r="Y97" s="7"/>
      <c r="Z97" s="58">
        <v>15</v>
      </c>
      <c r="AA97" s="58"/>
      <c r="AB97" s="2">
        <f t="shared" si="6"/>
        <v>799</v>
      </c>
      <c r="AD97">
        <f t="shared" si="5"/>
        <v>1.9386733416770963</v>
      </c>
    </row>
    <row r="98" spans="1:48" ht="18" customHeight="1" x14ac:dyDescent="0.2">
      <c r="A98" s="13">
        <v>2018</v>
      </c>
      <c r="B98" s="13"/>
      <c r="C98" s="13"/>
      <c r="D98" s="13"/>
      <c r="E98" s="13"/>
      <c r="F98" s="109">
        <v>0</v>
      </c>
      <c r="G98" s="109">
        <v>2</v>
      </c>
      <c r="H98" s="109">
        <v>2</v>
      </c>
      <c r="I98" s="109">
        <v>36</v>
      </c>
      <c r="J98" s="13"/>
      <c r="K98" s="109">
        <v>269</v>
      </c>
      <c r="L98" s="13"/>
      <c r="M98" s="13"/>
      <c r="N98" s="13"/>
      <c r="O98" s="109">
        <v>259</v>
      </c>
      <c r="P98" s="13"/>
      <c r="Q98" s="13"/>
      <c r="R98" s="13"/>
      <c r="S98" s="13"/>
      <c r="T98" s="13"/>
      <c r="U98" s="13"/>
      <c r="V98" s="13"/>
      <c r="W98" s="13"/>
      <c r="X98" s="13">
        <v>803</v>
      </c>
      <c r="Y98" s="7"/>
      <c r="Z98" s="58">
        <v>15</v>
      </c>
      <c r="AA98" s="58"/>
      <c r="AB98" s="2">
        <f t="shared" si="6"/>
        <v>269</v>
      </c>
      <c r="AD98">
        <f>X98/MAX(B98:W98)</f>
        <v>2.9851301115241635</v>
      </c>
    </row>
    <row r="99" spans="1:48" ht="18" customHeight="1" x14ac:dyDescent="0.2">
      <c r="A99" s="13">
        <v>2019</v>
      </c>
      <c r="B99" s="13"/>
      <c r="C99" s="13"/>
      <c r="D99" s="13"/>
      <c r="E99" s="13"/>
      <c r="F99" s="109">
        <v>1</v>
      </c>
      <c r="G99" s="13"/>
      <c r="H99" s="109">
        <v>8</v>
      </c>
      <c r="I99" s="109">
        <v>7</v>
      </c>
      <c r="J99" s="13"/>
      <c r="K99" s="590">
        <v>114</v>
      </c>
      <c r="L99" s="13"/>
      <c r="M99" s="13"/>
      <c r="N99" s="155">
        <v>625</v>
      </c>
      <c r="O99" s="109">
        <v>219</v>
      </c>
      <c r="P99" s="13"/>
      <c r="Q99" s="13"/>
      <c r="R99" s="13"/>
      <c r="S99" s="13"/>
      <c r="T99" s="13"/>
      <c r="U99" s="13"/>
      <c r="V99" s="13"/>
      <c r="W99" s="13"/>
      <c r="X99" s="13">
        <v>886</v>
      </c>
      <c r="Y99" s="7"/>
      <c r="Z99" s="58">
        <v>15</v>
      </c>
      <c r="AA99" s="58"/>
      <c r="AB99" s="2">
        <f t="shared" si="6"/>
        <v>625</v>
      </c>
      <c r="AD99">
        <f>X99/MAX(B99:W99)</f>
        <v>1.4176</v>
      </c>
    </row>
    <row r="100" spans="1:48" ht="18" customHeight="1" x14ac:dyDescent="0.2">
      <c r="A100" s="13">
        <v>2020</v>
      </c>
      <c r="B100" s="13"/>
      <c r="C100" s="13"/>
      <c r="D100" s="13"/>
      <c r="E100" s="13"/>
      <c r="F100" s="109">
        <v>0</v>
      </c>
      <c r="G100" s="13"/>
      <c r="H100" s="109">
        <v>1</v>
      </c>
      <c r="I100" s="109">
        <v>4</v>
      </c>
      <c r="J100" s="109">
        <v>159</v>
      </c>
      <c r="K100" s="109">
        <v>224</v>
      </c>
      <c r="L100" s="13"/>
      <c r="M100" s="590">
        <v>902</v>
      </c>
      <c r="N100" s="13"/>
      <c r="O100" s="155">
        <v>543</v>
      </c>
      <c r="P100" s="13"/>
      <c r="Q100" s="13"/>
      <c r="R100" s="13"/>
      <c r="S100" s="13"/>
      <c r="T100" s="13"/>
      <c r="U100" s="13"/>
      <c r="V100" s="13"/>
      <c r="W100" s="13"/>
      <c r="X100" s="13">
        <v>1629</v>
      </c>
      <c r="Y100" s="7" t="s">
        <v>5</v>
      </c>
      <c r="Z100" s="58">
        <v>15</v>
      </c>
      <c r="AA100" s="58"/>
      <c r="AB100" s="2">
        <f>MAX(B100:W100)</f>
        <v>902</v>
      </c>
      <c r="AD100">
        <f>X100/MAX(B100:W100)</f>
        <v>1.8059866962305986</v>
      </c>
    </row>
    <row r="101" spans="1:48" s="150" customFormat="1" ht="18" customHeight="1" x14ac:dyDescent="0.2">
      <c r="A101" s="89">
        <v>2021</v>
      </c>
      <c r="B101" s="89"/>
      <c r="C101" s="89"/>
      <c r="D101" s="89"/>
      <c r="E101" s="89"/>
      <c r="F101" s="89"/>
      <c r="G101" s="200">
        <v>0</v>
      </c>
      <c r="H101" s="186">
        <v>5</v>
      </c>
      <c r="I101" s="186">
        <v>66</v>
      </c>
      <c r="J101" s="893"/>
      <c r="K101" s="821">
        <v>183</v>
      </c>
      <c r="L101" s="894"/>
      <c r="M101" s="539">
        <f>590+4</f>
        <v>594</v>
      </c>
      <c r="N101" s="821">
        <f>337+5</f>
        <v>342</v>
      </c>
      <c r="O101" s="895"/>
      <c r="P101" s="896"/>
      <c r="Q101" s="186">
        <v>1</v>
      </c>
      <c r="R101" s="89"/>
      <c r="S101" s="89"/>
      <c r="T101" s="89"/>
      <c r="U101" s="89"/>
      <c r="V101" s="89"/>
      <c r="W101" s="89"/>
      <c r="X101" s="89">
        <v>1175</v>
      </c>
      <c r="Y101" s="11"/>
      <c r="Z101" s="92"/>
      <c r="AA101" s="92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</row>
    <row r="102" spans="1:48" s="150" customFormat="1" ht="18" customHeight="1" x14ac:dyDescent="0.2">
      <c r="A102" s="89">
        <v>2022</v>
      </c>
      <c r="B102" s="89"/>
      <c r="C102" s="89"/>
      <c r="D102" s="89"/>
      <c r="E102" s="89"/>
      <c r="F102" s="89"/>
      <c r="G102" s="975">
        <v>1</v>
      </c>
      <c r="H102" s="186">
        <v>0</v>
      </c>
      <c r="I102" s="187"/>
      <c r="J102" s="186">
        <v>7</v>
      </c>
      <c r="K102" s="186">
        <v>8</v>
      </c>
      <c r="L102" s="807"/>
      <c r="M102" s="977"/>
      <c r="N102" s="978"/>
      <c r="O102" s="539">
        <v>486</v>
      </c>
      <c r="P102" s="187"/>
      <c r="Q102" s="799"/>
      <c r="R102" s="89"/>
      <c r="S102" s="89"/>
      <c r="T102" s="89"/>
      <c r="U102" s="89"/>
      <c r="V102" s="89"/>
      <c r="W102" s="89"/>
      <c r="X102" s="89">
        <v>1230</v>
      </c>
      <c r="Y102" s="11"/>
      <c r="Z102" s="92"/>
      <c r="AA102" s="92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</row>
    <row r="103" spans="1:48" s="150" customFormat="1" ht="18" customHeight="1" x14ac:dyDescent="0.2">
      <c r="A103" s="89">
        <v>2023</v>
      </c>
      <c r="B103" s="89"/>
      <c r="C103" s="89"/>
      <c r="D103" s="89"/>
      <c r="E103" s="109">
        <v>2</v>
      </c>
      <c r="F103" s="89"/>
      <c r="G103" s="109">
        <v>4</v>
      </c>
      <c r="H103" s="89"/>
      <c r="I103" s="109">
        <v>97</v>
      </c>
      <c r="J103" s="89"/>
      <c r="K103" s="109">
        <v>266</v>
      </c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11"/>
      <c r="Z103" s="92"/>
      <c r="AA103" s="92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</row>
    <row r="104" spans="1:48" ht="18" customHeight="1" x14ac:dyDescent="0.2">
      <c r="A104" s="64" t="s">
        <v>17</v>
      </c>
      <c r="B104" s="16"/>
      <c r="C104" s="16">
        <f>AVERAGE(C75:C95)</f>
        <v>0</v>
      </c>
      <c r="D104" s="16">
        <f t="shared" ref="D104:U104" si="7">AVERAGE(D75:D95)</f>
        <v>0</v>
      </c>
      <c r="E104" s="16">
        <f t="shared" si="7"/>
        <v>0</v>
      </c>
      <c r="F104" s="16">
        <f t="shared" si="7"/>
        <v>0.75</v>
      </c>
      <c r="G104" s="16">
        <f t="shared" si="7"/>
        <v>1</v>
      </c>
      <c r="H104" s="16">
        <f t="shared" si="7"/>
        <v>2.4545454545454546</v>
      </c>
      <c r="I104" s="16">
        <f t="shared" si="7"/>
        <v>34.636363636363633</v>
      </c>
      <c r="J104" s="16">
        <f t="shared" si="7"/>
        <v>119.23076923076923</v>
      </c>
      <c r="K104" s="16">
        <f t="shared" si="7"/>
        <v>503.61538461538464</v>
      </c>
      <c r="L104" s="16">
        <f t="shared" si="7"/>
        <v>1920.8888888888889</v>
      </c>
      <c r="M104" s="16">
        <f t="shared" si="7"/>
        <v>3567.7333333333331</v>
      </c>
      <c r="N104" s="16">
        <f t="shared" si="7"/>
        <v>4696.4615384615381</v>
      </c>
      <c r="O104" s="16">
        <f t="shared" si="7"/>
        <v>2551.1428571428573</v>
      </c>
      <c r="P104" s="16">
        <f t="shared" si="7"/>
        <v>4022</v>
      </c>
      <c r="Q104" s="16">
        <f t="shared" si="7"/>
        <v>504.63636363636363</v>
      </c>
      <c r="R104" s="16">
        <f t="shared" si="7"/>
        <v>25.333333333333332</v>
      </c>
      <c r="S104" s="16">
        <f t="shared" si="7"/>
        <v>13</v>
      </c>
      <c r="T104" s="16">
        <f t="shared" si="7"/>
        <v>2.75</v>
      </c>
      <c r="U104" s="16">
        <f t="shared" si="7"/>
        <v>1</v>
      </c>
      <c r="V104" s="16"/>
      <c r="W104" s="16"/>
      <c r="X104" s="16">
        <f>AVERAGE(X75:X89)</f>
        <v>10251.266666666666</v>
      </c>
      <c r="Y104" s="17"/>
      <c r="Z104" s="16">
        <f>AVERAGE(Z75:Z89)</f>
        <v>15.2</v>
      </c>
      <c r="AA104" s="92"/>
    </row>
    <row r="107" spans="1:48" x14ac:dyDescent="0.2">
      <c r="A107" s="1002" t="s">
        <v>623</v>
      </c>
      <c r="B107" s="1003"/>
      <c r="C107" s="1003"/>
      <c r="D107" s="1003"/>
      <c r="E107" s="1003"/>
      <c r="F107" s="1003"/>
      <c r="G107" s="1003"/>
      <c r="H107" s="1003"/>
      <c r="I107" s="1003"/>
    </row>
    <row r="108" spans="1:48" ht="13.5" thickBot="1" x14ac:dyDescent="0.25"/>
    <row r="109" spans="1:48" ht="13.5" thickTop="1" x14ac:dyDescent="0.2">
      <c r="A109" s="1004" t="s">
        <v>0</v>
      </c>
      <c r="B109" s="1006" t="s">
        <v>1</v>
      </c>
      <c r="C109" s="1006"/>
      <c r="D109" s="1006"/>
      <c r="E109" s="1006"/>
      <c r="F109" s="1006"/>
      <c r="G109" s="1006"/>
      <c r="H109" s="1006"/>
      <c r="I109" s="1006"/>
      <c r="J109" s="1006"/>
      <c r="K109" s="1006"/>
      <c r="L109" s="1006"/>
      <c r="M109" s="1006"/>
      <c r="N109" s="1006"/>
      <c r="O109" s="1006"/>
      <c r="P109" s="1006"/>
      <c r="Q109" s="1006"/>
      <c r="R109" s="1006"/>
      <c r="S109" s="1006"/>
      <c r="T109" s="1006"/>
      <c r="U109" s="1006"/>
      <c r="V109" s="1006"/>
      <c r="W109" s="1006"/>
      <c r="X109" s="1004" t="s">
        <v>2</v>
      </c>
      <c r="Y109" s="1010" t="s">
        <v>3</v>
      </c>
      <c r="Z109" s="1008" t="s">
        <v>4</v>
      </c>
      <c r="AA109" s="443"/>
    </row>
    <row r="110" spans="1:48" x14ac:dyDescent="0.2">
      <c r="A110" s="1005"/>
      <c r="B110" s="18">
        <v>81</v>
      </c>
      <c r="C110" s="18">
        <v>82</v>
      </c>
      <c r="D110" s="18">
        <v>83</v>
      </c>
      <c r="E110" s="18">
        <v>84</v>
      </c>
      <c r="F110" s="18">
        <v>91</v>
      </c>
      <c r="G110" s="18">
        <v>92</v>
      </c>
      <c r="H110" s="18">
        <v>93</v>
      </c>
      <c r="I110" s="18">
        <v>94</v>
      </c>
      <c r="J110" s="18">
        <v>101</v>
      </c>
      <c r="K110" s="18">
        <v>102</v>
      </c>
      <c r="L110" s="18">
        <v>103</v>
      </c>
      <c r="M110" s="18">
        <v>104</v>
      </c>
      <c r="N110" s="18">
        <v>105</v>
      </c>
      <c r="O110" s="18">
        <v>111</v>
      </c>
      <c r="P110" s="18">
        <v>112</v>
      </c>
      <c r="Q110" s="18">
        <v>113</v>
      </c>
      <c r="R110" s="18">
        <v>114</v>
      </c>
      <c r="S110" s="18">
        <v>115</v>
      </c>
      <c r="T110" s="18">
        <v>121</v>
      </c>
      <c r="U110" s="18">
        <v>122</v>
      </c>
      <c r="V110" s="18">
        <v>123</v>
      </c>
      <c r="W110" s="18">
        <v>124</v>
      </c>
      <c r="X110" s="1005"/>
      <c r="Y110" s="1011"/>
      <c r="Z110" s="1009"/>
      <c r="AA110" s="225"/>
    </row>
    <row r="111" spans="1:48" x14ac:dyDescent="0.2">
      <c r="A111" s="1">
        <v>2011</v>
      </c>
      <c r="B111" s="6"/>
      <c r="C111" s="6"/>
      <c r="D111" s="6"/>
      <c r="E111" s="6"/>
      <c r="F111" s="6"/>
      <c r="G111" s="6">
        <v>403</v>
      </c>
      <c r="H111" s="6"/>
      <c r="I111" s="6">
        <v>448</v>
      </c>
      <c r="J111" s="6">
        <v>691</v>
      </c>
      <c r="K111" s="6">
        <v>720</v>
      </c>
      <c r="L111" s="6">
        <v>661</v>
      </c>
      <c r="M111" s="6"/>
      <c r="N111" s="6">
        <v>590</v>
      </c>
      <c r="O111" s="6">
        <v>1151</v>
      </c>
      <c r="P111" s="6"/>
      <c r="Q111" s="6">
        <v>50</v>
      </c>
      <c r="R111" s="6"/>
      <c r="S111" s="6">
        <v>40</v>
      </c>
      <c r="T111" s="13"/>
      <c r="U111" s="13"/>
      <c r="V111" s="13"/>
      <c r="W111" s="13"/>
      <c r="X111" s="7">
        <v>1486</v>
      </c>
      <c r="Y111" s="7" t="s">
        <v>9</v>
      </c>
      <c r="Z111" s="10"/>
      <c r="AA111" s="10"/>
      <c r="AD111">
        <f>X111/MAX(B111:W111)</f>
        <v>1.2910512597741095</v>
      </c>
    </row>
    <row r="112" spans="1:48" x14ac:dyDescent="0.2">
      <c r="A112" s="13">
        <v>2012</v>
      </c>
      <c r="F112" s="2">
        <v>128</v>
      </c>
      <c r="G112" s="2">
        <v>153</v>
      </c>
      <c r="I112" s="2">
        <v>151</v>
      </c>
      <c r="J112" s="2">
        <v>49</v>
      </c>
      <c r="M112" s="2">
        <v>31</v>
      </c>
      <c r="O112" s="2">
        <v>15</v>
      </c>
      <c r="X112" s="25">
        <v>375</v>
      </c>
      <c r="Y112" s="7" t="s">
        <v>5</v>
      </c>
      <c r="Z112" s="60">
        <v>20</v>
      </c>
      <c r="AA112" s="60"/>
      <c r="AD112">
        <f>X112/MAX(B112:W112)</f>
        <v>2.4509803921568629</v>
      </c>
    </row>
    <row r="113" spans="1:48" x14ac:dyDescent="0.2">
      <c r="A113" s="13">
        <v>2013</v>
      </c>
      <c r="F113" s="2">
        <v>66</v>
      </c>
      <c r="H113" s="2">
        <v>53</v>
      </c>
      <c r="I113" s="2">
        <v>77</v>
      </c>
      <c r="K113" s="2">
        <v>115</v>
      </c>
      <c r="M113" s="2">
        <v>56</v>
      </c>
      <c r="O113" s="2">
        <v>5</v>
      </c>
      <c r="X113" s="25">
        <v>164</v>
      </c>
      <c r="Y113" s="7" t="s">
        <v>5</v>
      </c>
      <c r="Z113" s="60">
        <v>35</v>
      </c>
      <c r="AA113" s="60"/>
      <c r="AD113">
        <f>X113/MAX(B113:W113)</f>
        <v>1.4260869565217391</v>
      </c>
    </row>
    <row r="114" spans="1:48" x14ac:dyDescent="0.2">
      <c r="A114" s="13">
        <v>2014</v>
      </c>
      <c r="F114" s="2">
        <v>72</v>
      </c>
      <c r="H114" s="2">
        <v>105</v>
      </c>
      <c r="I114" s="2">
        <v>109</v>
      </c>
      <c r="K114" s="2">
        <v>111</v>
      </c>
      <c r="M114" s="2">
        <v>18</v>
      </c>
      <c r="P114" s="2">
        <v>21</v>
      </c>
      <c r="X114" s="25">
        <v>172</v>
      </c>
      <c r="Y114" s="7" t="s">
        <v>5</v>
      </c>
      <c r="Z114" s="60">
        <v>35</v>
      </c>
      <c r="AA114" s="60"/>
      <c r="AD114">
        <f>X114/MAX(B114:W114)</f>
        <v>1.5495495495495495</v>
      </c>
    </row>
    <row r="115" spans="1:48" ht="13.5" thickBot="1" x14ac:dyDescent="0.25">
      <c r="A115" s="13">
        <v>2015</v>
      </c>
      <c r="F115" s="2">
        <v>104</v>
      </c>
      <c r="G115" s="2">
        <v>150</v>
      </c>
      <c r="J115" s="2">
        <v>166</v>
      </c>
      <c r="K115" s="2">
        <v>205</v>
      </c>
      <c r="L115" s="2">
        <v>109</v>
      </c>
      <c r="N115" s="2">
        <v>101</v>
      </c>
      <c r="O115" s="2">
        <v>74</v>
      </c>
      <c r="X115" s="25">
        <v>334</v>
      </c>
      <c r="Y115" s="7" t="s">
        <v>5</v>
      </c>
      <c r="Z115" s="60">
        <v>30</v>
      </c>
      <c r="AA115" s="60"/>
      <c r="AD115">
        <f>X115/MAX(B115:W115)</f>
        <v>1.6292682926829267</v>
      </c>
    </row>
    <row r="116" spans="1:48" ht="13.5" thickBot="1" x14ac:dyDescent="0.25">
      <c r="A116" s="13">
        <v>2016</v>
      </c>
      <c r="G116" s="109">
        <v>436</v>
      </c>
      <c r="H116" s="109">
        <v>354</v>
      </c>
      <c r="I116" s="109">
        <v>348</v>
      </c>
      <c r="J116" s="303">
        <v>339</v>
      </c>
      <c r="L116" s="383">
        <v>359</v>
      </c>
      <c r="O116" s="382">
        <v>317</v>
      </c>
      <c r="Q116" s="354">
        <v>32</v>
      </c>
    </row>
    <row r="117" spans="1:48" x14ac:dyDescent="0.2">
      <c r="A117" s="13">
        <v>2017</v>
      </c>
      <c r="F117" s="109">
        <v>43</v>
      </c>
      <c r="G117" s="447">
        <v>2</v>
      </c>
      <c r="H117" s="109">
        <v>88</v>
      </c>
      <c r="J117" s="109">
        <v>46</v>
      </c>
      <c r="K117" s="109">
        <v>39</v>
      </c>
      <c r="M117" s="109">
        <v>36</v>
      </c>
      <c r="N117" s="155">
        <v>33</v>
      </c>
      <c r="X117" s="506">
        <v>106</v>
      </c>
      <c r="Z117" s="60">
        <v>35</v>
      </c>
      <c r="AD117">
        <f>X117/MAX(B117:W117)</f>
        <v>1.2045454545454546</v>
      </c>
    </row>
    <row r="118" spans="1:48" x14ac:dyDescent="0.2">
      <c r="A118" s="13">
        <v>2018</v>
      </c>
      <c r="F118" s="464">
        <v>15</v>
      </c>
      <c r="G118" s="109">
        <v>39</v>
      </c>
      <c r="H118" s="109">
        <v>17</v>
      </c>
      <c r="I118" s="109">
        <v>41</v>
      </c>
      <c r="K118" s="109">
        <v>39</v>
      </c>
      <c r="O118" s="109">
        <v>14</v>
      </c>
      <c r="X118" s="524">
        <v>70</v>
      </c>
      <c r="Z118" s="60">
        <v>35</v>
      </c>
      <c r="AD118">
        <f>X118/MAX(B118:W118)</f>
        <v>1.7073170731707317</v>
      </c>
    </row>
    <row r="119" spans="1:48" x14ac:dyDescent="0.2">
      <c r="A119" s="13">
        <v>2019</v>
      </c>
      <c r="F119" s="464">
        <v>24</v>
      </c>
      <c r="H119" s="464">
        <v>25</v>
      </c>
      <c r="I119" s="109">
        <v>41</v>
      </c>
      <c r="K119" s="109">
        <v>42</v>
      </c>
      <c r="N119" s="596">
        <v>18</v>
      </c>
      <c r="O119" s="464">
        <v>6</v>
      </c>
      <c r="X119" s="572">
        <v>63</v>
      </c>
      <c r="Z119" s="60">
        <v>35</v>
      </c>
      <c r="AD119">
        <f>X119/MAX(B119:W119)</f>
        <v>1.5</v>
      </c>
    </row>
    <row r="120" spans="1:48" x14ac:dyDescent="0.2">
      <c r="A120" s="13">
        <v>2020</v>
      </c>
      <c r="F120" s="464">
        <v>394</v>
      </c>
      <c r="H120" s="464">
        <v>183</v>
      </c>
      <c r="I120" s="464">
        <v>186</v>
      </c>
      <c r="J120" s="464">
        <v>281</v>
      </c>
      <c r="K120" s="464">
        <v>290</v>
      </c>
      <c r="M120" s="464">
        <v>224</v>
      </c>
      <c r="O120" s="156">
        <v>144</v>
      </c>
      <c r="X120" s="689">
        <v>573</v>
      </c>
      <c r="Y120" s="2" t="s">
        <v>5</v>
      </c>
      <c r="Z120" s="60"/>
    </row>
    <row r="121" spans="1:48" s="150" customFormat="1" x14ac:dyDescent="0.2">
      <c r="A121" s="89">
        <v>2021</v>
      </c>
      <c r="F121" s="979"/>
      <c r="G121" s="975">
        <f>256+1</f>
        <v>257</v>
      </c>
      <c r="H121" s="186">
        <v>490</v>
      </c>
      <c r="I121" s="539">
        <v>362</v>
      </c>
      <c r="J121" s="893"/>
      <c r="K121" s="186">
        <v>444</v>
      </c>
      <c r="L121" s="976"/>
      <c r="M121" s="980">
        <v>462</v>
      </c>
      <c r="N121" s="981">
        <f>272+1</f>
        <v>273</v>
      </c>
      <c r="O121" s="895"/>
      <c r="P121" s="896"/>
      <c r="Q121" s="806">
        <v>49</v>
      </c>
      <c r="X121" s="743">
        <v>855</v>
      </c>
      <c r="Z121" s="404"/>
      <c r="AA121" s="95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</row>
    <row r="122" spans="1:48" s="150" customFormat="1" x14ac:dyDescent="0.2">
      <c r="A122" s="89">
        <v>2022</v>
      </c>
      <c r="F122" s="979"/>
      <c r="G122" s="975">
        <v>179</v>
      </c>
      <c r="H122" s="186">
        <v>227</v>
      </c>
      <c r="I122" s="982"/>
      <c r="J122" s="186">
        <v>224</v>
      </c>
      <c r="K122" s="186">
        <v>244</v>
      </c>
      <c r="L122" s="807"/>
      <c r="M122" s="977"/>
      <c r="N122" s="978"/>
      <c r="O122" s="821">
        <v>108</v>
      </c>
      <c r="P122" s="187"/>
      <c r="Q122" s="799"/>
      <c r="X122" s="743">
        <v>418</v>
      </c>
      <c r="Z122" s="404"/>
      <c r="AA122" s="95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</row>
    <row r="123" spans="1:48" s="150" customFormat="1" x14ac:dyDescent="0.2">
      <c r="A123" s="89">
        <v>2023</v>
      </c>
      <c r="E123" s="464">
        <v>26</v>
      </c>
      <c r="F123" s="743"/>
      <c r="G123" s="464">
        <v>25</v>
      </c>
      <c r="H123" s="743"/>
      <c r="I123" s="464">
        <v>24</v>
      </c>
      <c r="J123" s="743"/>
      <c r="K123" s="464">
        <v>29</v>
      </c>
      <c r="L123" s="743"/>
      <c r="M123" s="743"/>
      <c r="N123" s="743"/>
      <c r="O123" s="743"/>
      <c r="P123" s="743"/>
      <c r="Q123" s="743"/>
      <c r="X123" s="743"/>
      <c r="Z123" s="404"/>
      <c r="AA123" s="95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</row>
    <row r="124" spans="1:48" x14ac:dyDescent="0.2">
      <c r="A124" s="64" t="s">
        <v>17</v>
      </c>
      <c r="B124" s="16"/>
      <c r="C124" s="16"/>
      <c r="D124" s="16"/>
      <c r="E124" s="16"/>
      <c r="F124" s="16">
        <f>AVERAGE(F111:F116)</f>
        <v>92.5</v>
      </c>
      <c r="G124" s="16">
        <f t="shared" ref="G124:S124" si="8">AVERAGE(G111:G116)</f>
        <v>285.5</v>
      </c>
      <c r="H124" s="16">
        <f t="shared" si="8"/>
        <v>170.66666666666666</v>
      </c>
      <c r="I124" s="16">
        <f t="shared" si="8"/>
        <v>226.6</v>
      </c>
      <c r="J124" s="16">
        <f t="shared" si="8"/>
        <v>311.25</v>
      </c>
      <c r="K124" s="16">
        <f t="shared" si="8"/>
        <v>287.75</v>
      </c>
      <c r="L124" s="16">
        <f t="shared" si="8"/>
        <v>376.33333333333331</v>
      </c>
      <c r="M124" s="16">
        <f t="shared" si="8"/>
        <v>35</v>
      </c>
      <c r="N124" s="16">
        <f t="shared" si="8"/>
        <v>345.5</v>
      </c>
      <c r="O124" s="16">
        <f t="shared" si="8"/>
        <v>312.39999999999998</v>
      </c>
      <c r="P124" s="16">
        <f t="shared" si="8"/>
        <v>21</v>
      </c>
      <c r="Q124" s="16">
        <f t="shared" si="8"/>
        <v>41</v>
      </c>
      <c r="R124" s="16"/>
      <c r="S124" s="16">
        <f t="shared" si="8"/>
        <v>40</v>
      </c>
      <c r="T124" s="16"/>
      <c r="U124" s="16"/>
      <c r="V124" s="16"/>
      <c r="W124" s="16"/>
      <c r="X124" s="16">
        <f>AVERAGE(X111:X122)</f>
        <v>419.63636363636363</v>
      </c>
      <c r="Y124" s="17"/>
      <c r="Z124" s="16">
        <f>AVERAGE(Z111:Z119)</f>
        <v>32.142857142857146</v>
      </c>
      <c r="AA124" s="92"/>
    </row>
    <row r="126" spans="1:48" ht="13.5" thickBot="1" x14ac:dyDescent="0.25">
      <c r="E126" s="2" t="s">
        <v>409</v>
      </c>
    </row>
    <row r="127" spans="1:48" ht="13.5" thickTop="1" x14ac:dyDescent="0.2">
      <c r="A127" s="1004" t="s">
        <v>0</v>
      </c>
      <c r="B127" s="1006" t="s">
        <v>1</v>
      </c>
      <c r="C127" s="1006"/>
      <c r="D127" s="1006"/>
      <c r="E127" s="1006"/>
      <c r="F127" s="1006"/>
      <c r="G127" s="1006"/>
      <c r="H127" s="1006"/>
      <c r="I127" s="1006"/>
      <c r="J127" s="1006"/>
      <c r="K127" s="1006"/>
      <c r="L127" s="1006"/>
      <c r="M127" s="1006"/>
      <c r="N127" s="1006"/>
      <c r="O127" s="1006"/>
      <c r="P127" s="1006"/>
      <c r="Q127" s="1006"/>
      <c r="R127" s="1006"/>
      <c r="S127" s="1006"/>
      <c r="T127" s="1006"/>
      <c r="U127" s="1006"/>
      <c r="V127" s="1006"/>
      <c r="W127" s="1006"/>
      <c r="X127" s="1004" t="s">
        <v>2</v>
      </c>
    </row>
    <row r="128" spans="1:48" x14ac:dyDescent="0.2">
      <c r="A128" s="1005"/>
      <c r="B128" s="5">
        <v>81</v>
      </c>
      <c r="C128" s="5">
        <v>82</v>
      </c>
      <c r="D128" s="5">
        <v>83</v>
      </c>
      <c r="E128" s="5">
        <v>84</v>
      </c>
      <c r="F128" s="5">
        <v>91</v>
      </c>
      <c r="G128" s="5">
        <v>92</v>
      </c>
      <c r="H128" s="5">
        <v>93</v>
      </c>
      <c r="I128" s="5">
        <v>94</v>
      </c>
      <c r="J128" s="5">
        <v>101</v>
      </c>
      <c r="K128" s="5">
        <v>102</v>
      </c>
      <c r="L128" s="5">
        <v>103</v>
      </c>
      <c r="M128" s="5">
        <v>104</v>
      </c>
      <c r="N128" s="5">
        <v>105</v>
      </c>
      <c r="O128" s="5">
        <v>111</v>
      </c>
      <c r="P128" s="5">
        <v>112</v>
      </c>
      <c r="Q128" s="5">
        <v>113</v>
      </c>
      <c r="R128" s="5">
        <v>114</v>
      </c>
      <c r="S128" s="5">
        <v>115</v>
      </c>
      <c r="T128" s="5">
        <v>121</v>
      </c>
      <c r="U128" s="5">
        <v>122</v>
      </c>
      <c r="V128" s="5">
        <v>123</v>
      </c>
      <c r="W128" s="5">
        <v>124</v>
      </c>
      <c r="X128" s="1005"/>
      <c r="Z128" s="56" t="s">
        <v>96</v>
      </c>
    </row>
    <row r="129" spans="1:26" x14ac:dyDescent="0.2">
      <c r="A129" s="1">
        <v>1995</v>
      </c>
      <c r="B129" s="81"/>
      <c r="C129" s="81"/>
      <c r="D129" s="81"/>
      <c r="E129" s="81"/>
      <c r="F129" s="81"/>
      <c r="G129" s="81"/>
      <c r="H129" s="81"/>
      <c r="I129" s="81">
        <f>I5/MAX($B5:$W5)</f>
        <v>5.7347670250896057E-2</v>
      </c>
      <c r="J129" s="81">
        <f>J5/MAX($B5:$W5)</f>
        <v>1</v>
      </c>
      <c r="K129" s="81"/>
      <c r="L129" s="81">
        <f>L5/MAX($B5:$W5)</f>
        <v>8.9605734767025089E-2</v>
      </c>
      <c r="M129" s="81"/>
      <c r="N129" s="81">
        <f>N5/MAX($B5:$W5)</f>
        <v>0</v>
      </c>
      <c r="O129" s="81"/>
      <c r="P129" s="81"/>
      <c r="Q129" s="81"/>
      <c r="R129" s="81"/>
      <c r="S129" s="81"/>
      <c r="T129" s="81"/>
      <c r="U129" s="81"/>
      <c r="V129" s="81"/>
      <c r="W129" s="81"/>
      <c r="X129" s="7">
        <v>525</v>
      </c>
      <c r="Z129" s="56">
        <v>101</v>
      </c>
    </row>
    <row r="130" spans="1:26" x14ac:dyDescent="0.2">
      <c r="A130" s="1">
        <v>1996</v>
      </c>
      <c r="B130" s="81"/>
      <c r="C130" s="81"/>
      <c r="D130" s="81"/>
      <c r="E130" s="81"/>
      <c r="F130" s="81">
        <f>F6/MAX($B6:$W6)</f>
        <v>0</v>
      </c>
      <c r="G130" s="81"/>
      <c r="H130" s="81">
        <f>H6/MAX($B6:$W6)</f>
        <v>1</v>
      </c>
      <c r="I130" s="81">
        <f>I6/MAX($B6:$W6)</f>
        <v>0.32755298651252407</v>
      </c>
      <c r="J130" s="81">
        <f>J6/MAX($B6:$W6)</f>
        <v>0.67437379576107903</v>
      </c>
      <c r="K130" s="81">
        <f>K6/MAX($B6:$W6)</f>
        <v>0.2947976878612717</v>
      </c>
      <c r="L130" s="81"/>
      <c r="M130" s="81">
        <f>M6/MAX($B6:$W6)</f>
        <v>1.348747591522158E-2</v>
      </c>
      <c r="N130" s="81">
        <f>N6/MAX($B6:$W6)</f>
        <v>1.9267822736030828E-3</v>
      </c>
      <c r="O130" s="81">
        <f>O6/MAX($B6:$W6)</f>
        <v>0</v>
      </c>
      <c r="P130" s="81"/>
      <c r="Q130" s="81">
        <f>Q6/MAX($B6:$W6)</f>
        <v>0</v>
      </c>
      <c r="R130" s="81"/>
      <c r="S130" s="81"/>
      <c r="T130" s="81"/>
      <c r="U130" s="81"/>
      <c r="V130" s="81"/>
      <c r="W130" s="81"/>
      <c r="X130" s="7">
        <v>771</v>
      </c>
      <c r="Z130" s="56">
        <v>93</v>
      </c>
    </row>
    <row r="131" spans="1:26" x14ac:dyDescent="0.2">
      <c r="A131" s="1">
        <v>1997</v>
      </c>
      <c r="B131" s="81"/>
      <c r="C131" s="81"/>
      <c r="D131" s="81">
        <f>D7/MAX($B7:$W7)</f>
        <v>0</v>
      </c>
      <c r="E131" s="81"/>
      <c r="F131" s="81">
        <f>F7/MAX($B7:$W7)</f>
        <v>1.6638935108153079E-3</v>
      </c>
      <c r="G131" s="81"/>
      <c r="H131" s="81">
        <f>H7/MAX($B7:$W7)</f>
        <v>1</v>
      </c>
      <c r="I131" s="81">
        <f>I7/MAX($B7:$W7)</f>
        <v>0.49084858569051582</v>
      </c>
      <c r="J131" s="81"/>
      <c r="K131" s="81"/>
      <c r="L131" s="81">
        <f>L7/MAX($B7:$W7)</f>
        <v>1.6638935108153077E-2</v>
      </c>
      <c r="M131" s="81">
        <f>M7/MAX($B7:$W7)</f>
        <v>0</v>
      </c>
      <c r="N131" s="81"/>
      <c r="O131" s="81">
        <f>O7/MAX($B7:$W7)</f>
        <v>0</v>
      </c>
      <c r="P131" s="81"/>
      <c r="Q131" s="81">
        <f>Q7/MAX($B7:$W7)</f>
        <v>1.6638935108153079E-3</v>
      </c>
      <c r="R131" s="81"/>
      <c r="S131" s="81">
        <f>S7/MAX($B7:$W7)</f>
        <v>0</v>
      </c>
      <c r="T131" s="81"/>
      <c r="U131" s="81"/>
      <c r="V131" s="81"/>
      <c r="W131" s="81"/>
      <c r="X131" s="7">
        <v>722</v>
      </c>
      <c r="Z131" s="56">
        <v>93</v>
      </c>
    </row>
    <row r="132" spans="1:26" x14ac:dyDescent="0.2">
      <c r="A132" s="1">
        <v>1998</v>
      </c>
      <c r="B132" s="81"/>
      <c r="C132" s="81">
        <f>C8/MAX($B8:$W8)</f>
        <v>0</v>
      </c>
      <c r="D132" s="81"/>
      <c r="E132" s="81"/>
      <c r="F132" s="81"/>
      <c r="G132" s="81"/>
      <c r="H132" s="81"/>
      <c r="I132" s="81"/>
      <c r="J132" s="81">
        <f>J8/MAX($B8:$W8)</f>
        <v>0.16911764705882354</v>
      </c>
      <c r="K132" s="81">
        <f>K8/MAX($B8:$W8)</f>
        <v>1</v>
      </c>
      <c r="L132" s="81"/>
      <c r="M132" s="81">
        <f>M8/MAX($B8:$W8)</f>
        <v>8.0882352941176475E-2</v>
      </c>
      <c r="N132" s="81">
        <f>N8/MAX($B8:$W8)</f>
        <v>4.4117647058823532E-2</v>
      </c>
      <c r="O132" s="81"/>
      <c r="P132" s="81">
        <f>P8/MAX($B8:$W8)</f>
        <v>4.9019607843137254E-3</v>
      </c>
      <c r="Q132" s="81"/>
      <c r="R132" s="81"/>
      <c r="S132" s="81"/>
      <c r="T132" s="81"/>
      <c r="U132" s="81"/>
      <c r="V132" s="81"/>
      <c r="W132" s="81"/>
      <c r="X132" s="7">
        <v>587</v>
      </c>
      <c r="Z132" s="56">
        <v>102</v>
      </c>
    </row>
    <row r="133" spans="1:26" x14ac:dyDescent="0.2">
      <c r="A133" s="1">
        <v>1999</v>
      </c>
      <c r="B133" s="81"/>
      <c r="C133" s="81"/>
      <c r="D133" s="81"/>
      <c r="E133" s="81"/>
      <c r="F133" s="81"/>
      <c r="G133" s="81">
        <f>G9/MAX($B9:$W9)</f>
        <v>1.7322834645669291E-2</v>
      </c>
      <c r="H133" s="81"/>
      <c r="I133" s="81"/>
      <c r="J133" s="81">
        <f>J9/MAX($B9:$W9)</f>
        <v>1</v>
      </c>
      <c r="K133" s="81">
        <f>K9/MAX($B9:$W9)</f>
        <v>0.25354330708661416</v>
      </c>
      <c r="L133" s="81"/>
      <c r="M133" s="81">
        <f>M9/MAX($B9:$W9)</f>
        <v>5.748031496062992E-2</v>
      </c>
      <c r="N133" s="81"/>
      <c r="O133" s="81">
        <f>O9/MAX($B9:$W9)</f>
        <v>1.0236220472440945E-2</v>
      </c>
      <c r="P133" s="81"/>
      <c r="Q133" s="81">
        <f>Q9/MAX($B9:$W9)</f>
        <v>1.5748031496062992E-3</v>
      </c>
      <c r="R133" s="81"/>
      <c r="S133" s="81"/>
      <c r="T133" s="81">
        <f>T9/MAX($B9:$W9)</f>
        <v>0</v>
      </c>
      <c r="U133" s="81"/>
      <c r="V133" s="81"/>
      <c r="W133" s="81"/>
      <c r="X133" s="9">
        <v>1731</v>
      </c>
      <c r="Z133" s="56">
        <v>101</v>
      </c>
    </row>
    <row r="134" spans="1:26" x14ac:dyDescent="0.2">
      <c r="A134" s="1">
        <v>2000</v>
      </c>
      <c r="B134" s="81"/>
      <c r="C134" s="81"/>
      <c r="D134" s="81"/>
      <c r="E134" s="81"/>
      <c r="F134" s="81"/>
      <c r="G134" s="81"/>
      <c r="H134" s="81">
        <f>H10/MAX($B10:$W10)</f>
        <v>0.77740863787375414</v>
      </c>
      <c r="I134" s="81"/>
      <c r="J134" s="81"/>
      <c r="K134" s="81">
        <f>K10/MAX($B10:$W10)</f>
        <v>1</v>
      </c>
      <c r="L134" s="81"/>
      <c r="M134" s="81"/>
      <c r="N134" s="81">
        <f>N10/MAX($B10:$W10)</f>
        <v>1.9933554817275746E-2</v>
      </c>
      <c r="O134" s="81"/>
      <c r="P134" s="81">
        <f>P10/MAX($B10:$W10)</f>
        <v>3.3222591362126247E-3</v>
      </c>
      <c r="Q134" s="81"/>
      <c r="R134" s="81"/>
      <c r="S134" s="81"/>
      <c r="T134" s="81"/>
      <c r="U134" s="81"/>
      <c r="V134" s="81"/>
      <c r="W134" s="81"/>
      <c r="X134" s="10">
        <v>1320</v>
      </c>
      <c r="Z134" s="56">
        <v>102</v>
      </c>
    </row>
    <row r="135" spans="1:26" x14ac:dyDescent="0.2">
      <c r="A135" s="1">
        <v>2001</v>
      </c>
      <c r="B135" s="81"/>
      <c r="C135" s="81"/>
      <c r="D135" s="81"/>
      <c r="E135" s="81">
        <f>E11/MAX($B11:$W11)</f>
        <v>6.6852367688022288E-2</v>
      </c>
      <c r="F135" s="81"/>
      <c r="G135" s="81">
        <f>G11/MAX($B11:$W11)</f>
        <v>0.10306406685236769</v>
      </c>
      <c r="H135" s="81"/>
      <c r="I135" s="81"/>
      <c r="J135" s="81">
        <f>J11/MAX($B11:$W11)</f>
        <v>1</v>
      </c>
      <c r="K135" s="81"/>
      <c r="L135" s="81"/>
      <c r="M135" s="81">
        <f>M11/MAX($B11:$W11)</f>
        <v>2.5069637883008356E-2</v>
      </c>
      <c r="N135" s="81">
        <f>N11/MAX($B11:$W11)</f>
        <v>1.1142061281337047E-2</v>
      </c>
      <c r="O135" s="81"/>
      <c r="P135" s="81"/>
      <c r="Q135" s="81"/>
      <c r="R135" s="81"/>
      <c r="S135" s="81"/>
      <c r="T135" s="81"/>
      <c r="U135" s="81"/>
      <c r="V135" s="81"/>
      <c r="W135" s="81"/>
      <c r="X135" s="7">
        <v>389</v>
      </c>
      <c r="Z135" s="56">
        <v>101</v>
      </c>
    </row>
    <row r="136" spans="1:26" x14ac:dyDescent="0.2">
      <c r="A136" s="1">
        <v>2002</v>
      </c>
      <c r="B136" s="81"/>
      <c r="C136" s="81"/>
      <c r="D136" s="81"/>
      <c r="E136" s="81"/>
      <c r="F136" s="81"/>
      <c r="G136" s="81">
        <f>G12/MAX($B12:$W12)</f>
        <v>1</v>
      </c>
      <c r="H136" s="81"/>
      <c r="I136" s="81">
        <f>I12/MAX($B12:$W12)</f>
        <v>0.8536977491961415</v>
      </c>
      <c r="J136" s="81"/>
      <c r="K136" s="81">
        <f>K12/MAX($B12:$W12)</f>
        <v>0.14790996784565916</v>
      </c>
      <c r="L136" s="81"/>
      <c r="M136" s="81"/>
      <c r="N136" s="81">
        <f>N12/MAX($B12:$W12)</f>
        <v>3.2154340836012861E-3</v>
      </c>
      <c r="O136" s="81"/>
      <c r="P136" s="81"/>
      <c r="Q136" s="81">
        <f t="shared" ref="Q136:Q142" si="9">Q12/MAX($B12:$W12)</f>
        <v>0</v>
      </c>
      <c r="R136" s="81"/>
      <c r="S136" s="81"/>
      <c r="T136" s="81"/>
      <c r="U136" s="81"/>
      <c r="V136" s="81"/>
      <c r="W136" s="81"/>
      <c r="X136" s="7">
        <v>758</v>
      </c>
      <c r="Z136" s="56">
        <v>92</v>
      </c>
    </row>
    <row r="137" spans="1:26" x14ac:dyDescent="0.2">
      <c r="A137" s="1">
        <v>2003</v>
      </c>
      <c r="B137" s="81"/>
      <c r="C137" s="81"/>
      <c r="D137" s="81"/>
      <c r="E137" s="81">
        <f>E13/MAX($B13:$W13)</f>
        <v>0.20105820105820105</v>
      </c>
      <c r="F137" s="81"/>
      <c r="G137" s="81">
        <f>G13/MAX($B13:$W13)</f>
        <v>0.2257495590828924</v>
      </c>
      <c r="H137" s="81"/>
      <c r="I137" s="81">
        <f>I13/MAX($B13:$W13)</f>
        <v>1</v>
      </c>
      <c r="J137" s="81"/>
      <c r="K137" s="81">
        <f>K13/MAX($B13:$W13)</f>
        <v>0.69488536155202818</v>
      </c>
      <c r="L137" s="81"/>
      <c r="M137" s="81">
        <f>M13/MAX($B13:$W13)</f>
        <v>1.0582010582010581E-2</v>
      </c>
      <c r="N137" s="81"/>
      <c r="O137" s="81"/>
      <c r="P137" s="81"/>
      <c r="Q137" s="81">
        <f t="shared" si="9"/>
        <v>3.5273368606701938E-3</v>
      </c>
      <c r="R137" s="81"/>
      <c r="S137" s="81"/>
      <c r="T137" s="81"/>
      <c r="U137" s="81"/>
      <c r="V137" s="81"/>
      <c r="W137" s="81"/>
      <c r="X137" s="7">
        <v>762</v>
      </c>
      <c r="Z137" s="56">
        <v>94</v>
      </c>
    </row>
    <row r="138" spans="1:26" x14ac:dyDescent="0.2">
      <c r="A138" s="1">
        <v>2004</v>
      </c>
      <c r="B138" s="81"/>
      <c r="C138" s="81"/>
      <c r="D138" s="81"/>
      <c r="E138" s="81"/>
      <c r="F138" s="81"/>
      <c r="G138" s="81"/>
      <c r="H138" s="81">
        <f>H14/MAX($B14:$W14)</f>
        <v>0.87912087912087911</v>
      </c>
      <c r="I138" s="81"/>
      <c r="J138" s="81">
        <f>J14/MAX($B14:$W14)</f>
        <v>1</v>
      </c>
      <c r="K138" s="81"/>
      <c r="L138" s="81">
        <f>L14/MAX($B14:$W14)</f>
        <v>0.2925824175824176</v>
      </c>
      <c r="M138" s="81"/>
      <c r="N138" s="81">
        <f>N14/MAX($B14:$W14)</f>
        <v>5.4945054945054949E-3</v>
      </c>
      <c r="O138" s="81"/>
      <c r="P138" s="81"/>
      <c r="Q138" s="81">
        <f t="shared" si="9"/>
        <v>0</v>
      </c>
      <c r="R138" s="81"/>
      <c r="S138" s="81"/>
      <c r="T138" s="81"/>
      <c r="U138" s="81"/>
      <c r="V138" s="81"/>
      <c r="W138" s="81"/>
      <c r="X138" s="11">
        <v>905</v>
      </c>
      <c r="Z138" s="56">
        <v>101</v>
      </c>
    </row>
    <row r="139" spans="1:26" x14ac:dyDescent="0.2">
      <c r="A139" s="1">
        <v>2005</v>
      </c>
      <c r="B139" s="81"/>
      <c r="C139" s="81"/>
      <c r="D139" s="81"/>
      <c r="E139" s="81"/>
      <c r="F139" s="81"/>
      <c r="G139" s="81"/>
      <c r="H139" s="81">
        <f>H15/MAX($B15:$W15)</f>
        <v>1.3605442176870748E-2</v>
      </c>
      <c r="I139" s="81"/>
      <c r="J139" s="81">
        <f>J15/MAX($B15:$W15)</f>
        <v>0.21088435374149661</v>
      </c>
      <c r="K139" s="81">
        <f>K15/MAX($B15:$W15)</f>
        <v>1</v>
      </c>
      <c r="L139" s="81"/>
      <c r="M139" s="81">
        <f t="shared" ref="M139:M144" si="10">M15/MAX($B15:$W15)</f>
        <v>0.11564625850340136</v>
      </c>
      <c r="N139" s="81">
        <f>N15/MAX($B15:$W15)</f>
        <v>5.4421768707482991E-2</v>
      </c>
      <c r="O139" s="81"/>
      <c r="P139" s="81"/>
      <c r="Q139" s="81">
        <f t="shared" si="9"/>
        <v>0</v>
      </c>
      <c r="R139" s="81"/>
      <c r="S139" s="81">
        <f>S15/MAX($B15:$W15)</f>
        <v>0</v>
      </c>
      <c r="T139" s="81"/>
      <c r="U139" s="81"/>
      <c r="V139" s="81"/>
      <c r="W139" s="81"/>
      <c r="X139" s="11">
        <v>182</v>
      </c>
      <c r="Z139" s="56">
        <v>93</v>
      </c>
    </row>
    <row r="140" spans="1:26" x14ac:dyDescent="0.2">
      <c r="A140" s="1">
        <v>2006</v>
      </c>
      <c r="B140" s="81"/>
      <c r="C140" s="81"/>
      <c r="D140" s="81"/>
      <c r="E140" s="81"/>
      <c r="F140" s="81"/>
      <c r="G140" s="81"/>
      <c r="H140" s="81">
        <f>H16/MAX($B16:$W16)</f>
        <v>1</v>
      </c>
      <c r="I140" s="81">
        <f>I16/MAX($B16:$W16)</f>
        <v>0.50847457627118642</v>
      </c>
      <c r="J140" s="81"/>
      <c r="K140" s="81">
        <f>K16/MAX($B16:$W16)</f>
        <v>0.55084745762711862</v>
      </c>
      <c r="L140" s="81">
        <f>L16/MAX($B16:$W16)</f>
        <v>0.22033898305084745</v>
      </c>
      <c r="M140" s="81">
        <f t="shared" si="10"/>
        <v>9.3220338983050849E-2</v>
      </c>
      <c r="N140" s="81">
        <f>N16/MAX($B16:$W16)</f>
        <v>0.11016949152542373</v>
      </c>
      <c r="O140" s="81"/>
      <c r="P140" s="81"/>
      <c r="Q140" s="81">
        <f t="shared" si="9"/>
        <v>0</v>
      </c>
      <c r="R140" s="81"/>
      <c r="S140" s="81">
        <f>S16/MAX($B16:$W16)</f>
        <v>0</v>
      </c>
      <c r="T140" s="81"/>
      <c r="U140" s="81">
        <f>U16/MAX($B16:$W16)</f>
        <v>0</v>
      </c>
      <c r="V140" s="81"/>
      <c r="W140" s="81"/>
      <c r="X140" s="12">
        <v>141</v>
      </c>
      <c r="Z140" s="56">
        <v>93</v>
      </c>
    </row>
    <row r="141" spans="1:26" x14ac:dyDescent="0.2">
      <c r="A141" s="1">
        <v>2007</v>
      </c>
      <c r="B141" s="81"/>
      <c r="C141" s="81"/>
      <c r="D141" s="81"/>
      <c r="E141" s="81"/>
      <c r="F141" s="81">
        <f>F17/MAX($B17:$W17)</f>
        <v>0.16037735849056603</v>
      </c>
      <c r="G141" s="81"/>
      <c r="H141" s="81">
        <f>H17/MAX($B17:$W17)</f>
        <v>1</v>
      </c>
      <c r="I141" s="81"/>
      <c r="J141" s="81"/>
      <c r="K141" s="81">
        <f>K17/MAX($B17:$W17)</f>
        <v>0.32075471698113206</v>
      </c>
      <c r="L141" s="81"/>
      <c r="M141" s="81">
        <f t="shared" si="10"/>
        <v>5.6603773584905662E-2</v>
      </c>
      <c r="N141" s="81"/>
      <c r="O141" s="81"/>
      <c r="P141" s="81"/>
      <c r="Q141" s="81">
        <f t="shared" si="9"/>
        <v>0</v>
      </c>
      <c r="R141" s="81"/>
      <c r="S141" s="81"/>
      <c r="T141" s="81"/>
      <c r="U141" s="81"/>
      <c r="V141" s="81"/>
      <c r="W141" s="81"/>
      <c r="X141" s="12">
        <v>131</v>
      </c>
      <c r="Z141" s="56">
        <v>101</v>
      </c>
    </row>
    <row r="142" spans="1:26" x14ac:dyDescent="0.2">
      <c r="A142" s="1">
        <v>2008</v>
      </c>
      <c r="B142" s="81"/>
      <c r="C142" s="81"/>
      <c r="D142" s="81"/>
      <c r="E142" s="81"/>
      <c r="F142" s="81">
        <f>F18/MAX($B18:$W18)</f>
        <v>0.18181818181818182</v>
      </c>
      <c r="G142" s="81"/>
      <c r="H142" s="81"/>
      <c r="I142" s="81">
        <f>I18/MAX($B18:$W18)</f>
        <v>0.48295454545454547</v>
      </c>
      <c r="J142" s="81">
        <f>J18/MAX($B18:$W18)</f>
        <v>1</v>
      </c>
      <c r="K142" s="81"/>
      <c r="L142" s="81">
        <f>L18/MAX($B18:$W18)</f>
        <v>0.66477272727272729</v>
      </c>
      <c r="M142" s="81">
        <f t="shared" si="10"/>
        <v>1.7045454545454544E-2</v>
      </c>
      <c r="N142" s="81"/>
      <c r="O142" s="81"/>
      <c r="P142" s="81"/>
      <c r="Q142" s="81">
        <f t="shared" si="9"/>
        <v>0</v>
      </c>
      <c r="R142" s="81"/>
      <c r="S142" s="81"/>
      <c r="T142" s="81"/>
      <c r="U142" s="81"/>
      <c r="V142" s="81"/>
      <c r="W142" s="81"/>
      <c r="X142" s="1">
        <v>281</v>
      </c>
      <c r="Z142" s="56">
        <v>94</v>
      </c>
    </row>
    <row r="143" spans="1:26" x14ac:dyDescent="0.2">
      <c r="A143" s="1">
        <v>2009</v>
      </c>
      <c r="B143" s="81"/>
      <c r="C143" s="81"/>
      <c r="D143" s="81"/>
      <c r="E143" s="81"/>
      <c r="F143" s="81"/>
      <c r="G143" s="81">
        <f>G19/MAX($B19:$W19)</f>
        <v>0.58958333333333335</v>
      </c>
      <c r="H143" s="81"/>
      <c r="I143" s="81">
        <f>I19/MAX($B19:$W19)</f>
        <v>1</v>
      </c>
      <c r="J143" s="81">
        <f>J19/MAX($B19:$W19)</f>
        <v>0.47083333333333333</v>
      </c>
      <c r="K143" s="81"/>
      <c r="L143" s="81">
        <f>L19/MAX($B19:$W19)</f>
        <v>0.1125</v>
      </c>
      <c r="M143" s="81">
        <f t="shared" si="10"/>
        <v>2.5000000000000001E-2</v>
      </c>
      <c r="N143" s="81">
        <f>N19/MAX($B19:$W19)</f>
        <v>4.1666666666666666E-3</v>
      </c>
      <c r="O143" s="81"/>
      <c r="P143" s="81">
        <f>P19/MAX($B19:$W19)</f>
        <v>0</v>
      </c>
      <c r="Q143" s="81"/>
      <c r="R143" s="81"/>
      <c r="S143" s="81"/>
      <c r="T143" s="81"/>
      <c r="U143" s="81"/>
      <c r="V143" s="81"/>
      <c r="W143" s="81"/>
      <c r="X143" s="1">
        <v>780</v>
      </c>
      <c r="Z143" s="56">
        <v>101</v>
      </c>
    </row>
    <row r="144" spans="1:26" x14ac:dyDescent="0.2">
      <c r="A144" s="1">
        <v>2010</v>
      </c>
      <c r="B144" s="81"/>
      <c r="C144" s="81"/>
      <c r="D144" s="81"/>
      <c r="E144" s="81"/>
      <c r="F144" s="81"/>
      <c r="G144" s="81"/>
      <c r="H144" s="81">
        <f>H20/MAX($B20:$W20)</f>
        <v>8.8652482269503549E-2</v>
      </c>
      <c r="I144" s="81"/>
      <c r="J144" s="81">
        <f>J20/MAX($B20:$W20)</f>
        <v>1</v>
      </c>
      <c r="K144" s="81"/>
      <c r="L144" s="81"/>
      <c r="M144" s="81">
        <f t="shared" si="10"/>
        <v>0.11702127659574468</v>
      </c>
      <c r="N144" s="81">
        <f>N20/MAX($B20:$W20)</f>
        <v>1.0638297872340425E-2</v>
      </c>
      <c r="O144" s="81"/>
      <c r="P144" s="81">
        <f>P20/MAX($B20:$W20)</f>
        <v>0</v>
      </c>
      <c r="Q144" s="81"/>
      <c r="R144" s="81"/>
      <c r="S144" s="81"/>
      <c r="T144" s="81"/>
      <c r="U144" s="81"/>
      <c r="V144" s="81"/>
      <c r="W144" s="81"/>
      <c r="X144" s="1">
        <v>380</v>
      </c>
      <c r="Z144" s="56">
        <v>101</v>
      </c>
    </row>
    <row r="145" spans="1:26" x14ac:dyDescent="0.2">
      <c r="A145" s="1">
        <v>2011</v>
      </c>
      <c r="B145" s="81"/>
      <c r="C145" s="81"/>
      <c r="D145" s="81"/>
      <c r="E145" s="81"/>
      <c r="F145" s="81"/>
      <c r="G145" s="81">
        <f>G21/MAX($B21:$W21)</f>
        <v>1.1363636363636364E-2</v>
      </c>
      <c r="H145" s="81">
        <f>H21/MAX($B21:$W21)</f>
        <v>0.10227272727272728</v>
      </c>
      <c r="I145" s="81"/>
      <c r="J145" s="81">
        <f>J21/MAX($B21:$W21)</f>
        <v>1</v>
      </c>
      <c r="K145" s="81">
        <f>K21/MAX($B21:$W21)</f>
        <v>0.4375</v>
      </c>
      <c r="L145" s="81">
        <f>L21/MAX($B21:$W21)</f>
        <v>6.25E-2</v>
      </c>
      <c r="M145" s="81"/>
      <c r="N145" s="81">
        <f>N21/MAX($B21:$W21)</f>
        <v>0</v>
      </c>
      <c r="O145" s="81">
        <f>O21/MAX($B21:$W21)</f>
        <v>0</v>
      </c>
      <c r="P145" s="81"/>
      <c r="Q145" s="81">
        <f>Q21/MAX($B21:$W21)</f>
        <v>0</v>
      </c>
      <c r="R145" s="81"/>
      <c r="S145" s="81"/>
      <c r="T145" s="81">
        <f>T21/MAX($B21:$W21)</f>
        <v>5.681818181818182E-3</v>
      </c>
      <c r="U145" s="81"/>
      <c r="V145" s="81"/>
      <c r="W145" s="81"/>
      <c r="X145" s="1">
        <f t="shared" ref="X145:X154" si="11">X21</f>
        <v>219</v>
      </c>
      <c r="Z145" s="56">
        <v>101</v>
      </c>
    </row>
    <row r="146" spans="1:26" x14ac:dyDescent="0.2">
      <c r="A146" s="1">
        <v>2012</v>
      </c>
      <c r="B146" s="81"/>
      <c r="C146" s="81"/>
      <c r="D146" s="81"/>
      <c r="E146" s="81"/>
      <c r="F146" s="81">
        <f>F22/MAX($B22:$W22)</f>
        <v>0</v>
      </c>
      <c r="G146" s="81">
        <f>G22/MAX($B22:$W22)</f>
        <v>0.13761467889908258</v>
      </c>
      <c r="H146" s="81">
        <f>H22/MAX($B22:$W22)</f>
        <v>0.16513761467889909</v>
      </c>
      <c r="I146" s="81"/>
      <c r="J146" s="81">
        <f>J22/MAX($B22:$W22)</f>
        <v>9.1743119266055051E-2</v>
      </c>
      <c r="K146" s="81"/>
      <c r="L146" s="81"/>
      <c r="M146" s="81">
        <f>M22/MAX($B22:$W22)</f>
        <v>1</v>
      </c>
      <c r="N146" s="81"/>
      <c r="O146" s="81">
        <f>O22/MAX($B22:$W22)</f>
        <v>0</v>
      </c>
      <c r="P146" s="81"/>
      <c r="Q146" s="81"/>
      <c r="R146" s="81"/>
      <c r="S146" s="81"/>
      <c r="T146" s="81"/>
      <c r="U146" s="81"/>
      <c r="V146" s="81"/>
      <c r="W146" s="81"/>
      <c r="X146" s="1">
        <f t="shared" si="11"/>
        <v>163</v>
      </c>
    </row>
    <row r="147" spans="1:26" x14ac:dyDescent="0.2">
      <c r="A147" s="1">
        <v>2013</v>
      </c>
      <c r="B147" s="81"/>
      <c r="C147" s="81"/>
      <c r="D147" s="81"/>
      <c r="E147" s="81"/>
      <c r="F147" s="81">
        <f>F23/MAX($B23:$W23)</f>
        <v>3.1914893617021274E-2</v>
      </c>
      <c r="G147" s="81"/>
      <c r="H147" s="81">
        <f>H23/MAX($B23:$W23)</f>
        <v>4.8936170212765959E-2</v>
      </c>
      <c r="I147" s="81">
        <f>I23/MAX($B23:$W23)</f>
        <v>1</v>
      </c>
      <c r="J147" s="81"/>
      <c r="K147" s="81">
        <f>K23/MAX($B23:$W23)</f>
        <v>0.5446808510638298</v>
      </c>
      <c r="L147" s="81"/>
      <c r="M147" s="81">
        <f>M23/MAX($B23:$W23)</f>
        <v>2.1276595744680851E-3</v>
      </c>
      <c r="N147" s="81"/>
      <c r="O147" s="81">
        <f>O23/MAX($B23:$W23)</f>
        <v>0</v>
      </c>
      <c r="P147" s="81"/>
      <c r="Q147" s="81"/>
      <c r="R147" s="81"/>
      <c r="S147" s="81"/>
      <c r="T147" s="81"/>
      <c r="U147" s="81"/>
      <c r="V147" s="81"/>
      <c r="W147" s="81"/>
      <c r="X147" s="1">
        <f t="shared" si="11"/>
        <v>545</v>
      </c>
    </row>
    <row r="148" spans="1:26" x14ac:dyDescent="0.2">
      <c r="A148" s="1">
        <v>2014</v>
      </c>
      <c r="B148" s="81"/>
      <c r="C148" s="81"/>
      <c r="D148" s="81"/>
      <c r="E148" s="81"/>
      <c r="F148" s="81">
        <v>5.7347670250896057E-2</v>
      </c>
      <c r="G148" s="81"/>
      <c r="H148" s="81">
        <f>H24/MAX($B24:$W24)</f>
        <v>0</v>
      </c>
      <c r="I148" s="81">
        <f>I24/MAX($B24:$W24)</f>
        <v>1</v>
      </c>
      <c r="J148" s="81"/>
      <c r="K148" s="81">
        <f>K24/MAX($B24:$W24)</f>
        <v>0.98630136986301364</v>
      </c>
      <c r="L148" s="81"/>
      <c r="M148" s="81">
        <f>M24/MAX($B24:$W24)</f>
        <v>5.4794520547945202E-2</v>
      </c>
      <c r="N148" s="81"/>
      <c r="O148" s="81"/>
      <c r="P148" s="81">
        <f>P24/MAX($B24:$W24)</f>
        <v>0</v>
      </c>
      <c r="Q148" s="81"/>
      <c r="R148" s="81"/>
      <c r="S148" s="81"/>
      <c r="T148" s="81"/>
      <c r="U148" s="81"/>
      <c r="V148" s="81"/>
      <c r="W148" s="81"/>
      <c r="X148" s="1">
        <f t="shared" si="11"/>
        <v>91</v>
      </c>
    </row>
    <row r="149" spans="1:26" x14ac:dyDescent="0.2">
      <c r="A149" s="1">
        <v>2015</v>
      </c>
      <c r="B149" s="81"/>
      <c r="C149" s="81"/>
      <c r="D149" s="81"/>
      <c r="E149" s="81"/>
      <c r="F149" s="81">
        <f>F25/MAX($B25:$W25)</f>
        <v>0.47826086956521741</v>
      </c>
      <c r="G149" s="81">
        <f>G25/MAX($B25:$W25)</f>
        <v>0.6</v>
      </c>
      <c r="H149" s="81"/>
      <c r="I149" s="81"/>
      <c r="J149" s="81">
        <f>J25/MAX($B25:$W25)</f>
        <v>1</v>
      </c>
      <c r="K149" s="81">
        <f>K25/MAX($B25:$W25)</f>
        <v>0.3</v>
      </c>
      <c r="L149" s="81">
        <f>L25/MAX($B25:$W25)</f>
        <v>0.11304347826086956</v>
      </c>
      <c r="M149" s="81"/>
      <c r="N149" s="81">
        <f>N25/MAX($B25:$W25)</f>
        <v>8.6956521739130436E-3</v>
      </c>
      <c r="O149" s="81">
        <f>O25/MAX($B25:$W25)</f>
        <v>4.3478260869565218E-3</v>
      </c>
      <c r="P149" s="81"/>
      <c r="Q149" s="81"/>
      <c r="R149" s="81"/>
      <c r="S149" s="81"/>
      <c r="T149" s="81"/>
      <c r="U149" s="81"/>
      <c r="V149" s="81"/>
      <c r="W149" s="81"/>
      <c r="X149" s="1">
        <f t="shared" si="11"/>
        <v>310</v>
      </c>
    </row>
    <row r="150" spans="1:26" x14ac:dyDescent="0.2">
      <c r="A150" s="1">
        <v>2016</v>
      </c>
      <c r="B150" s="81"/>
      <c r="C150" s="81"/>
      <c r="D150" s="81"/>
      <c r="E150" s="81"/>
      <c r="F150" s="81"/>
      <c r="G150" s="81">
        <f>G26/MAX($B26:$W26)</f>
        <v>0.45161290322580644</v>
      </c>
      <c r="H150" s="81">
        <f>H26/MAX($B26:$W26)</f>
        <v>0.44086021505376344</v>
      </c>
      <c r="I150" s="81">
        <f>I26/MAX($B26:$W26)</f>
        <v>1</v>
      </c>
      <c r="J150" s="81">
        <f>J26/MAX($B26:$W26)</f>
        <v>0.75268817204301075</v>
      </c>
      <c r="K150" s="81"/>
      <c r="L150" s="81">
        <f>L26/MAX($B26:$W26)</f>
        <v>0.19892473118279569</v>
      </c>
      <c r="M150" s="81"/>
      <c r="N150" s="81"/>
      <c r="O150" s="81">
        <f>O26/MAX($B26:$W26)</f>
        <v>1.0752688172043012E-2</v>
      </c>
      <c r="P150" s="81"/>
      <c r="Q150" s="81">
        <f>Q26/MAX($B26:$W26)</f>
        <v>2.1505376344086023E-2</v>
      </c>
      <c r="R150" s="81"/>
      <c r="S150" s="81"/>
      <c r="T150" s="81"/>
      <c r="U150" s="81"/>
      <c r="V150" s="81"/>
      <c r="W150" s="81"/>
      <c r="X150" s="1">
        <f t="shared" si="11"/>
        <v>258</v>
      </c>
    </row>
    <row r="151" spans="1:26" x14ac:dyDescent="0.2">
      <c r="A151" s="1">
        <v>2017</v>
      </c>
      <c r="B151" s="81"/>
      <c r="C151" s="81"/>
      <c r="D151" s="81"/>
      <c r="E151" s="81"/>
      <c r="F151" s="81">
        <f t="shared" ref="F151:H152" si="12">F27/MAX($B27:$W27)</f>
        <v>0</v>
      </c>
      <c r="G151" s="81">
        <f t="shared" si="12"/>
        <v>1.7964071856287425E-2</v>
      </c>
      <c r="H151" s="81">
        <f t="shared" si="12"/>
        <v>1</v>
      </c>
      <c r="I151" s="81"/>
      <c r="J151" s="81">
        <f>J27/MAX($B27:$W27)</f>
        <v>0.89520958083832336</v>
      </c>
      <c r="K151" s="81">
        <f>K27/MAX($B27:$W27)</f>
        <v>0.4820359281437126</v>
      </c>
      <c r="L151" s="81"/>
      <c r="M151" s="81">
        <f>M27/MAX($B27:$W27)</f>
        <v>3.5928143712574849E-2</v>
      </c>
      <c r="N151" s="81">
        <f>N27/MAX($B27:$W27)</f>
        <v>2.9940119760479044E-3</v>
      </c>
      <c r="O151" s="81"/>
      <c r="P151" s="81"/>
      <c r="Q151" s="81"/>
      <c r="R151" s="81"/>
      <c r="S151" s="81"/>
      <c r="T151" s="81"/>
      <c r="U151" s="81"/>
      <c r="V151" s="81"/>
      <c r="W151" s="81"/>
      <c r="X151" s="1">
        <f t="shared" si="11"/>
        <v>569</v>
      </c>
    </row>
    <row r="152" spans="1:26" x14ac:dyDescent="0.2">
      <c r="A152" s="1">
        <v>2018</v>
      </c>
      <c r="B152" s="81"/>
      <c r="C152" s="81"/>
      <c r="D152" s="81"/>
      <c r="E152" s="81"/>
      <c r="F152" s="81">
        <f t="shared" si="12"/>
        <v>0</v>
      </c>
      <c r="G152" s="81">
        <f t="shared" si="12"/>
        <v>0.86492622020431331</v>
      </c>
      <c r="H152" s="81">
        <f t="shared" si="12"/>
        <v>1</v>
      </c>
      <c r="I152" s="81">
        <f>I28/MAX($B28:$W28)</f>
        <v>0.63904653802497158</v>
      </c>
      <c r="J152" s="81"/>
      <c r="K152" s="81">
        <f>K28/MAX($B28:$W28)</f>
        <v>0.21566401816118047</v>
      </c>
      <c r="L152" s="81"/>
      <c r="M152" s="81"/>
      <c r="N152" s="81"/>
      <c r="O152" s="81">
        <f>O28/MAX($B28:$W28)</f>
        <v>4.5402951191827468E-3</v>
      </c>
      <c r="P152" s="81"/>
      <c r="Q152" s="81"/>
      <c r="R152" s="81"/>
      <c r="S152" s="81"/>
      <c r="T152" s="81"/>
      <c r="U152" s="81"/>
      <c r="V152" s="81"/>
      <c r="W152" s="81"/>
      <c r="X152" s="1">
        <f t="shared" si="11"/>
        <v>1442</v>
      </c>
    </row>
    <row r="153" spans="1:26" x14ac:dyDescent="0.2">
      <c r="A153" s="1">
        <v>2019</v>
      </c>
      <c r="B153" s="81"/>
      <c r="C153" s="81"/>
      <c r="D153" s="81"/>
      <c r="E153" s="81"/>
      <c r="F153" s="81">
        <f t="shared" ref="F153:O153" si="13">F29/MAX($B29:$W29)</f>
        <v>3.4158838599487617E-3</v>
      </c>
      <c r="G153" s="81"/>
      <c r="H153" s="81">
        <f t="shared" si="13"/>
        <v>1</v>
      </c>
      <c r="I153" s="81">
        <f t="shared" si="13"/>
        <v>0.85482493595217768</v>
      </c>
      <c r="J153" s="81"/>
      <c r="K153" s="81">
        <f t="shared" si="13"/>
        <v>0.24679760888129804</v>
      </c>
      <c r="L153" s="81"/>
      <c r="M153" s="81"/>
      <c r="N153" s="81">
        <f t="shared" si="13"/>
        <v>1.4517506404782237E-2</v>
      </c>
      <c r="O153" s="81">
        <f t="shared" si="13"/>
        <v>3.4158838599487617E-3</v>
      </c>
      <c r="P153" s="81"/>
      <c r="Q153" s="81"/>
      <c r="R153" s="81"/>
      <c r="S153" s="81"/>
      <c r="T153" s="81"/>
      <c r="U153" s="81"/>
      <c r="V153" s="81"/>
      <c r="W153" s="81"/>
      <c r="X153" s="1">
        <f t="shared" si="11"/>
        <v>1763</v>
      </c>
    </row>
    <row r="154" spans="1:26" x14ac:dyDescent="0.2">
      <c r="A154" s="1">
        <v>2020</v>
      </c>
      <c r="B154" s="81"/>
      <c r="C154" s="81"/>
      <c r="D154" s="81"/>
      <c r="E154" s="81"/>
      <c r="F154" s="81">
        <f>F30/MAX($B30:$W30)</f>
        <v>1.969057665260197E-2</v>
      </c>
      <c r="G154" s="81">
        <f>G30/MAX($B30:$W30)</f>
        <v>0</v>
      </c>
      <c r="H154" s="81">
        <f>H30/MAX($B30:$W30)</f>
        <v>5.4852320675105488E-2</v>
      </c>
      <c r="I154" s="81">
        <f>I30/MAX($B30:$W30)</f>
        <v>0.49507735583684953</v>
      </c>
      <c r="J154" s="81"/>
      <c r="K154" s="81">
        <f>K30/MAX($B30:$W30)</f>
        <v>0.51195499296765123</v>
      </c>
      <c r="L154" s="81"/>
      <c r="M154" s="81"/>
      <c r="N154" s="81"/>
      <c r="O154" s="81">
        <f>O30/MAX($B30:$W30)</f>
        <v>1.1251758087201125E-2</v>
      </c>
      <c r="P154" s="81"/>
      <c r="Q154" s="81"/>
      <c r="R154" s="81"/>
      <c r="S154" s="81"/>
      <c r="T154" s="81"/>
      <c r="U154" s="81"/>
      <c r="V154" s="81"/>
      <c r="W154" s="81"/>
      <c r="X154" s="1">
        <f t="shared" si="11"/>
        <v>855</v>
      </c>
    </row>
    <row r="155" spans="1:26" x14ac:dyDescent="0.2">
      <c r="A155" s="1">
        <v>2021</v>
      </c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1"/>
    </row>
    <row r="156" spans="1:26" x14ac:dyDescent="0.2">
      <c r="A156" s="1">
        <v>2022</v>
      </c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1"/>
    </row>
    <row r="157" spans="1:26" x14ac:dyDescent="0.2">
      <c r="A157" s="64" t="s">
        <v>17</v>
      </c>
      <c r="B157" s="85"/>
      <c r="C157" s="85">
        <f>AVERAGE(C129:C151)</f>
        <v>0</v>
      </c>
      <c r="D157" s="85">
        <f t="shared" ref="D157:U157" si="14">AVERAGE(D129:D151)</f>
        <v>0</v>
      </c>
      <c r="E157" s="85">
        <f t="shared" si="14"/>
        <v>0.13395528437311166</v>
      </c>
      <c r="F157" s="85">
        <f t="shared" si="14"/>
        <v>0.10126476302807755</v>
      </c>
      <c r="G157" s="85">
        <f t="shared" si="14"/>
        <v>0.31542750842590755</v>
      </c>
      <c r="H157" s="85">
        <f t="shared" si="14"/>
        <v>0.53685672633279735</v>
      </c>
      <c r="I157" s="85">
        <f t="shared" si="14"/>
        <v>0.70189782848870985</v>
      </c>
      <c r="J157" s="85">
        <f t="shared" si="14"/>
        <v>0.75099000013614148</v>
      </c>
      <c r="K157" s="85">
        <f t="shared" si="14"/>
        <v>0.57237547485888418</v>
      </c>
      <c r="L157" s="85">
        <f t="shared" si="14"/>
        <v>0.19676744524720399</v>
      </c>
      <c r="M157" s="85">
        <f t="shared" si="14"/>
        <v>0.10655557614559952</v>
      </c>
      <c r="N157" s="85">
        <f t="shared" si="14"/>
        <v>1.9779705280787211E-2</v>
      </c>
      <c r="O157" s="85">
        <f t="shared" si="14"/>
        <v>3.1670918414300597E-3</v>
      </c>
      <c r="P157" s="85">
        <f t="shared" si="14"/>
        <v>1.6448439841052701E-3</v>
      </c>
      <c r="Q157" s="85">
        <f t="shared" si="14"/>
        <v>2.355950822098152E-3</v>
      </c>
      <c r="R157" s="85"/>
      <c r="S157" s="85">
        <f t="shared" si="14"/>
        <v>0</v>
      </c>
      <c r="T157" s="85">
        <f t="shared" si="14"/>
        <v>2.840909090909091E-3</v>
      </c>
      <c r="U157" s="85">
        <f t="shared" si="14"/>
        <v>0</v>
      </c>
      <c r="V157" s="85"/>
      <c r="W157" s="16"/>
      <c r="X157" s="16">
        <f>AVERAGE(X129:X143)</f>
        <v>665.66666666666663</v>
      </c>
    </row>
    <row r="159" spans="1:26" ht="13.5" thickBot="1" x14ac:dyDescent="0.25">
      <c r="A159" s="2" t="s">
        <v>94</v>
      </c>
      <c r="E159" s="2" t="s">
        <v>410</v>
      </c>
    </row>
    <row r="160" spans="1:26" ht="13.5" thickTop="1" x14ac:dyDescent="0.2">
      <c r="A160" s="1004" t="s">
        <v>0</v>
      </c>
      <c r="B160" s="1006" t="s">
        <v>1</v>
      </c>
      <c r="C160" s="1006"/>
      <c r="D160" s="1006"/>
      <c r="E160" s="1006"/>
      <c r="F160" s="1006"/>
      <c r="G160" s="1006"/>
      <c r="H160" s="1006"/>
      <c r="I160" s="1006"/>
      <c r="J160" s="1006"/>
      <c r="K160" s="1006"/>
      <c r="L160" s="1006"/>
      <c r="M160" s="1006"/>
      <c r="N160" s="1006"/>
      <c r="O160" s="1006"/>
      <c r="P160" s="1006"/>
      <c r="Q160" s="1006"/>
      <c r="R160" s="1006"/>
      <c r="S160" s="1006"/>
      <c r="T160" s="1006"/>
      <c r="U160" s="1006"/>
      <c r="V160" s="1006"/>
      <c r="W160" s="1006"/>
      <c r="X160" s="1004" t="s">
        <v>411</v>
      </c>
      <c r="Y160" s="1004"/>
    </row>
    <row r="161" spans="1:25" x14ac:dyDescent="0.2">
      <c r="A161" s="1005"/>
      <c r="B161" s="482">
        <v>81</v>
      </c>
      <c r="C161" s="482">
        <v>82</v>
      </c>
      <c r="D161" s="482">
        <v>83</v>
      </c>
      <c r="E161" s="482">
        <v>84</v>
      </c>
      <c r="F161" s="482">
        <v>91</v>
      </c>
      <c r="G161" s="482">
        <v>92</v>
      </c>
      <c r="H161" s="482">
        <v>93</v>
      </c>
      <c r="I161" s="482">
        <v>94</v>
      </c>
      <c r="J161" s="482">
        <v>101</v>
      </c>
      <c r="K161" s="482">
        <v>102</v>
      </c>
      <c r="L161" s="482">
        <v>103</v>
      </c>
      <c r="M161" s="482">
        <v>104</v>
      </c>
      <c r="N161" s="482">
        <v>105</v>
      </c>
      <c r="O161" s="482">
        <v>111</v>
      </c>
      <c r="P161" s="482">
        <v>112</v>
      </c>
      <c r="Q161" s="482">
        <v>113</v>
      </c>
      <c r="R161" s="482">
        <v>114</v>
      </c>
      <c r="S161" s="482">
        <v>115</v>
      </c>
      <c r="T161" s="482">
        <v>121</v>
      </c>
      <c r="U161" s="482">
        <v>122</v>
      </c>
      <c r="V161" s="482">
        <v>123</v>
      </c>
      <c r="W161" s="482">
        <v>124</v>
      </c>
      <c r="X161" s="1005"/>
      <c r="Y161" s="1005"/>
    </row>
    <row r="162" spans="1:25" x14ac:dyDescent="0.2">
      <c r="A162" s="1">
        <v>1995</v>
      </c>
      <c r="B162" s="81"/>
      <c r="C162" s="81"/>
      <c r="D162" s="81"/>
      <c r="E162" s="81"/>
      <c r="F162" s="81"/>
      <c r="G162" s="81"/>
      <c r="H162" s="81"/>
      <c r="I162" s="81">
        <f>I5/$X162</f>
        <v>0.05</v>
      </c>
      <c r="J162" s="81">
        <f>J5/$X162</f>
        <v>0.87187499999999996</v>
      </c>
      <c r="K162" s="81"/>
      <c r="L162" s="81">
        <f>L5/$X162</f>
        <v>7.8125E-2</v>
      </c>
      <c r="M162" s="81"/>
      <c r="N162" s="81">
        <f>N5/$X162</f>
        <v>0</v>
      </c>
      <c r="O162" s="81"/>
      <c r="P162" s="81"/>
      <c r="Q162" s="81"/>
      <c r="R162" s="81"/>
      <c r="S162" s="81"/>
      <c r="T162" s="81"/>
      <c r="U162" s="81"/>
      <c r="V162" s="81"/>
      <c r="W162" s="81"/>
      <c r="X162" s="7">
        <f t="shared" ref="X162:X187" si="15">SUM(B5:W5)</f>
        <v>320</v>
      </c>
    </row>
    <row r="163" spans="1:25" x14ac:dyDescent="0.2">
      <c r="A163" s="1">
        <v>1996</v>
      </c>
      <c r="B163" s="81"/>
      <c r="C163" s="81"/>
      <c r="D163" s="81"/>
      <c r="E163" s="81"/>
      <c r="F163" s="81">
        <f>F6/$X163</f>
        <v>0</v>
      </c>
      <c r="G163" s="81"/>
      <c r="H163" s="81">
        <f>H6/$X163</f>
        <v>0.4325</v>
      </c>
      <c r="I163" s="81">
        <f>I6/$X163</f>
        <v>0.14166666666666666</v>
      </c>
      <c r="J163" s="81">
        <f>J6/$X163</f>
        <v>0.29166666666666669</v>
      </c>
      <c r="K163" s="81">
        <f>K6/$X163</f>
        <v>0.1275</v>
      </c>
      <c r="L163" s="81"/>
      <c r="M163" s="81">
        <f>M6/$X163</f>
        <v>5.8333333333333336E-3</v>
      </c>
      <c r="N163" s="81">
        <f>N6/$X163</f>
        <v>8.3333333333333339E-4</v>
      </c>
      <c r="O163" s="81">
        <f>O6/$X163</f>
        <v>0</v>
      </c>
      <c r="P163" s="81"/>
      <c r="Q163" s="81">
        <f>Q6/$X163</f>
        <v>0</v>
      </c>
      <c r="R163" s="81"/>
      <c r="S163" s="81"/>
      <c r="T163" s="81"/>
      <c r="U163" s="81"/>
      <c r="V163" s="81"/>
      <c r="W163" s="81"/>
      <c r="X163" s="7">
        <f t="shared" si="15"/>
        <v>1200</v>
      </c>
    </row>
    <row r="164" spans="1:25" x14ac:dyDescent="0.2">
      <c r="A164" s="1">
        <v>1997</v>
      </c>
      <c r="B164" s="81"/>
      <c r="C164" s="81"/>
      <c r="D164" s="81">
        <f>D7/$X164</f>
        <v>0</v>
      </c>
      <c r="E164" s="81"/>
      <c r="F164" s="81">
        <f>F7/$X164</f>
        <v>1.1013215859030838E-3</v>
      </c>
      <c r="G164" s="81"/>
      <c r="H164" s="81">
        <f>H7/$X164</f>
        <v>0.66189427312775329</v>
      </c>
      <c r="I164" s="81">
        <f>I7/$X164</f>
        <v>0.32488986784140972</v>
      </c>
      <c r="J164" s="81"/>
      <c r="K164" s="81"/>
      <c r="L164" s="81">
        <f>L7/$X164</f>
        <v>1.1013215859030838E-2</v>
      </c>
      <c r="M164" s="81">
        <f>M7/$X164</f>
        <v>0</v>
      </c>
      <c r="N164" s="81"/>
      <c r="O164" s="81">
        <f>O7/$X164</f>
        <v>0</v>
      </c>
      <c r="P164" s="81"/>
      <c r="Q164" s="81">
        <f>Q7/$X164</f>
        <v>1.1013215859030838E-3</v>
      </c>
      <c r="R164" s="81"/>
      <c r="S164" s="81">
        <f>S7/$X164</f>
        <v>0</v>
      </c>
      <c r="T164" s="81"/>
      <c r="U164" s="81"/>
      <c r="V164" s="81"/>
      <c r="W164" s="81"/>
      <c r="X164" s="7">
        <f t="shared" si="15"/>
        <v>908</v>
      </c>
    </row>
    <row r="165" spans="1:25" x14ac:dyDescent="0.2">
      <c r="A165" s="1">
        <v>1998</v>
      </c>
      <c r="B165" s="81"/>
      <c r="C165" s="81">
        <f>C8/$X165</f>
        <v>0</v>
      </c>
      <c r="D165" s="81"/>
      <c r="E165" s="81"/>
      <c r="F165" s="81"/>
      <c r="G165" s="81"/>
      <c r="H165" s="81"/>
      <c r="I165" s="81"/>
      <c r="J165" s="81">
        <f>J8/$X165</f>
        <v>0.13018867924528302</v>
      </c>
      <c r="K165" s="81">
        <f>K8/$X165</f>
        <v>0.76981132075471703</v>
      </c>
      <c r="L165" s="81"/>
      <c r="M165" s="81">
        <f>M8/$X165</f>
        <v>6.2264150943396226E-2</v>
      </c>
      <c r="N165" s="81">
        <f>N8/$X165</f>
        <v>3.3962264150943396E-2</v>
      </c>
      <c r="O165" s="81"/>
      <c r="P165" s="81">
        <f>P8/$X165</f>
        <v>3.7735849056603774E-3</v>
      </c>
      <c r="Q165" s="81"/>
      <c r="R165" s="81"/>
      <c r="S165" s="81"/>
      <c r="T165" s="81"/>
      <c r="U165" s="81"/>
      <c r="V165" s="81"/>
      <c r="W165" s="81"/>
      <c r="X165" s="7">
        <f t="shared" si="15"/>
        <v>530</v>
      </c>
    </row>
    <row r="166" spans="1:25" x14ac:dyDescent="0.2">
      <c r="A166" s="1">
        <v>1999</v>
      </c>
      <c r="B166" s="81"/>
      <c r="C166" s="81"/>
      <c r="D166" s="81"/>
      <c r="E166" s="81"/>
      <c r="F166" s="81"/>
      <c r="G166" s="81">
        <f>G9/$X166</f>
        <v>1.2925969447708578E-2</v>
      </c>
      <c r="H166" s="81"/>
      <c r="I166" s="81"/>
      <c r="J166" s="81">
        <f>J9/$X166</f>
        <v>0.74618096357226793</v>
      </c>
      <c r="K166" s="81">
        <f>K9/$X166</f>
        <v>0.1891891891891892</v>
      </c>
      <c r="L166" s="81"/>
      <c r="M166" s="81">
        <f>M9/$X166</f>
        <v>4.2890716803760283E-2</v>
      </c>
      <c r="N166" s="81"/>
      <c r="O166" s="81">
        <f>O9/$X166</f>
        <v>7.6380728554641597E-3</v>
      </c>
      <c r="P166" s="81"/>
      <c r="Q166" s="81">
        <f>Q9/$X166</f>
        <v>1.1750881316098707E-3</v>
      </c>
      <c r="R166" s="81"/>
      <c r="S166" s="81"/>
      <c r="T166" s="81">
        <f>T9/$X166</f>
        <v>0</v>
      </c>
      <c r="U166" s="81"/>
      <c r="V166" s="81"/>
      <c r="W166" s="81"/>
      <c r="X166" s="7">
        <f t="shared" si="15"/>
        <v>1702</v>
      </c>
    </row>
    <row r="167" spans="1:25" x14ac:dyDescent="0.2">
      <c r="A167" s="1">
        <v>2000</v>
      </c>
      <c r="B167" s="81"/>
      <c r="C167" s="81"/>
      <c r="D167" s="81"/>
      <c r="E167" s="81"/>
      <c r="F167" s="81"/>
      <c r="G167" s="81"/>
      <c r="H167" s="81">
        <f>H10/$X167</f>
        <v>0.43173431734317341</v>
      </c>
      <c r="I167" s="81"/>
      <c r="J167" s="81"/>
      <c r="K167" s="81">
        <f>K10/$X167</f>
        <v>0.55535055350553508</v>
      </c>
      <c r="L167" s="81"/>
      <c r="M167" s="81"/>
      <c r="N167" s="81">
        <f>N10/$X167</f>
        <v>1.107011070110701E-2</v>
      </c>
      <c r="O167" s="81"/>
      <c r="P167" s="81">
        <f>P10/$X167</f>
        <v>1.8450184501845018E-3</v>
      </c>
      <c r="Q167" s="81"/>
      <c r="R167" s="81"/>
      <c r="S167" s="81"/>
      <c r="T167" s="81"/>
      <c r="U167" s="81"/>
      <c r="V167" s="81"/>
      <c r="W167" s="81"/>
      <c r="X167" s="7">
        <f t="shared" si="15"/>
        <v>1084</v>
      </c>
    </row>
    <row r="168" spans="1:25" x14ac:dyDescent="0.2">
      <c r="A168" s="1">
        <v>2001</v>
      </c>
      <c r="B168" s="81"/>
      <c r="C168" s="81"/>
      <c r="D168" s="81"/>
      <c r="E168" s="81">
        <f>E11/$X168</f>
        <v>5.5427251732101619E-2</v>
      </c>
      <c r="F168" s="81"/>
      <c r="G168" s="81">
        <f>G11/$X168</f>
        <v>8.5450346420323328E-2</v>
      </c>
      <c r="H168" s="81"/>
      <c r="I168" s="81"/>
      <c r="J168" s="81">
        <f>J11/$X168</f>
        <v>0.82909930715935332</v>
      </c>
      <c r="K168" s="81"/>
      <c r="L168" s="81"/>
      <c r="M168" s="81">
        <f>M11/$X168</f>
        <v>2.0785219399538105E-2</v>
      </c>
      <c r="N168" s="81">
        <f>N11/$X168</f>
        <v>9.2378752886836026E-3</v>
      </c>
      <c r="O168" s="81"/>
      <c r="P168" s="81"/>
      <c r="Q168" s="81"/>
      <c r="R168" s="81"/>
      <c r="S168" s="81"/>
      <c r="T168" s="81"/>
      <c r="U168" s="81"/>
      <c r="V168" s="81"/>
      <c r="W168" s="81"/>
      <c r="X168" s="7">
        <f t="shared" si="15"/>
        <v>433</v>
      </c>
    </row>
    <row r="169" spans="1:25" x14ac:dyDescent="0.2">
      <c r="A169" s="1">
        <v>2002</v>
      </c>
      <c r="B169" s="81"/>
      <c r="C169" s="81"/>
      <c r="D169" s="81"/>
      <c r="E169" s="81"/>
      <c r="F169" s="81"/>
      <c r="G169" s="81">
        <f>G12/$X169</f>
        <v>0.49879711307137131</v>
      </c>
      <c r="H169" s="81"/>
      <c r="I169" s="81">
        <f>I12/$X169</f>
        <v>0.42582197273456296</v>
      </c>
      <c r="J169" s="81"/>
      <c r="K169" s="81">
        <f>K12/$X169</f>
        <v>7.3777064955894145E-2</v>
      </c>
      <c r="L169" s="81"/>
      <c r="M169" s="81"/>
      <c r="N169" s="81">
        <f>N12/$X169</f>
        <v>1.6038492381716118E-3</v>
      </c>
      <c r="O169" s="81"/>
      <c r="P169" s="81"/>
      <c r="Q169" s="81">
        <f t="shared" ref="Q169:Q175" si="16">Q12/$X169</f>
        <v>0</v>
      </c>
      <c r="R169" s="81"/>
      <c r="S169" s="81"/>
      <c r="T169" s="81"/>
      <c r="U169" s="81"/>
      <c r="V169" s="81"/>
      <c r="W169" s="81"/>
      <c r="X169" s="7">
        <f t="shared" si="15"/>
        <v>1247</v>
      </c>
    </row>
    <row r="170" spans="1:25" x14ac:dyDescent="0.2">
      <c r="A170" s="1">
        <v>2003</v>
      </c>
      <c r="B170" s="81"/>
      <c r="C170" s="81"/>
      <c r="D170" s="81"/>
      <c r="E170" s="81">
        <f>E13/$X170</f>
        <v>9.4137076796036334E-2</v>
      </c>
      <c r="F170" s="81"/>
      <c r="G170" s="81">
        <f>G13/$X170</f>
        <v>0.10569777043765483</v>
      </c>
      <c r="H170" s="81"/>
      <c r="I170" s="81">
        <f>I13/$X170</f>
        <v>0.46820809248554912</v>
      </c>
      <c r="J170" s="81"/>
      <c r="K170" s="81">
        <f>K13/$X170</f>
        <v>0.32535094962840627</v>
      </c>
      <c r="L170" s="81"/>
      <c r="M170" s="81">
        <f>M13/$X170</f>
        <v>4.9545829892650699E-3</v>
      </c>
      <c r="N170" s="81"/>
      <c r="O170" s="81"/>
      <c r="P170" s="81"/>
      <c r="Q170" s="81">
        <f t="shared" si="16"/>
        <v>1.6515276630883566E-3</v>
      </c>
      <c r="R170" s="81"/>
      <c r="S170" s="81"/>
      <c r="T170" s="81"/>
      <c r="U170" s="81"/>
      <c r="V170" s="81"/>
      <c r="W170" s="81"/>
      <c r="X170" s="7">
        <f t="shared" si="15"/>
        <v>1211</v>
      </c>
    </row>
    <row r="171" spans="1:25" x14ac:dyDescent="0.2">
      <c r="A171" s="1">
        <v>2004</v>
      </c>
      <c r="B171" s="81"/>
      <c r="C171" s="81"/>
      <c r="D171" s="81"/>
      <c r="E171" s="81"/>
      <c r="F171" s="81"/>
      <c r="G171" s="81"/>
      <c r="H171" s="81">
        <f>H14/$X171</f>
        <v>0.40378548895899052</v>
      </c>
      <c r="I171" s="81"/>
      <c r="J171" s="81">
        <f>J14/$X171</f>
        <v>0.45930599369085173</v>
      </c>
      <c r="K171" s="81"/>
      <c r="L171" s="81">
        <f>L14/$X171</f>
        <v>0.13438485804416403</v>
      </c>
      <c r="M171" s="81"/>
      <c r="N171" s="81">
        <f>N14/$X171</f>
        <v>2.523659305993691E-3</v>
      </c>
      <c r="O171" s="81"/>
      <c r="P171" s="81"/>
      <c r="Q171" s="81">
        <f t="shared" si="16"/>
        <v>0</v>
      </c>
      <c r="R171" s="81"/>
      <c r="S171" s="81"/>
      <c r="T171" s="81"/>
      <c r="U171" s="81"/>
      <c r="V171" s="81"/>
      <c r="W171" s="81"/>
      <c r="X171" s="7">
        <f t="shared" si="15"/>
        <v>1585</v>
      </c>
    </row>
    <row r="172" spans="1:25" x14ac:dyDescent="0.2">
      <c r="A172" s="1">
        <v>2005</v>
      </c>
      <c r="B172" s="81"/>
      <c r="C172" s="81"/>
      <c r="D172" s="81"/>
      <c r="E172" s="81"/>
      <c r="F172" s="81"/>
      <c r="G172" s="81"/>
      <c r="H172" s="81">
        <f>H15/$X172</f>
        <v>9.7560975609756097E-3</v>
      </c>
      <c r="I172" s="81"/>
      <c r="J172" s="81">
        <f>J15/$X172</f>
        <v>0.15121951219512195</v>
      </c>
      <c r="K172" s="81">
        <f>K15/$X172</f>
        <v>0.71707317073170729</v>
      </c>
      <c r="L172" s="81"/>
      <c r="M172" s="81">
        <f t="shared" ref="M172:M177" si="17">M15/$X172</f>
        <v>8.2926829268292687E-2</v>
      </c>
      <c r="N172" s="81">
        <f>N15/$X172</f>
        <v>3.9024390243902439E-2</v>
      </c>
      <c r="O172" s="81"/>
      <c r="P172" s="81"/>
      <c r="Q172" s="81">
        <f t="shared" si="16"/>
        <v>0</v>
      </c>
      <c r="R172" s="81"/>
      <c r="S172" s="81">
        <f>S15/$X172</f>
        <v>0</v>
      </c>
      <c r="T172" s="81"/>
      <c r="U172" s="81"/>
      <c r="V172" s="81"/>
      <c r="W172" s="81"/>
      <c r="X172" s="7">
        <f t="shared" si="15"/>
        <v>205</v>
      </c>
    </row>
    <row r="173" spans="1:25" x14ac:dyDescent="0.2">
      <c r="A173" s="1">
        <v>2006</v>
      </c>
      <c r="B173" s="81"/>
      <c r="C173" s="81"/>
      <c r="D173" s="81"/>
      <c r="E173" s="81"/>
      <c r="F173" s="81"/>
      <c r="G173" s="81"/>
      <c r="H173" s="81">
        <f>H16/$X173</f>
        <v>0.40273037542662116</v>
      </c>
      <c r="I173" s="81">
        <f>I16/$X173</f>
        <v>0.20477815699658702</v>
      </c>
      <c r="J173" s="81"/>
      <c r="K173" s="81">
        <f>K16/$X173</f>
        <v>0.22184300341296928</v>
      </c>
      <c r="L173" s="81">
        <f>L16/$X173</f>
        <v>8.8737201365187715E-2</v>
      </c>
      <c r="M173" s="81">
        <f t="shared" si="17"/>
        <v>3.7542662116040959E-2</v>
      </c>
      <c r="N173" s="81">
        <f>N16/$X173</f>
        <v>4.4368600682593858E-2</v>
      </c>
      <c r="O173" s="81"/>
      <c r="P173" s="81"/>
      <c r="Q173" s="81">
        <f t="shared" si="16"/>
        <v>0</v>
      </c>
      <c r="R173" s="81"/>
      <c r="S173" s="81">
        <f>S16/$X173</f>
        <v>0</v>
      </c>
      <c r="T173" s="81"/>
      <c r="U173" s="81">
        <f>U16/$X173</f>
        <v>0</v>
      </c>
      <c r="V173" s="81"/>
      <c r="W173" s="81"/>
      <c r="X173" s="7">
        <f t="shared" si="15"/>
        <v>293</v>
      </c>
    </row>
    <row r="174" spans="1:25" x14ac:dyDescent="0.2">
      <c r="A174" s="1">
        <v>2007</v>
      </c>
      <c r="B174" s="81"/>
      <c r="C174" s="81"/>
      <c r="D174" s="81"/>
      <c r="E174" s="81"/>
      <c r="F174" s="81">
        <f>F17/$X174</f>
        <v>0.10429447852760736</v>
      </c>
      <c r="G174" s="81"/>
      <c r="H174" s="81">
        <f>H17/$X174</f>
        <v>0.65030674846625769</v>
      </c>
      <c r="I174" s="81"/>
      <c r="J174" s="81"/>
      <c r="K174" s="81">
        <f>K17/$X174</f>
        <v>0.20858895705521471</v>
      </c>
      <c r="L174" s="81"/>
      <c r="M174" s="81">
        <f t="shared" si="17"/>
        <v>3.6809815950920248E-2</v>
      </c>
      <c r="N174" s="81"/>
      <c r="O174" s="81"/>
      <c r="P174" s="81"/>
      <c r="Q174" s="81">
        <f t="shared" si="16"/>
        <v>0</v>
      </c>
      <c r="R174" s="81"/>
      <c r="S174" s="81"/>
      <c r="T174" s="81"/>
      <c r="U174" s="81"/>
      <c r="V174" s="81"/>
      <c r="W174" s="81"/>
      <c r="X174" s="7">
        <f t="shared" si="15"/>
        <v>163</v>
      </c>
    </row>
    <row r="175" spans="1:25" x14ac:dyDescent="0.2">
      <c r="A175" s="1">
        <v>2008</v>
      </c>
      <c r="B175" s="81"/>
      <c r="C175" s="81"/>
      <c r="D175" s="81"/>
      <c r="E175" s="81"/>
      <c r="F175" s="81">
        <f>F18/$X175</f>
        <v>7.7481840193704604E-2</v>
      </c>
      <c r="G175" s="81"/>
      <c r="H175" s="81"/>
      <c r="I175" s="81">
        <f>I18/$X175</f>
        <v>0.20581113801452786</v>
      </c>
      <c r="J175" s="81">
        <f>J18/$X175</f>
        <v>0.42615012106537531</v>
      </c>
      <c r="K175" s="81"/>
      <c r="L175" s="81">
        <f>L18/$X175</f>
        <v>0.28329297820823246</v>
      </c>
      <c r="M175" s="81">
        <f t="shared" si="17"/>
        <v>7.2639225181598066E-3</v>
      </c>
      <c r="N175" s="81"/>
      <c r="O175" s="81"/>
      <c r="P175" s="81"/>
      <c r="Q175" s="81">
        <f t="shared" si="16"/>
        <v>0</v>
      </c>
      <c r="R175" s="81"/>
      <c r="S175" s="81"/>
      <c r="T175" s="81"/>
      <c r="U175" s="81"/>
      <c r="V175" s="81"/>
      <c r="W175" s="81"/>
      <c r="X175" s="7">
        <f t="shared" si="15"/>
        <v>413</v>
      </c>
    </row>
    <row r="176" spans="1:25" x14ac:dyDescent="0.2">
      <c r="A176" s="1">
        <v>2009</v>
      </c>
      <c r="B176" s="81"/>
      <c r="C176" s="81"/>
      <c r="D176" s="81"/>
      <c r="E176" s="81"/>
      <c r="F176" s="81"/>
      <c r="G176" s="81">
        <f>G19/$X176</f>
        <v>0.26773888363292336</v>
      </c>
      <c r="H176" s="81"/>
      <c r="I176" s="81">
        <f>I19/$X176</f>
        <v>0.45411542100283825</v>
      </c>
      <c r="J176" s="81">
        <f>J19/$X176</f>
        <v>0.21381267738883633</v>
      </c>
      <c r="K176" s="81"/>
      <c r="L176" s="81">
        <f>L19/$X176</f>
        <v>5.1087984862819298E-2</v>
      </c>
      <c r="M176" s="81">
        <f t="shared" si="17"/>
        <v>1.1352885525070956E-2</v>
      </c>
      <c r="N176" s="81">
        <f>N19/$X176</f>
        <v>1.8921475875118259E-3</v>
      </c>
      <c r="O176" s="81"/>
      <c r="P176" s="81">
        <f>P19/$X176</f>
        <v>0</v>
      </c>
      <c r="Q176" s="81"/>
      <c r="R176" s="81"/>
      <c r="S176" s="81"/>
      <c r="T176" s="81"/>
      <c r="U176" s="81"/>
      <c r="V176" s="81"/>
      <c r="W176" s="81"/>
      <c r="X176" s="7">
        <f t="shared" si="15"/>
        <v>1057</v>
      </c>
    </row>
    <row r="177" spans="1:24" x14ac:dyDescent="0.2">
      <c r="A177" s="1">
        <v>2010</v>
      </c>
      <c r="B177" s="81"/>
      <c r="C177" s="81"/>
      <c r="D177" s="81"/>
      <c r="E177" s="81"/>
      <c r="F177" s="81"/>
      <c r="G177" s="81"/>
      <c r="H177" s="81">
        <f>H20/$X177</f>
        <v>7.2886297376093298E-2</v>
      </c>
      <c r="I177" s="81"/>
      <c r="J177" s="81">
        <f>J20/$X177</f>
        <v>0.82215743440233235</v>
      </c>
      <c r="K177" s="81"/>
      <c r="L177" s="81"/>
      <c r="M177" s="81">
        <f t="shared" si="17"/>
        <v>9.6209912536443148E-2</v>
      </c>
      <c r="N177" s="81">
        <f>N20/$X177</f>
        <v>8.7463556851311956E-3</v>
      </c>
      <c r="O177" s="81"/>
      <c r="P177" s="81">
        <f>P20/$X177</f>
        <v>0</v>
      </c>
      <c r="Q177" s="81"/>
      <c r="R177" s="81"/>
      <c r="S177" s="81"/>
      <c r="T177" s="81"/>
      <c r="U177" s="81"/>
      <c r="V177" s="81"/>
      <c r="W177" s="81"/>
      <c r="X177" s="7">
        <f t="shared" si="15"/>
        <v>343</v>
      </c>
    </row>
    <row r="178" spans="1:24" x14ac:dyDescent="0.2">
      <c r="A178" s="1">
        <v>2011</v>
      </c>
      <c r="B178" s="81"/>
      <c r="C178" s="81"/>
      <c r="D178" s="81"/>
      <c r="E178" s="81"/>
      <c r="F178" s="81"/>
      <c r="G178" s="81">
        <f>G21/$X178</f>
        <v>7.0175438596491229E-3</v>
      </c>
      <c r="H178" s="81">
        <f>H21/$X178</f>
        <v>6.3157894736842107E-2</v>
      </c>
      <c r="I178" s="81"/>
      <c r="J178" s="81">
        <f>J21/$X178</f>
        <v>0.61754385964912284</v>
      </c>
      <c r="K178" s="81">
        <f>K21/$X178</f>
        <v>0.27017543859649124</v>
      </c>
      <c r="L178" s="81">
        <f>L21/$X178</f>
        <v>3.8596491228070177E-2</v>
      </c>
      <c r="M178" s="81"/>
      <c r="N178" s="81">
        <f>N21/$X178</f>
        <v>0</v>
      </c>
      <c r="O178" s="81">
        <f>O21/$X178</f>
        <v>0</v>
      </c>
      <c r="P178" s="81"/>
      <c r="Q178" s="81">
        <f>Q21/$X178</f>
        <v>0</v>
      </c>
      <c r="R178" s="81"/>
      <c r="S178" s="81"/>
      <c r="T178" s="81">
        <f>T21/$X178</f>
        <v>3.5087719298245615E-3</v>
      </c>
      <c r="U178" s="81"/>
      <c r="V178" s="81"/>
      <c r="W178" s="81"/>
      <c r="X178" s="7">
        <f t="shared" si="15"/>
        <v>285</v>
      </c>
    </row>
    <row r="179" spans="1:24" x14ac:dyDescent="0.2">
      <c r="A179" s="1">
        <v>2012</v>
      </c>
      <c r="B179" s="81"/>
      <c r="C179" s="81"/>
      <c r="D179" s="81"/>
      <c r="E179" s="81"/>
      <c r="F179" s="81">
        <f>F22/$X179</f>
        <v>0</v>
      </c>
      <c r="G179" s="81">
        <f>G22/$X179</f>
        <v>9.8684210526315791E-2</v>
      </c>
      <c r="H179" s="81">
        <f>H22/$X179</f>
        <v>0.11842105263157894</v>
      </c>
      <c r="I179" s="81"/>
      <c r="J179" s="81">
        <f>J22/$X179</f>
        <v>6.5789473684210523E-2</v>
      </c>
      <c r="K179" s="81"/>
      <c r="L179" s="81"/>
      <c r="M179" s="81">
        <f>M22/$X179</f>
        <v>0.71710526315789469</v>
      </c>
      <c r="N179" s="81"/>
      <c r="O179" s="81">
        <f>O22/$X179</f>
        <v>0</v>
      </c>
      <c r="P179" s="81"/>
      <c r="Q179" s="81"/>
      <c r="R179" s="81"/>
      <c r="S179" s="81"/>
      <c r="T179" s="81"/>
      <c r="U179" s="81"/>
      <c r="V179" s="81"/>
      <c r="W179" s="81"/>
      <c r="X179" s="7">
        <f t="shared" si="15"/>
        <v>152</v>
      </c>
    </row>
    <row r="180" spans="1:24" x14ac:dyDescent="0.2">
      <c r="A180" s="1">
        <v>2013</v>
      </c>
      <c r="B180" s="81"/>
      <c r="C180" s="81"/>
      <c r="D180" s="81"/>
      <c r="E180" s="81"/>
      <c r="F180" s="81">
        <f>F23/$X180</f>
        <v>1.9607843137254902E-2</v>
      </c>
      <c r="G180" s="81"/>
      <c r="H180" s="81">
        <f>H23/$X180</f>
        <v>3.0065359477124184E-2</v>
      </c>
      <c r="I180" s="81">
        <f>I23/$X180</f>
        <v>0.6143790849673203</v>
      </c>
      <c r="J180" s="81"/>
      <c r="K180" s="81">
        <f>K23/$X180</f>
        <v>0.33464052287581697</v>
      </c>
      <c r="L180" s="81"/>
      <c r="M180" s="81">
        <f>M23/$X180</f>
        <v>1.30718954248366E-3</v>
      </c>
      <c r="N180" s="81"/>
      <c r="O180" s="81">
        <f>O23/$X180</f>
        <v>0</v>
      </c>
      <c r="P180" s="81"/>
      <c r="Q180" s="81"/>
      <c r="R180" s="81"/>
      <c r="S180" s="81"/>
      <c r="T180" s="81"/>
      <c r="U180" s="81"/>
      <c r="V180" s="81"/>
      <c r="W180" s="81"/>
      <c r="X180" s="7">
        <f t="shared" si="15"/>
        <v>765</v>
      </c>
    </row>
    <row r="181" spans="1:24" x14ac:dyDescent="0.2">
      <c r="A181" s="1">
        <v>2014</v>
      </c>
      <c r="B181" s="81"/>
      <c r="C181" s="81"/>
      <c r="D181" s="81"/>
      <c r="E181" s="81"/>
      <c r="F181" s="81">
        <f>F24/$X181</f>
        <v>0</v>
      </c>
      <c r="G181" s="81"/>
      <c r="H181" s="81">
        <f>H24/$X181</f>
        <v>0</v>
      </c>
      <c r="I181" s="81">
        <f>I24/$X181</f>
        <v>0.48993288590604028</v>
      </c>
      <c r="J181" s="81"/>
      <c r="K181" s="81">
        <f>K24/$X181</f>
        <v>0.48322147651006714</v>
      </c>
      <c r="L181" s="81"/>
      <c r="M181" s="81">
        <f>M24/$X181</f>
        <v>2.6845637583892617E-2</v>
      </c>
      <c r="N181" s="81"/>
      <c r="O181" s="81"/>
      <c r="P181" s="81">
        <f>P24/$X181</f>
        <v>0</v>
      </c>
      <c r="Q181" s="81"/>
      <c r="R181" s="81"/>
      <c r="S181" s="81"/>
      <c r="T181" s="81"/>
      <c r="U181" s="81"/>
      <c r="V181" s="81"/>
      <c r="W181" s="81"/>
      <c r="X181" s="7">
        <f t="shared" si="15"/>
        <v>149</v>
      </c>
    </row>
    <row r="182" spans="1:24" x14ac:dyDescent="0.2">
      <c r="A182" s="1">
        <v>2015</v>
      </c>
      <c r="B182" s="81"/>
      <c r="C182" s="81"/>
      <c r="D182" s="81"/>
      <c r="E182" s="81"/>
      <c r="F182" s="81">
        <f>F25/$X182</f>
        <v>0.19097222222222221</v>
      </c>
      <c r="G182" s="81">
        <f>G25/$X182</f>
        <v>0.23958333333333334</v>
      </c>
      <c r="H182" s="81"/>
      <c r="I182" s="81"/>
      <c r="J182" s="81">
        <f>J25/$X182</f>
        <v>0.39930555555555558</v>
      </c>
      <c r="K182" s="81">
        <f>K25/$X182</f>
        <v>0.11979166666666667</v>
      </c>
      <c r="L182" s="81">
        <f>L25/$X182</f>
        <v>4.5138888888888888E-2</v>
      </c>
      <c r="M182" s="81"/>
      <c r="N182" s="81">
        <f>N25/$X182</f>
        <v>3.472222222222222E-3</v>
      </c>
      <c r="O182" s="81">
        <f>O25/$X182</f>
        <v>1.736111111111111E-3</v>
      </c>
      <c r="P182" s="81"/>
      <c r="Q182" s="81"/>
      <c r="R182" s="81"/>
      <c r="S182" s="81"/>
      <c r="T182" s="81"/>
      <c r="U182" s="81"/>
      <c r="V182" s="81"/>
      <c r="W182" s="81"/>
      <c r="X182" s="7">
        <f t="shared" si="15"/>
        <v>576</v>
      </c>
    </row>
    <row r="183" spans="1:24" x14ac:dyDescent="0.2">
      <c r="A183" s="1">
        <v>2016</v>
      </c>
      <c r="B183" s="81"/>
      <c r="C183" s="81"/>
      <c r="D183" s="81"/>
      <c r="E183" s="81"/>
      <c r="F183" s="81"/>
      <c r="G183" s="81">
        <f>G26/$X183</f>
        <v>0.15700934579439252</v>
      </c>
      <c r="H183" s="81">
        <f>H26/$X183</f>
        <v>0.15327102803738318</v>
      </c>
      <c r="I183" s="81">
        <f>I26/$X183</f>
        <v>0.34766355140186916</v>
      </c>
      <c r="J183" s="81">
        <f>J26/$X183</f>
        <v>0.26168224299065418</v>
      </c>
      <c r="K183" s="81"/>
      <c r="L183" s="81">
        <f>L26/$X183</f>
        <v>6.9158878504672894E-2</v>
      </c>
      <c r="M183" s="81"/>
      <c r="N183" s="81"/>
      <c r="O183" s="81">
        <f>O26/$X183</f>
        <v>3.7383177570093459E-3</v>
      </c>
      <c r="P183" s="81"/>
      <c r="Q183" s="81">
        <f>Q26/$X183</f>
        <v>7.4766355140186919E-3</v>
      </c>
      <c r="R183" s="81"/>
      <c r="S183" s="81"/>
      <c r="T183" s="81"/>
      <c r="U183" s="81"/>
      <c r="V183" s="81"/>
      <c r="W183" s="81"/>
      <c r="X183" s="7">
        <f t="shared" si="15"/>
        <v>535</v>
      </c>
    </row>
    <row r="184" spans="1:24" x14ac:dyDescent="0.2">
      <c r="A184" s="1">
        <v>2017</v>
      </c>
      <c r="B184" s="81"/>
      <c r="C184" s="81"/>
      <c r="D184" s="81"/>
      <c r="E184" s="81"/>
      <c r="F184" s="81">
        <f>F27/$X184</f>
        <v>0</v>
      </c>
      <c r="G184" s="81">
        <f>G27/$X184</f>
        <v>7.3800738007380072E-3</v>
      </c>
      <c r="H184" s="81">
        <f>H27/$X184</f>
        <v>0.4108241082410824</v>
      </c>
      <c r="I184" s="81"/>
      <c r="J184" s="81">
        <f>J27/$X184</f>
        <v>0.36777367773677738</v>
      </c>
      <c r="K184" s="81">
        <f>K27/$X184</f>
        <v>0.19803198031980321</v>
      </c>
      <c r="L184" s="81"/>
      <c r="M184" s="81">
        <f>M27/$X184</f>
        <v>1.4760147601476014E-2</v>
      </c>
      <c r="N184" s="81">
        <f>N27/$X184</f>
        <v>1.2300123001230013E-3</v>
      </c>
      <c r="O184" s="81"/>
      <c r="P184" s="81"/>
      <c r="Q184" s="81"/>
      <c r="R184" s="81"/>
      <c r="S184" s="81"/>
      <c r="T184" s="81"/>
      <c r="U184" s="81"/>
      <c r="V184" s="81"/>
      <c r="W184" s="81"/>
      <c r="X184" s="7">
        <f t="shared" si="15"/>
        <v>813</v>
      </c>
    </row>
    <row r="185" spans="1:24" x14ac:dyDescent="0.2">
      <c r="A185" s="1">
        <v>2018</v>
      </c>
      <c r="B185" s="81"/>
      <c r="C185" s="81"/>
      <c r="D185" s="81"/>
      <c r="E185" s="81"/>
      <c r="F185" s="81">
        <f>F28/$X185</f>
        <v>0</v>
      </c>
      <c r="G185" s="81">
        <f>G28/$X185</f>
        <v>0.3175</v>
      </c>
      <c r="H185" s="81">
        <f>H28/$X185</f>
        <v>0.36708333333333332</v>
      </c>
      <c r="I185" s="81">
        <f>I28/$X185</f>
        <v>0.23458333333333334</v>
      </c>
      <c r="J185" s="81"/>
      <c r="K185" s="81">
        <f>K28/$X185</f>
        <v>7.9166666666666663E-2</v>
      </c>
      <c r="L185" s="81"/>
      <c r="M185" s="81"/>
      <c r="N185" s="81"/>
      <c r="O185" s="81">
        <f>O28/$X185</f>
        <v>1.6666666666666668E-3</v>
      </c>
      <c r="P185" s="81"/>
      <c r="Q185" s="81"/>
      <c r="R185" s="81"/>
      <c r="S185" s="81"/>
      <c r="T185" s="81"/>
      <c r="U185" s="81"/>
      <c r="V185" s="81"/>
      <c r="W185" s="81"/>
      <c r="X185" s="7">
        <f t="shared" si="15"/>
        <v>2400</v>
      </c>
    </row>
    <row r="186" spans="1:24" x14ac:dyDescent="0.2">
      <c r="A186" s="1">
        <v>2019</v>
      </c>
      <c r="B186" s="81"/>
      <c r="C186" s="81"/>
      <c r="D186" s="81"/>
      <c r="E186" s="81"/>
      <c r="F186" s="81">
        <f>F29/$X186</f>
        <v>1.6090104585679806E-3</v>
      </c>
      <c r="G186" s="81"/>
      <c r="H186" s="81">
        <f>H29/$X186</f>
        <v>0.47103781174577636</v>
      </c>
      <c r="I186" s="81">
        <f>I29/$X186</f>
        <v>0.40265486725663718</v>
      </c>
      <c r="J186" s="81"/>
      <c r="K186" s="81">
        <f>K29/$X186</f>
        <v>0.11625100563153661</v>
      </c>
      <c r="L186" s="81"/>
      <c r="M186" s="81"/>
      <c r="N186" s="81">
        <f>N29/$X186</f>
        <v>6.8382944489139182E-3</v>
      </c>
      <c r="O186" s="81">
        <f>O29/$X186</f>
        <v>1.6090104585679806E-3</v>
      </c>
      <c r="P186" s="81"/>
      <c r="Q186" s="81"/>
      <c r="R186" s="81"/>
      <c r="S186" s="81"/>
      <c r="T186" s="81"/>
      <c r="U186" s="81"/>
      <c r="V186" s="81"/>
      <c r="W186" s="81"/>
      <c r="X186" s="7">
        <f t="shared" si="15"/>
        <v>2486</v>
      </c>
    </row>
    <row r="187" spans="1:24" x14ac:dyDescent="0.2">
      <c r="A187" s="1">
        <v>2020</v>
      </c>
      <c r="B187" s="81"/>
      <c r="C187" s="81"/>
      <c r="D187" s="81"/>
      <c r="E187" s="81"/>
      <c r="F187" s="81">
        <f>F30/$X187</f>
        <v>9.2838196286472146E-3</v>
      </c>
      <c r="G187" s="81"/>
      <c r="H187" s="81">
        <f>H30/$X187</f>
        <v>2.5862068965517241E-2</v>
      </c>
      <c r="I187" s="81">
        <f>I30/$X187</f>
        <v>0.23342175066312998</v>
      </c>
      <c r="J187" s="81"/>
      <c r="K187" s="81">
        <f>K30/$X187</f>
        <v>0.2413793103448276</v>
      </c>
      <c r="L187" s="81"/>
      <c r="M187" s="81"/>
      <c r="N187" s="81">
        <f>N30/$X187</f>
        <v>0</v>
      </c>
      <c r="O187" s="81">
        <f>O30/$X187</f>
        <v>5.3050397877984082E-3</v>
      </c>
      <c r="P187" s="81"/>
      <c r="Q187" s="81"/>
      <c r="R187" s="81"/>
      <c r="S187" s="81"/>
      <c r="T187" s="81"/>
      <c r="U187" s="81"/>
      <c r="V187" s="81"/>
      <c r="W187" s="81"/>
      <c r="X187" s="7">
        <f t="shared" si="15"/>
        <v>1508</v>
      </c>
    </row>
    <row r="188" spans="1:24" x14ac:dyDescent="0.2">
      <c r="A188" s="1">
        <v>2021</v>
      </c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7"/>
    </row>
    <row r="189" spans="1:24" x14ac:dyDescent="0.2">
      <c r="A189" s="1">
        <v>2022</v>
      </c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7"/>
    </row>
    <row r="190" spans="1:24" x14ac:dyDescent="0.2">
      <c r="A190" s="64" t="s">
        <v>17</v>
      </c>
      <c r="B190" s="85"/>
      <c r="C190" s="85">
        <f>AVERAGE(C162:C184)</f>
        <v>0</v>
      </c>
      <c r="D190" s="85">
        <f t="shared" ref="D190:Q190" si="18">AVERAGE(D162:D184)</f>
        <v>0</v>
      </c>
      <c r="E190" s="85">
        <f t="shared" si="18"/>
        <v>7.4782164264068973E-2</v>
      </c>
      <c r="F190" s="85">
        <f t="shared" si="18"/>
        <v>4.3717522851854679E-2</v>
      </c>
      <c r="G190" s="85">
        <f t="shared" si="18"/>
        <v>0.148028459032441</v>
      </c>
      <c r="H190" s="85">
        <f t="shared" si="18"/>
        <v>0.27438093152741966</v>
      </c>
      <c r="I190" s="85">
        <f t="shared" si="18"/>
        <v>0.33884243981976103</v>
      </c>
      <c r="J190" s="85">
        <f t="shared" si="18"/>
        <v>0.44358341100016063</v>
      </c>
      <c r="K190" s="85">
        <f t="shared" si="18"/>
        <v>0.32816752101446278</v>
      </c>
      <c r="L190" s="85">
        <f t="shared" si="18"/>
        <v>8.8837277440118462E-2</v>
      </c>
      <c r="M190" s="85">
        <f t="shared" si="18"/>
        <v>7.3053266829372979E-2</v>
      </c>
      <c r="N190" s="85">
        <f t="shared" si="18"/>
        <v>1.1283201481408369E-2</v>
      </c>
      <c r="O190" s="85">
        <f t="shared" si="18"/>
        <v>1.639062715448077E-3</v>
      </c>
      <c r="P190" s="85">
        <f t="shared" si="18"/>
        <v>1.1237206711689758E-3</v>
      </c>
      <c r="Q190" s="85">
        <f t="shared" si="18"/>
        <v>9.5038107455166696E-4</v>
      </c>
      <c r="R190" s="85"/>
      <c r="S190" s="85">
        <f>AVERAGE(S162:S184)</f>
        <v>0</v>
      </c>
      <c r="T190" s="85">
        <f>AVERAGE(T162:T184)</f>
        <v>1.7543859649122807E-3</v>
      </c>
      <c r="U190" s="85">
        <f>AVERAGE(U162:U184)</f>
        <v>0</v>
      </c>
      <c r="V190" s="85"/>
      <c r="W190" s="16"/>
      <c r="X190" s="16">
        <f>AVERAGE(X162:X176)</f>
        <v>823.4</v>
      </c>
    </row>
  </sheetData>
  <mergeCells count="33">
    <mergeCell ref="A160:A161"/>
    <mergeCell ref="B160:W160"/>
    <mergeCell ref="X160:Y161"/>
    <mergeCell ref="A1:I1"/>
    <mergeCell ref="B3:W3"/>
    <mergeCell ref="X3:X4"/>
    <mergeCell ref="A36:I36"/>
    <mergeCell ref="A3:A4"/>
    <mergeCell ref="A109:A110"/>
    <mergeCell ref="A127:A128"/>
    <mergeCell ref="B127:W127"/>
    <mergeCell ref="X127:X128"/>
    <mergeCell ref="A71:I71"/>
    <mergeCell ref="A73:A74"/>
    <mergeCell ref="B73:W73"/>
    <mergeCell ref="B109:W109"/>
    <mergeCell ref="X109:X110"/>
    <mergeCell ref="Y109:Y110"/>
    <mergeCell ref="Z109:Z110"/>
    <mergeCell ref="AH3:AH4"/>
    <mergeCell ref="AI3:AI4"/>
    <mergeCell ref="AD3:AF3"/>
    <mergeCell ref="Y73:Y74"/>
    <mergeCell ref="Z73:Z74"/>
    <mergeCell ref="Y3:Y4"/>
    <mergeCell ref="Z3:Z4"/>
    <mergeCell ref="Y38:Y39"/>
    <mergeCell ref="Z38:Z39"/>
    <mergeCell ref="A107:I107"/>
    <mergeCell ref="A38:A39"/>
    <mergeCell ref="B38:W38"/>
    <mergeCell ref="X73:X74"/>
    <mergeCell ref="X38:X39"/>
  </mergeCells>
  <phoneticPr fontId="4" type="noConversion"/>
  <conditionalFormatting sqref="B129:W157">
    <cfRule type="colorScale" priority="2">
      <colorScale>
        <cfvo type="min"/>
        <cfvo type="max"/>
        <color rgb="FFFCFCFF"/>
        <color rgb="FF63BE7B"/>
      </colorScale>
    </cfRule>
  </conditionalFormatting>
  <conditionalFormatting sqref="B162:W19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AV241"/>
  <sheetViews>
    <sheetView zoomScale="85" zoomScaleNormal="85" workbookViewId="0">
      <selection activeCell="X33" sqref="X33"/>
    </sheetView>
  </sheetViews>
  <sheetFormatPr defaultColWidth="9.140625" defaultRowHeight="12.75" x14ac:dyDescent="0.2"/>
  <cols>
    <col min="1" max="1" width="10.28515625" style="2" customWidth="1"/>
    <col min="2" max="17" width="6.5703125" style="2" customWidth="1"/>
    <col min="18" max="18" width="7.5703125" style="2" customWidth="1"/>
    <col min="19" max="23" width="6.5703125" style="2" customWidth="1"/>
    <col min="24" max="24" width="9.140625" style="2"/>
    <col min="25" max="25" width="12" style="2" bestFit="1" customWidth="1"/>
    <col min="26" max="26" width="11.7109375" style="56" customWidth="1"/>
    <col min="27" max="27" width="18.85546875" style="56" customWidth="1"/>
    <col min="28" max="28" width="12" style="2" bestFit="1" customWidth="1"/>
    <col min="29" max="48" width="8.7109375" customWidth="1"/>
    <col min="49" max="16384" width="9.140625" style="2"/>
  </cols>
  <sheetData>
    <row r="1" spans="1:48" ht="18" customHeight="1" thickBot="1" x14ac:dyDescent="0.25">
      <c r="A1" s="1002" t="s">
        <v>624</v>
      </c>
      <c r="B1" s="1003"/>
      <c r="C1" s="1003"/>
      <c r="D1" s="1003"/>
      <c r="E1" s="1003"/>
      <c r="F1" s="1003"/>
      <c r="G1" s="1003"/>
      <c r="H1" s="1003"/>
      <c r="I1" s="1003"/>
      <c r="J1" s="339" t="s">
        <v>245</v>
      </c>
      <c r="L1" s="340" t="s">
        <v>246</v>
      </c>
      <c r="O1" s="341" t="s">
        <v>247</v>
      </c>
      <c r="Q1" s="1"/>
      <c r="R1" s="342" t="s">
        <v>248</v>
      </c>
      <c r="S1" s="1"/>
      <c r="T1" s="1"/>
      <c r="U1" s="1"/>
      <c r="V1" s="1"/>
      <c r="W1" s="1"/>
      <c r="X1" s="1"/>
    </row>
    <row r="2" spans="1:48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1:48" ht="18" customHeight="1" thickTop="1" x14ac:dyDescent="0.2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A3" s="443"/>
    </row>
    <row r="4" spans="1:48" ht="18" customHeight="1" x14ac:dyDescent="0.2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225"/>
      <c r="AB4" s="68" t="s">
        <v>44</v>
      </c>
      <c r="AC4" t="s">
        <v>142</v>
      </c>
      <c r="AD4" s="93"/>
    </row>
    <row r="5" spans="1:48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6">
        <v>40</v>
      </c>
      <c r="I5" s="6"/>
      <c r="J5" s="6">
        <v>222</v>
      </c>
      <c r="K5" s="6"/>
      <c r="L5" s="6">
        <v>25</v>
      </c>
      <c r="M5" s="6"/>
      <c r="N5" s="6">
        <v>1</v>
      </c>
      <c r="O5" s="6"/>
      <c r="P5" s="6"/>
      <c r="Q5" s="6"/>
      <c r="R5" s="6"/>
      <c r="S5" s="6"/>
      <c r="T5" s="1"/>
      <c r="U5" s="1"/>
      <c r="V5" s="1"/>
      <c r="W5" s="1"/>
      <c r="X5" s="7">
        <v>412</v>
      </c>
      <c r="Y5" s="7" t="s">
        <v>5</v>
      </c>
      <c r="Z5" s="10">
        <v>15</v>
      </c>
      <c r="AA5" s="2" t="s">
        <v>316</v>
      </c>
      <c r="AC5">
        <f>X5/MAX(B5:W5)</f>
        <v>1.8558558558558558</v>
      </c>
      <c r="AE5" s="56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8" customFormat="1" ht="18" customHeight="1" x14ac:dyDescent="0.2">
      <c r="A6" s="1">
        <v>1996</v>
      </c>
      <c r="B6" s="6"/>
      <c r="C6" s="6"/>
      <c r="D6" s="6"/>
      <c r="E6" s="6"/>
      <c r="F6" s="6">
        <v>18</v>
      </c>
      <c r="G6" s="6"/>
      <c r="H6" s="6">
        <v>418</v>
      </c>
      <c r="I6" s="6">
        <v>318</v>
      </c>
      <c r="J6" s="6">
        <v>300</v>
      </c>
      <c r="K6" s="6">
        <v>204</v>
      </c>
      <c r="L6" s="6"/>
      <c r="M6" s="6">
        <v>50</v>
      </c>
      <c r="N6" s="6">
        <v>40</v>
      </c>
      <c r="O6" s="6">
        <v>27</v>
      </c>
      <c r="P6" s="6"/>
      <c r="Q6" s="6">
        <v>15</v>
      </c>
      <c r="R6" s="6"/>
      <c r="S6" s="6"/>
      <c r="T6" s="1"/>
      <c r="U6" s="1"/>
      <c r="V6" s="1"/>
      <c r="W6" s="1"/>
      <c r="X6" s="7">
        <v>715</v>
      </c>
      <c r="Y6" s="7" t="s">
        <v>5</v>
      </c>
      <c r="Z6" s="10">
        <v>20</v>
      </c>
      <c r="AA6" s="8" t="s">
        <v>390</v>
      </c>
      <c r="AC6">
        <f t="shared" ref="AC6:AC29" si="0">X6/MAX(B6:W6)</f>
        <v>1.7105263157894737</v>
      </c>
      <c r="AE6" s="5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8" customFormat="1" ht="18" customHeight="1" x14ac:dyDescent="0.2">
      <c r="A7" s="1">
        <v>1997</v>
      </c>
      <c r="B7" s="6"/>
      <c r="C7" s="6"/>
      <c r="D7" s="6"/>
      <c r="E7" s="6"/>
      <c r="F7" s="6">
        <v>71</v>
      </c>
      <c r="G7" s="6"/>
      <c r="H7" s="6">
        <v>397</v>
      </c>
      <c r="I7" s="6"/>
      <c r="J7" s="6"/>
      <c r="K7" s="6"/>
      <c r="L7" s="6">
        <v>3</v>
      </c>
      <c r="M7" s="6">
        <v>5</v>
      </c>
      <c r="N7" s="6"/>
      <c r="O7" s="6">
        <v>2</v>
      </c>
      <c r="P7" s="6">
        <v>0</v>
      </c>
      <c r="Q7" s="6"/>
      <c r="R7" s="6"/>
      <c r="S7" s="6">
        <v>0</v>
      </c>
      <c r="T7" s="1"/>
      <c r="U7" s="1"/>
      <c r="V7" s="1"/>
      <c r="W7" s="1"/>
      <c r="X7" s="7">
        <v>516</v>
      </c>
      <c r="Y7" s="7" t="s">
        <v>5</v>
      </c>
      <c r="Z7" s="61">
        <v>20</v>
      </c>
      <c r="AA7" s="8" t="s">
        <v>391</v>
      </c>
      <c r="AC7">
        <f t="shared" si="0"/>
        <v>1.2997481108312343</v>
      </c>
      <c r="AE7" s="56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8" customFormat="1" ht="18" customHeight="1" x14ac:dyDescent="0.2">
      <c r="A8" s="1">
        <v>1998</v>
      </c>
      <c r="B8" s="6"/>
      <c r="C8" s="6"/>
      <c r="D8" s="6"/>
      <c r="E8" s="6"/>
      <c r="F8" s="6"/>
      <c r="G8" s="6"/>
      <c r="H8" s="6"/>
      <c r="I8" s="6"/>
      <c r="J8" s="6">
        <v>21</v>
      </c>
      <c r="K8" s="6">
        <v>234</v>
      </c>
      <c r="L8" s="6"/>
      <c r="M8" s="6">
        <v>17</v>
      </c>
      <c r="N8" s="6"/>
      <c r="O8" s="6"/>
      <c r="P8" s="6">
        <v>3</v>
      </c>
      <c r="Q8" s="6"/>
      <c r="R8" s="6"/>
      <c r="S8" s="6"/>
      <c r="T8" s="1"/>
      <c r="U8" s="1"/>
      <c r="V8" s="1"/>
      <c r="W8" s="1"/>
      <c r="X8" s="7">
        <v>380</v>
      </c>
      <c r="Y8" s="7" t="s">
        <v>5</v>
      </c>
      <c r="Z8" s="61">
        <v>10</v>
      </c>
      <c r="AA8" s="8" t="s">
        <v>391</v>
      </c>
      <c r="AC8">
        <f t="shared" si="0"/>
        <v>1.6239316239316239</v>
      </c>
      <c r="AE8" s="56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8" customFormat="1" ht="18" customHeight="1" x14ac:dyDescent="0.2">
      <c r="A9" s="1">
        <v>1999</v>
      </c>
      <c r="B9" s="6"/>
      <c r="C9" s="6"/>
      <c r="D9" s="6"/>
      <c r="E9" s="6"/>
      <c r="F9" s="6"/>
      <c r="G9" s="6">
        <v>102</v>
      </c>
      <c r="H9" s="6"/>
      <c r="I9" s="6"/>
      <c r="J9" s="6">
        <v>472</v>
      </c>
      <c r="K9" s="6">
        <v>170</v>
      </c>
      <c r="L9" s="6">
        <v>229</v>
      </c>
      <c r="M9" s="6">
        <v>50</v>
      </c>
      <c r="N9" s="6"/>
      <c r="O9" s="6">
        <v>22</v>
      </c>
      <c r="P9" s="6"/>
      <c r="Q9" s="6"/>
      <c r="R9" s="6">
        <v>2</v>
      </c>
      <c r="S9" s="6"/>
      <c r="T9" s="1"/>
      <c r="U9" s="1"/>
      <c r="V9" s="1"/>
      <c r="W9" s="1"/>
      <c r="X9" s="9">
        <v>822</v>
      </c>
      <c r="Y9" s="7" t="s">
        <v>5</v>
      </c>
      <c r="Z9" s="62">
        <v>17.5</v>
      </c>
      <c r="AA9" s="8" t="s">
        <v>391</v>
      </c>
      <c r="AC9">
        <f t="shared" si="0"/>
        <v>1.7415254237288136</v>
      </c>
      <c r="AE9" s="56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8" customFormat="1" ht="18" customHeight="1" x14ac:dyDescent="0.2">
      <c r="A10" s="1">
        <v>2000</v>
      </c>
      <c r="B10" s="6"/>
      <c r="C10" s="6"/>
      <c r="D10" s="6"/>
      <c r="E10" s="6"/>
      <c r="F10" s="6"/>
      <c r="G10" s="6"/>
      <c r="H10" s="6">
        <v>61</v>
      </c>
      <c r="I10" s="6"/>
      <c r="J10" s="6"/>
      <c r="K10" s="6">
        <v>73</v>
      </c>
      <c r="L10" s="6"/>
      <c r="M10" s="6"/>
      <c r="N10" s="6">
        <v>7</v>
      </c>
      <c r="O10" s="6"/>
      <c r="P10" s="6">
        <v>1</v>
      </c>
      <c r="Q10" s="6"/>
      <c r="R10" s="6"/>
      <c r="S10" s="6"/>
      <c r="T10" s="1"/>
      <c r="U10" s="1"/>
      <c r="V10" s="1"/>
      <c r="W10" s="1"/>
      <c r="X10" s="10">
        <v>182</v>
      </c>
      <c r="Y10" s="7" t="s">
        <v>5</v>
      </c>
      <c r="Z10" s="62">
        <v>15</v>
      </c>
      <c r="AA10" s="8" t="s">
        <v>391</v>
      </c>
      <c r="AC10">
        <f t="shared" si="0"/>
        <v>2.493150684931507</v>
      </c>
      <c r="AE10" s="56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s="8" customFormat="1" ht="18" customHeight="1" x14ac:dyDescent="0.2">
      <c r="A11" s="1">
        <v>2001</v>
      </c>
      <c r="B11" s="6"/>
      <c r="C11" s="6"/>
      <c r="D11" s="6"/>
      <c r="E11" s="6"/>
      <c r="F11" s="6"/>
      <c r="G11" s="6">
        <v>49</v>
      </c>
      <c r="H11" s="6"/>
      <c r="I11" s="6"/>
      <c r="J11" s="6">
        <v>351</v>
      </c>
      <c r="K11" s="6"/>
      <c r="L11" s="6"/>
      <c r="M11" s="6"/>
      <c r="N11" s="6"/>
      <c r="O11" s="6"/>
      <c r="P11" s="6"/>
      <c r="Q11" s="6"/>
      <c r="R11" s="6">
        <v>2</v>
      </c>
      <c r="S11" s="6"/>
      <c r="T11" s="1"/>
      <c r="U11" s="1"/>
      <c r="V11" s="1"/>
      <c r="W11" s="1"/>
      <c r="X11" s="7">
        <v>394</v>
      </c>
      <c r="Y11" s="7" t="s">
        <v>9</v>
      </c>
      <c r="Z11" s="62"/>
      <c r="AA11" s="8" t="s">
        <v>391</v>
      </c>
      <c r="AC11">
        <f t="shared" si="0"/>
        <v>1.1225071225071226</v>
      </c>
      <c r="AE11" s="56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s="8" customFormat="1" ht="18" customHeight="1" x14ac:dyDescent="0.2">
      <c r="A12" s="1">
        <v>2002</v>
      </c>
      <c r="B12" s="6"/>
      <c r="C12" s="6"/>
      <c r="D12" s="6"/>
      <c r="E12" s="6"/>
      <c r="F12" s="6"/>
      <c r="G12" s="6">
        <v>601</v>
      </c>
      <c r="H12" s="6">
        <v>864</v>
      </c>
      <c r="I12" s="6"/>
      <c r="J12" s="6"/>
      <c r="K12" s="6">
        <v>44</v>
      </c>
      <c r="L12" s="6"/>
      <c r="M12" s="6"/>
      <c r="N12" s="6">
        <v>2</v>
      </c>
      <c r="O12" s="6"/>
      <c r="P12" s="6"/>
      <c r="Q12" s="6">
        <v>0</v>
      </c>
      <c r="R12" s="6"/>
      <c r="S12" s="6"/>
      <c r="T12" s="1"/>
      <c r="U12" s="1"/>
      <c r="V12" s="1"/>
      <c r="W12" s="1"/>
      <c r="X12" s="7">
        <v>944</v>
      </c>
      <c r="Y12" s="7" t="s">
        <v>5</v>
      </c>
      <c r="Z12" s="62">
        <v>21</v>
      </c>
      <c r="AA12" s="8" t="s">
        <v>392</v>
      </c>
      <c r="AC12">
        <f t="shared" si="0"/>
        <v>1.0925925925925926</v>
      </c>
      <c r="AE12" s="56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s="8" customFormat="1" ht="18" customHeight="1" x14ac:dyDescent="0.2">
      <c r="A13" s="1">
        <v>2003</v>
      </c>
      <c r="B13" s="6"/>
      <c r="C13" s="6"/>
      <c r="D13" s="6"/>
      <c r="E13" s="6">
        <v>162</v>
      </c>
      <c r="F13" s="6"/>
      <c r="G13" s="6">
        <v>242</v>
      </c>
      <c r="H13" s="6"/>
      <c r="I13" s="6"/>
      <c r="J13" s="6">
        <v>350</v>
      </c>
      <c r="K13" s="6"/>
      <c r="L13" s="6"/>
      <c r="M13" s="6"/>
      <c r="N13" s="6">
        <v>4</v>
      </c>
      <c r="O13" s="6"/>
      <c r="P13" s="6"/>
      <c r="Q13" s="6">
        <v>0</v>
      </c>
      <c r="R13" s="6"/>
      <c r="S13" s="6"/>
      <c r="T13" s="1"/>
      <c r="U13" s="1"/>
      <c r="V13" s="1"/>
      <c r="W13" s="1"/>
      <c r="X13" s="7">
        <v>401</v>
      </c>
      <c r="Y13" s="7" t="s">
        <v>5</v>
      </c>
      <c r="Z13" s="62">
        <v>35</v>
      </c>
      <c r="AA13" s="8" t="s">
        <v>393</v>
      </c>
      <c r="AC13">
        <f t="shared" si="0"/>
        <v>1.1457142857142857</v>
      </c>
      <c r="AE13" s="56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6">
        <v>531</v>
      </c>
      <c r="I14" s="6"/>
      <c r="J14" s="6">
        <v>478</v>
      </c>
      <c r="K14" s="6"/>
      <c r="L14" s="6">
        <v>124</v>
      </c>
      <c r="M14" s="6"/>
      <c r="N14" s="6">
        <v>4</v>
      </c>
      <c r="O14" s="6"/>
      <c r="P14" s="6"/>
      <c r="Q14" s="6">
        <v>0</v>
      </c>
      <c r="R14" s="6"/>
      <c r="S14" s="6"/>
      <c r="T14" s="1"/>
      <c r="U14" s="1"/>
      <c r="V14" s="1"/>
      <c r="W14" s="1"/>
      <c r="X14" s="11">
        <v>632</v>
      </c>
      <c r="Y14" s="7" t="s">
        <v>5</v>
      </c>
      <c r="Z14" s="62">
        <v>25</v>
      </c>
      <c r="AA14" s="8" t="s">
        <v>394</v>
      </c>
      <c r="AC14">
        <f t="shared" si="0"/>
        <v>1.1902071563088512</v>
      </c>
      <c r="AE14" s="56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6">
        <v>3</v>
      </c>
      <c r="I15" s="6"/>
      <c r="J15" s="6"/>
      <c r="K15" s="6">
        <v>292</v>
      </c>
      <c r="L15" s="6"/>
      <c r="M15" s="6">
        <v>4</v>
      </c>
      <c r="N15" s="6"/>
      <c r="O15" s="6"/>
      <c r="P15" s="6"/>
      <c r="Q15" s="6">
        <v>0</v>
      </c>
      <c r="R15" s="6"/>
      <c r="S15" s="6"/>
      <c r="T15" s="1">
        <v>2</v>
      </c>
      <c r="U15" s="1"/>
      <c r="V15" s="1"/>
      <c r="W15" s="1"/>
      <c r="X15" s="11">
        <v>324</v>
      </c>
      <c r="Y15" s="7" t="s">
        <v>5</v>
      </c>
      <c r="Z15" s="54">
        <v>20</v>
      </c>
      <c r="AA15" s="8" t="s">
        <v>394</v>
      </c>
      <c r="AC15">
        <f t="shared" si="0"/>
        <v>1.1095890410958904</v>
      </c>
      <c r="AE15" s="56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6">
        <v>82</v>
      </c>
      <c r="I16" s="6">
        <v>116</v>
      </c>
      <c r="J16" s="6">
        <v>77</v>
      </c>
      <c r="K16" s="6">
        <v>25</v>
      </c>
      <c r="L16" s="6">
        <v>35</v>
      </c>
      <c r="M16" s="6">
        <v>20</v>
      </c>
      <c r="N16" s="6">
        <v>5</v>
      </c>
      <c r="O16" s="6"/>
      <c r="P16" s="6">
        <v>1</v>
      </c>
      <c r="Q16" s="6">
        <v>0</v>
      </c>
      <c r="R16" s="6">
        <v>0</v>
      </c>
      <c r="S16" s="6"/>
      <c r="T16" s="1"/>
      <c r="U16" s="1">
        <v>0</v>
      </c>
      <c r="V16" s="1"/>
      <c r="W16" s="1"/>
      <c r="X16" s="12">
        <v>177</v>
      </c>
      <c r="Y16" s="7" t="s">
        <v>5</v>
      </c>
      <c r="Z16" s="54">
        <v>17.5</v>
      </c>
      <c r="AA16" s="8" t="s">
        <v>393</v>
      </c>
      <c r="AC16">
        <f t="shared" si="0"/>
        <v>1.5258620689655173</v>
      </c>
      <c r="AE16" s="5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s="8" customFormat="1" ht="18" customHeight="1" x14ac:dyDescent="0.2">
      <c r="A17" s="1">
        <v>2007</v>
      </c>
      <c r="B17" s="6"/>
      <c r="C17" s="6"/>
      <c r="D17" s="6"/>
      <c r="E17" s="6">
        <v>36</v>
      </c>
      <c r="F17" s="6"/>
      <c r="G17" s="6"/>
      <c r="H17" s="6"/>
      <c r="I17" s="6">
        <v>149</v>
      </c>
      <c r="J17" s="6"/>
      <c r="K17" s="6">
        <v>13</v>
      </c>
      <c r="L17" s="6">
        <v>10</v>
      </c>
      <c r="M17" s="6">
        <v>5</v>
      </c>
      <c r="N17" s="6"/>
      <c r="O17" s="6"/>
      <c r="P17" s="6"/>
      <c r="Q17" s="6"/>
      <c r="R17" s="6"/>
      <c r="S17" s="6"/>
      <c r="T17" s="1"/>
      <c r="U17" s="1"/>
      <c r="V17" s="1"/>
      <c r="W17" s="1"/>
      <c r="X17" s="12">
        <v>180</v>
      </c>
      <c r="Y17" s="7" t="s">
        <v>5</v>
      </c>
      <c r="Z17" s="54">
        <v>22.5</v>
      </c>
      <c r="AA17" s="8" t="s">
        <v>394</v>
      </c>
      <c r="AC17">
        <f t="shared" si="0"/>
        <v>1.2080536912751678</v>
      </c>
      <c r="AE17" s="56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s="8" customFormat="1" ht="18" customHeight="1" x14ac:dyDescent="0.2">
      <c r="A18" s="1">
        <v>2008</v>
      </c>
      <c r="B18" s="1"/>
      <c r="C18" s="1"/>
      <c r="D18" s="1"/>
      <c r="E18" s="1"/>
      <c r="F18" s="1">
        <v>61</v>
      </c>
      <c r="G18" s="1"/>
      <c r="H18" s="1"/>
      <c r="I18" s="1">
        <v>123</v>
      </c>
      <c r="J18" s="1">
        <v>199</v>
      </c>
      <c r="K18" s="1"/>
      <c r="L18" s="1">
        <v>29</v>
      </c>
      <c r="M18" s="1">
        <v>12</v>
      </c>
      <c r="N18" s="1"/>
      <c r="O18" s="1"/>
      <c r="P18" s="1"/>
      <c r="Q18" s="1">
        <v>0</v>
      </c>
      <c r="R18" s="1"/>
      <c r="S18" s="1"/>
      <c r="T18" s="1"/>
      <c r="U18" s="1"/>
      <c r="V18" s="1"/>
      <c r="W18" s="1"/>
      <c r="X18" s="1">
        <v>274</v>
      </c>
      <c r="Y18" s="7" t="s">
        <v>5</v>
      </c>
      <c r="Z18" s="62">
        <v>22.5</v>
      </c>
      <c r="AA18" s="8" t="s">
        <v>393</v>
      </c>
      <c r="AC18">
        <f t="shared" si="0"/>
        <v>1.3768844221105527</v>
      </c>
      <c r="AE18" s="56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8" customFormat="1" ht="18" customHeight="1" x14ac:dyDescent="0.2">
      <c r="A19" s="1">
        <v>2009</v>
      </c>
      <c r="B19" s="1"/>
      <c r="C19" s="1"/>
      <c r="D19" s="1"/>
      <c r="E19" s="1"/>
      <c r="F19" s="1"/>
      <c r="G19" s="1">
        <v>324</v>
      </c>
      <c r="H19" s="1"/>
      <c r="I19" s="1">
        <v>457</v>
      </c>
      <c r="J19" s="1">
        <v>330</v>
      </c>
      <c r="K19" s="1"/>
      <c r="L19" s="1"/>
      <c r="M19" s="1">
        <v>43</v>
      </c>
      <c r="N19" s="1">
        <v>2</v>
      </c>
      <c r="O19" s="1"/>
      <c r="P19" s="1"/>
      <c r="Q19" s="1"/>
      <c r="R19" s="1"/>
      <c r="S19" s="1"/>
      <c r="T19" s="1"/>
      <c r="U19" s="1"/>
      <c r="V19" s="1"/>
      <c r="W19" s="1"/>
      <c r="X19" s="1">
        <v>730</v>
      </c>
      <c r="Y19" s="7" t="s">
        <v>5</v>
      </c>
      <c r="Z19" s="62">
        <v>25</v>
      </c>
      <c r="AA19" s="8" t="s">
        <v>393</v>
      </c>
      <c r="AC19">
        <f t="shared" si="0"/>
        <v>1.5973741794310723</v>
      </c>
      <c r="AE19" s="56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8" customFormat="1" ht="18" customHeight="1" x14ac:dyDescent="0.2">
      <c r="A20" s="1">
        <v>2010</v>
      </c>
      <c r="B20" s="1"/>
      <c r="C20" s="1"/>
      <c r="D20" s="1"/>
      <c r="E20" s="1"/>
      <c r="F20" s="1"/>
      <c r="G20" s="1">
        <v>10</v>
      </c>
      <c r="H20" s="1"/>
      <c r="I20" s="1">
        <v>264</v>
      </c>
      <c r="J20" s="1">
        <v>197</v>
      </c>
      <c r="K20" s="1">
        <v>170</v>
      </c>
      <c r="L20" s="1">
        <v>17</v>
      </c>
      <c r="M20" s="1"/>
      <c r="N20" s="1">
        <v>2</v>
      </c>
      <c r="O20" s="1"/>
      <c r="P20" s="1"/>
      <c r="Q20" s="1">
        <v>0</v>
      </c>
      <c r="R20" s="1"/>
      <c r="S20" s="1"/>
      <c r="T20" s="1"/>
      <c r="U20" s="1"/>
      <c r="V20" s="1"/>
      <c r="W20" s="1"/>
      <c r="X20" s="1">
        <v>430</v>
      </c>
      <c r="Y20" s="7"/>
      <c r="Z20" s="62"/>
      <c r="AA20" s="8" t="s">
        <v>394</v>
      </c>
      <c r="AB20" s="8">
        <v>10</v>
      </c>
      <c r="AC20">
        <f t="shared" si="0"/>
        <v>1.6287878787878789</v>
      </c>
      <c r="AE20" s="56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8" customFormat="1" ht="18" customHeight="1" x14ac:dyDescent="0.2">
      <c r="A21" s="1">
        <v>2011</v>
      </c>
      <c r="B21" s="1"/>
      <c r="C21" s="1"/>
      <c r="D21" s="1"/>
      <c r="E21" s="1"/>
      <c r="F21" s="1"/>
      <c r="G21" s="1">
        <v>51</v>
      </c>
      <c r="H21" s="1">
        <v>276</v>
      </c>
      <c r="I21" s="1">
        <v>258</v>
      </c>
      <c r="J21" s="1">
        <v>200</v>
      </c>
      <c r="K21" s="1">
        <v>126</v>
      </c>
      <c r="L21" s="1">
        <v>14</v>
      </c>
      <c r="M21" s="1"/>
      <c r="N21" s="1">
        <v>1</v>
      </c>
      <c r="O21" s="1"/>
      <c r="P21" s="1"/>
      <c r="Q21" s="1">
        <v>3</v>
      </c>
      <c r="R21" s="1"/>
      <c r="S21" s="1"/>
      <c r="T21" s="1"/>
      <c r="U21" s="1"/>
      <c r="V21" s="1"/>
      <c r="W21" s="1"/>
      <c r="X21" s="1">
        <v>392</v>
      </c>
      <c r="Y21" s="7" t="s">
        <v>5</v>
      </c>
      <c r="Z21" s="62">
        <v>20</v>
      </c>
      <c r="AA21" s="8" t="s">
        <v>394</v>
      </c>
      <c r="AB21" s="8">
        <v>9</v>
      </c>
      <c r="AC21">
        <f t="shared" si="0"/>
        <v>1.4202898550724639</v>
      </c>
      <c r="AD21" s="94"/>
      <c r="AE21" s="95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8" customFormat="1" ht="18" customHeight="1" x14ac:dyDescent="0.2">
      <c r="A22" s="1">
        <v>2012</v>
      </c>
      <c r="B22" s="1"/>
      <c r="C22" s="1"/>
      <c r="D22" s="1"/>
      <c r="E22" s="1"/>
      <c r="F22" s="1">
        <v>31</v>
      </c>
      <c r="G22" s="1">
        <v>126</v>
      </c>
      <c r="H22" s="1">
        <v>143</v>
      </c>
      <c r="I22" s="1">
        <v>199</v>
      </c>
      <c r="J22" s="1">
        <v>347</v>
      </c>
      <c r="K22" s="1">
        <v>247</v>
      </c>
      <c r="L22" s="1"/>
      <c r="M22" s="1">
        <v>25</v>
      </c>
      <c r="N22" s="1"/>
      <c r="O22" s="1">
        <v>0</v>
      </c>
      <c r="P22" s="1">
        <v>0</v>
      </c>
      <c r="Q22" s="1"/>
      <c r="R22" s="1"/>
      <c r="S22" s="1"/>
      <c r="T22" s="1"/>
      <c r="U22" s="1"/>
      <c r="V22" s="1"/>
      <c r="W22" s="1"/>
      <c r="X22" s="1">
        <v>566</v>
      </c>
      <c r="Y22" s="7" t="s">
        <v>5</v>
      </c>
      <c r="Z22" s="62">
        <v>20</v>
      </c>
      <c r="AA22" s="8" t="s">
        <v>394</v>
      </c>
      <c r="AC22">
        <f t="shared" si="0"/>
        <v>1.6311239193083573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8" customFormat="1" ht="18" customHeight="1" x14ac:dyDescent="0.2">
      <c r="A23" s="1">
        <v>2013</v>
      </c>
      <c r="B23" s="1"/>
      <c r="C23" s="1"/>
      <c r="D23" s="1"/>
      <c r="E23" s="1"/>
      <c r="F23" s="1">
        <v>117</v>
      </c>
      <c r="G23" s="1"/>
      <c r="H23" s="1">
        <v>127</v>
      </c>
      <c r="I23" s="1"/>
      <c r="J23" s="1"/>
      <c r="K23" s="1">
        <v>78</v>
      </c>
      <c r="L23" s="1">
        <v>26</v>
      </c>
      <c r="M23" s="1"/>
      <c r="N23" s="1">
        <v>3</v>
      </c>
      <c r="O23" s="1"/>
      <c r="P23" s="1">
        <v>1</v>
      </c>
      <c r="Q23" s="1"/>
      <c r="R23" s="1"/>
      <c r="S23" s="1"/>
      <c r="T23" s="1"/>
      <c r="U23" s="1"/>
      <c r="V23" s="1"/>
      <c r="W23" s="1"/>
      <c r="X23" s="1">
        <v>358</v>
      </c>
      <c r="Y23" s="7" t="s">
        <v>5</v>
      </c>
      <c r="Z23" s="62">
        <v>15</v>
      </c>
      <c r="AA23" s="8" t="s">
        <v>394</v>
      </c>
      <c r="AB23" s="8" t="s">
        <v>115</v>
      </c>
      <c r="AC23">
        <f t="shared" si="0"/>
        <v>2.8188976377952755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8" customFormat="1" ht="18" customHeight="1" x14ac:dyDescent="0.2">
      <c r="A24" s="1">
        <v>2014</v>
      </c>
      <c r="B24" s="1"/>
      <c r="C24" s="1"/>
      <c r="D24" s="1"/>
      <c r="E24" s="1"/>
      <c r="F24" s="1">
        <v>1</v>
      </c>
      <c r="G24" s="1"/>
      <c r="H24" s="1">
        <v>4</v>
      </c>
      <c r="I24" s="1">
        <v>197</v>
      </c>
      <c r="J24" s="1"/>
      <c r="K24" s="1">
        <v>72</v>
      </c>
      <c r="L24" s="1"/>
      <c r="M24" s="1"/>
      <c r="N24" s="1"/>
      <c r="O24" s="1">
        <v>0</v>
      </c>
      <c r="P24" s="1"/>
      <c r="Q24" s="1"/>
      <c r="R24" s="1"/>
      <c r="S24" s="1"/>
      <c r="T24" s="1"/>
      <c r="U24" s="1"/>
      <c r="V24" s="1"/>
      <c r="W24" s="1"/>
      <c r="X24" s="1">
        <v>303</v>
      </c>
      <c r="Y24" s="7" t="s">
        <v>9</v>
      </c>
      <c r="Z24" s="62"/>
      <c r="AA24" s="8" t="s">
        <v>393</v>
      </c>
      <c r="AC24">
        <f t="shared" si="0"/>
        <v>1.5380710659898478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s="8" customFormat="1" ht="18" customHeight="1" x14ac:dyDescent="0.2">
      <c r="A25" s="1">
        <v>2015</v>
      </c>
      <c r="B25" s="1"/>
      <c r="C25" s="1"/>
      <c r="D25" s="1"/>
      <c r="E25" s="1"/>
      <c r="F25" s="1"/>
      <c r="G25" s="189">
        <v>530</v>
      </c>
      <c r="H25" s="189">
        <v>720</v>
      </c>
      <c r="I25" s="221"/>
      <c r="J25" s="189">
        <v>278</v>
      </c>
      <c r="K25" s="189">
        <v>113</v>
      </c>
      <c r="L25" s="189">
        <v>17</v>
      </c>
      <c r="M25" s="189">
        <v>10</v>
      </c>
      <c r="N25" s="223"/>
      <c r="O25" s="189">
        <v>1</v>
      </c>
      <c r="P25" s="1"/>
      <c r="Q25" s="1"/>
      <c r="R25" s="1"/>
      <c r="S25" s="1"/>
      <c r="T25" s="1"/>
      <c r="U25" s="1"/>
      <c r="V25" s="1"/>
      <c r="W25" s="1"/>
      <c r="X25" s="1">
        <v>900</v>
      </c>
      <c r="Y25" s="7" t="s">
        <v>5</v>
      </c>
      <c r="Z25" s="62">
        <v>20</v>
      </c>
      <c r="AA25" s="8" t="s">
        <v>394</v>
      </c>
      <c r="AC25">
        <f t="shared" si="0"/>
        <v>1.25</v>
      </c>
      <c r="AD25"/>
      <c r="AE25" s="56" t="s">
        <v>328</v>
      </c>
      <c r="AF25" s="93" t="s">
        <v>329</v>
      </c>
      <c r="AG25" s="93" t="s">
        <v>330</v>
      </c>
      <c r="AH25" s="93" t="s">
        <v>331</v>
      </c>
      <c r="AI25" s="93" t="s">
        <v>333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s="8" customFormat="1" ht="18" customHeight="1" x14ac:dyDescent="0.2">
      <c r="A26" s="1">
        <v>2016</v>
      </c>
      <c r="B26" s="1"/>
      <c r="C26" s="1"/>
      <c r="D26" s="1"/>
      <c r="E26" s="1"/>
      <c r="F26" s="1"/>
      <c r="G26" s="189">
        <v>1300</v>
      </c>
      <c r="H26" s="566">
        <v>901</v>
      </c>
      <c r="I26" s="566">
        <v>604</v>
      </c>
      <c r="J26" s="1"/>
      <c r="K26" s="536">
        <v>267</v>
      </c>
      <c r="L26" s="156">
        <v>60</v>
      </c>
      <c r="M26" s="1"/>
      <c r="N26" s="1"/>
      <c r="O26" s="189">
        <v>6</v>
      </c>
      <c r="P26" s="1"/>
      <c r="Q26" s="353">
        <v>2</v>
      </c>
      <c r="R26" s="1"/>
      <c r="S26" s="1"/>
      <c r="T26" s="1"/>
      <c r="U26" s="1"/>
      <c r="V26" s="1"/>
      <c r="W26" s="1"/>
      <c r="X26" s="1">
        <v>1466</v>
      </c>
      <c r="Y26" s="7" t="s">
        <v>5</v>
      </c>
      <c r="Z26" s="62">
        <v>20</v>
      </c>
      <c r="AA26" s="8" t="s">
        <v>394</v>
      </c>
      <c r="AC26">
        <f t="shared" si="0"/>
        <v>1.1276923076923078</v>
      </c>
      <c r="AD26"/>
      <c r="AE26" s="8">
        <v>90</v>
      </c>
      <c r="AF26" s="8">
        <v>17</v>
      </c>
      <c r="AG26" s="8">
        <v>47</v>
      </c>
      <c r="AH26" s="8">
        <v>23</v>
      </c>
      <c r="AI26" s="8">
        <v>2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s="8" customFormat="1" ht="18" customHeight="1" x14ac:dyDescent="0.2">
      <c r="A27" s="1">
        <v>2017</v>
      </c>
      <c r="B27" s="1"/>
      <c r="C27" s="1"/>
      <c r="D27" s="189">
        <v>2</v>
      </c>
      <c r="E27" s="1"/>
      <c r="F27" s="189">
        <v>35</v>
      </c>
      <c r="G27" s="189">
        <v>86</v>
      </c>
      <c r="H27" s="566">
        <v>1537</v>
      </c>
      <c r="I27" s="1"/>
      <c r="J27" s="353">
        <v>608</v>
      </c>
      <c r="K27" s="106">
        <v>200</v>
      </c>
      <c r="L27" s="1"/>
      <c r="M27" s="427">
        <v>11</v>
      </c>
      <c r="N27" s="427">
        <v>8</v>
      </c>
      <c r="O27" s="1"/>
      <c r="P27" s="1"/>
      <c r="Q27" s="1"/>
      <c r="R27" s="1"/>
      <c r="S27" s="1"/>
      <c r="T27" s="1"/>
      <c r="U27" s="1"/>
      <c r="V27" s="1"/>
      <c r="W27" s="1"/>
      <c r="X27" s="1">
        <v>1759</v>
      </c>
      <c r="Y27" s="7"/>
      <c r="Z27" s="228">
        <v>15</v>
      </c>
      <c r="AA27" s="62"/>
      <c r="AC27">
        <f t="shared" si="0"/>
        <v>1.1444372153545868</v>
      </c>
      <c r="AD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s="8" customFormat="1" ht="18" customHeight="1" x14ac:dyDescent="0.2">
      <c r="A28" s="1">
        <v>2018</v>
      </c>
      <c r="B28" s="1"/>
      <c r="C28" s="1"/>
      <c r="D28" s="1"/>
      <c r="E28" s="106">
        <v>1</v>
      </c>
      <c r="F28" s="1"/>
      <c r="G28" s="427">
        <v>448</v>
      </c>
      <c r="H28" s="427">
        <v>463</v>
      </c>
      <c r="I28" s="536">
        <v>241</v>
      </c>
      <c r="J28" s="1"/>
      <c r="K28" s="534">
        <v>97</v>
      </c>
      <c r="L28" s="1"/>
      <c r="M28" s="1"/>
      <c r="N28" s="1"/>
      <c r="O28" s="189">
        <v>4</v>
      </c>
      <c r="P28" s="1"/>
      <c r="Q28" s="1"/>
      <c r="R28" s="1"/>
      <c r="S28" s="1"/>
      <c r="T28" s="1"/>
      <c r="U28" s="1"/>
      <c r="V28" s="1"/>
      <c r="W28" s="1"/>
      <c r="X28" s="1">
        <f>695+117</f>
        <v>812</v>
      </c>
      <c r="Y28" s="7"/>
      <c r="Z28" s="228">
        <v>20</v>
      </c>
      <c r="AA28" s="62"/>
      <c r="AC28">
        <f t="shared" si="0"/>
        <v>1.7537796976241902</v>
      </c>
      <c r="AD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s="8" customFormat="1" ht="18" customHeight="1" x14ac:dyDescent="0.2">
      <c r="A29" s="1">
        <v>2019</v>
      </c>
      <c r="B29" s="1"/>
      <c r="C29" s="1"/>
      <c r="D29" s="1"/>
      <c r="E29" s="1"/>
      <c r="F29" s="189">
        <v>8</v>
      </c>
      <c r="G29" s="1"/>
      <c r="H29" s="536">
        <v>730</v>
      </c>
      <c r="I29" s="1"/>
      <c r="J29" s="156">
        <v>324</v>
      </c>
      <c r="K29" s="106">
        <v>46</v>
      </c>
      <c r="L29" s="1"/>
      <c r="M29" s="1"/>
      <c r="N29" s="106">
        <v>15</v>
      </c>
      <c r="O29" s="106">
        <v>11</v>
      </c>
      <c r="P29" s="1"/>
      <c r="Q29" s="1"/>
      <c r="R29" s="1"/>
      <c r="S29" s="1"/>
      <c r="T29" s="1"/>
      <c r="U29" s="1"/>
      <c r="V29" s="1"/>
      <c r="W29" s="1"/>
      <c r="X29" s="1">
        <v>739</v>
      </c>
      <c r="Y29" s="7"/>
      <c r="Z29" s="228">
        <v>20</v>
      </c>
      <c r="AA29" s="62"/>
      <c r="AC29">
        <f t="shared" si="0"/>
        <v>1.0123287671232877</v>
      </c>
      <c r="AD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s="8" customFormat="1" ht="18" customHeight="1" x14ac:dyDescent="0.2">
      <c r="A30" s="1">
        <v>2020</v>
      </c>
      <c r="B30" s="1"/>
      <c r="C30" s="1"/>
      <c r="D30" s="1"/>
      <c r="E30" s="1"/>
      <c r="F30" s="106">
        <v>181</v>
      </c>
      <c r="G30" s="1"/>
      <c r="H30" s="106">
        <v>266</v>
      </c>
      <c r="I30" s="427">
        <v>579</v>
      </c>
      <c r="J30" s="536">
        <v>529</v>
      </c>
      <c r="K30" s="156">
        <v>277</v>
      </c>
      <c r="L30" s="1"/>
      <c r="M30" s="536">
        <v>85</v>
      </c>
      <c r="N30" s="1"/>
      <c r="O30" s="106">
        <v>18</v>
      </c>
      <c r="P30" s="536">
        <v>13</v>
      </c>
      <c r="Q30" s="1"/>
      <c r="R30" s="1"/>
      <c r="S30" s="1"/>
      <c r="T30" s="1"/>
      <c r="U30" s="1"/>
      <c r="V30" s="1"/>
      <c r="W30" s="1"/>
      <c r="X30" s="1">
        <v>1049</v>
      </c>
      <c r="Y30" s="7" t="s">
        <v>5</v>
      </c>
      <c r="Z30" s="228"/>
      <c r="AA30" s="62"/>
      <c r="AC30"/>
      <c r="AD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s="94" customFormat="1" ht="18" customHeight="1" x14ac:dyDescent="0.2">
      <c r="A31" s="227">
        <v>2021</v>
      </c>
      <c r="B31" s="227"/>
      <c r="C31" s="227"/>
      <c r="D31" s="227"/>
      <c r="E31" s="227"/>
      <c r="F31" s="89"/>
      <c r="G31" s="975">
        <f>239+1</f>
        <v>240</v>
      </c>
      <c r="H31" s="821">
        <v>364</v>
      </c>
      <c r="I31" s="821">
        <f>641+23</f>
        <v>664</v>
      </c>
      <c r="J31" s="949"/>
      <c r="K31" s="983">
        <v>141</v>
      </c>
      <c r="L31" s="976"/>
      <c r="M31" s="806">
        <v>25</v>
      </c>
      <c r="N31" s="984"/>
      <c r="O31" s="186">
        <v>19</v>
      </c>
      <c r="P31" s="186">
        <v>16</v>
      </c>
      <c r="Q31" s="806">
        <v>19</v>
      </c>
      <c r="R31" s="227"/>
      <c r="S31" s="227"/>
      <c r="T31" s="227"/>
      <c r="U31" s="227"/>
      <c r="V31" s="227"/>
      <c r="W31" s="227"/>
      <c r="X31" s="227">
        <v>1022</v>
      </c>
      <c r="Y31" s="11"/>
      <c r="Z31" s="497"/>
      <c r="AA31" s="750"/>
      <c r="AC31" s="151"/>
      <c r="AD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</row>
    <row r="32" spans="1:48" s="94" customFormat="1" ht="18" customHeight="1" x14ac:dyDescent="0.2">
      <c r="A32" s="227">
        <v>2022</v>
      </c>
      <c r="B32" s="227"/>
      <c r="C32" s="227"/>
      <c r="D32" s="227"/>
      <c r="E32" s="227"/>
      <c r="F32" s="89"/>
      <c r="G32" s="496">
        <v>163</v>
      </c>
      <c r="H32" s="539">
        <v>257</v>
      </c>
      <c r="I32" s="944"/>
      <c r="J32" s="539">
        <v>196</v>
      </c>
      <c r="K32" s="539">
        <v>132</v>
      </c>
      <c r="L32" s="807"/>
      <c r="M32" s="799"/>
      <c r="N32" s="799"/>
      <c r="O32" s="199">
        <v>33</v>
      </c>
      <c r="P32" s="187"/>
      <c r="Q32" s="799"/>
      <c r="R32" s="227"/>
      <c r="S32" s="227"/>
      <c r="T32" s="227"/>
      <c r="U32" s="227"/>
      <c r="V32" s="227"/>
      <c r="W32" s="227"/>
      <c r="X32" s="227">
        <v>602</v>
      </c>
      <c r="Y32" s="11"/>
      <c r="Z32" s="497"/>
      <c r="AA32" s="750"/>
      <c r="AC32" s="151"/>
      <c r="AD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</row>
    <row r="33" spans="1:48" s="94" customFormat="1" ht="18" customHeight="1" x14ac:dyDescent="0.2">
      <c r="A33" s="227">
        <v>2023</v>
      </c>
      <c r="B33" s="227"/>
      <c r="C33" s="227"/>
      <c r="D33" s="227"/>
      <c r="E33" s="227"/>
      <c r="F33" s="106">
        <v>11</v>
      </c>
      <c r="G33" s="227"/>
      <c r="H33" s="427">
        <v>394</v>
      </c>
      <c r="I33" s="536">
        <v>439</v>
      </c>
      <c r="J33" s="227"/>
      <c r="K33" s="106">
        <v>134</v>
      </c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11"/>
      <c r="Z33" s="497"/>
      <c r="AA33" s="750"/>
      <c r="AC33" s="151"/>
      <c r="AD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</row>
    <row r="34" spans="1:48" s="8" customFormat="1" ht="18" customHeight="1" x14ac:dyDescent="0.2">
      <c r="A34" s="64" t="s">
        <v>17</v>
      </c>
      <c r="B34" s="16"/>
      <c r="C34" s="16"/>
      <c r="D34" s="16"/>
      <c r="E34" s="16">
        <f t="shared" ref="E34:U34" si="1">AVERAGE(E5:E19)</f>
        <v>99</v>
      </c>
      <c r="F34" s="16">
        <f t="shared" si="1"/>
        <v>50</v>
      </c>
      <c r="G34" s="16">
        <f t="shared" si="1"/>
        <v>263.60000000000002</v>
      </c>
      <c r="H34" s="16">
        <f t="shared" si="1"/>
        <v>299.5</v>
      </c>
      <c r="I34" s="16">
        <f t="shared" si="1"/>
        <v>232.6</v>
      </c>
      <c r="J34" s="16">
        <f t="shared" si="1"/>
        <v>280</v>
      </c>
      <c r="K34" s="16">
        <f t="shared" si="1"/>
        <v>131.875</v>
      </c>
      <c r="L34" s="16">
        <f t="shared" si="1"/>
        <v>65</v>
      </c>
      <c r="M34" s="16">
        <f t="shared" si="1"/>
        <v>22.888888888888889</v>
      </c>
      <c r="N34" s="16">
        <f t="shared" si="1"/>
        <v>8.125</v>
      </c>
      <c r="O34" s="16">
        <f t="shared" si="1"/>
        <v>17</v>
      </c>
      <c r="P34" s="16">
        <f t="shared" si="1"/>
        <v>1.25</v>
      </c>
      <c r="Q34" s="16">
        <f t="shared" si="1"/>
        <v>2.1428571428571428</v>
      </c>
      <c r="R34" s="16">
        <f t="shared" si="1"/>
        <v>1.3333333333333333</v>
      </c>
      <c r="S34" s="16">
        <f t="shared" si="1"/>
        <v>0</v>
      </c>
      <c r="T34" s="16">
        <f t="shared" si="1"/>
        <v>2</v>
      </c>
      <c r="U34" s="16">
        <f t="shared" si="1"/>
        <v>0</v>
      </c>
      <c r="V34" s="16"/>
      <c r="W34" s="16"/>
      <c r="X34" s="16">
        <f>AVERAGE(X5:X19)</f>
        <v>472.2</v>
      </c>
      <c r="Y34" s="17"/>
      <c r="Z34" s="16">
        <f>AVERAGE(Z5:Z19)</f>
        <v>20.428571428571427</v>
      </c>
      <c r="AA34" s="92"/>
      <c r="AC34"/>
      <c r="AD34"/>
      <c r="AF34" s="433">
        <f>AF26/$AE$26</f>
        <v>0.18888888888888888</v>
      </c>
      <c r="AG34" s="433">
        <f>AG26/$AE$26</f>
        <v>0.52222222222222225</v>
      </c>
      <c r="AH34" s="433">
        <f>AH26/$AE$26</f>
        <v>0.25555555555555554</v>
      </c>
      <c r="AI34" s="433">
        <f>AI26/$AE$26</f>
        <v>2.2222222222222223E-2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48" ht="18" customHeight="1" x14ac:dyDescent="0.2">
      <c r="A36" s="1002" t="s">
        <v>625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48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</row>
    <row r="38" spans="1:48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  <c r="AA38" s="443"/>
    </row>
    <row r="39" spans="1:48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A39" s="225"/>
      <c r="AC39" t="s">
        <v>142</v>
      </c>
    </row>
    <row r="40" spans="1:48" ht="18" customHeight="1" x14ac:dyDescent="0.2">
      <c r="A40" s="1">
        <v>1995</v>
      </c>
      <c r="B40" s="6"/>
      <c r="C40" s="6"/>
      <c r="D40" s="6"/>
      <c r="E40" s="6"/>
      <c r="F40" s="6"/>
      <c r="G40" s="6"/>
      <c r="H40" s="6">
        <v>2</v>
      </c>
      <c r="I40" s="6"/>
      <c r="J40" s="6">
        <v>0</v>
      </c>
      <c r="K40" s="6"/>
      <c r="L40" s="6">
        <v>133</v>
      </c>
      <c r="M40" s="6"/>
      <c r="N40" s="6">
        <v>108</v>
      </c>
      <c r="O40" s="6"/>
      <c r="P40" s="6"/>
      <c r="Q40" s="6"/>
      <c r="R40" s="6"/>
      <c r="S40" s="6"/>
      <c r="T40" s="13"/>
      <c r="U40" s="13"/>
      <c r="V40" s="13"/>
      <c r="W40" s="13"/>
      <c r="X40" s="29">
        <v>143</v>
      </c>
      <c r="Y40" s="7" t="s">
        <v>5</v>
      </c>
      <c r="Z40" s="58">
        <v>15</v>
      </c>
      <c r="AA40" s="58"/>
      <c r="AC40">
        <f>X40/MAX(B40:W40)</f>
        <v>1.0751879699248121</v>
      </c>
    </row>
    <row r="41" spans="1:48" ht="18" customHeight="1" x14ac:dyDescent="0.2">
      <c r="A41" s="1">
        <v>1996</v>
      </c>
      <c r="B41" s="6"/>
      <c r="C41" s="6"/>
      <c r="D41" s="6"/>
      <c r="E41" s="6"/>
      <c r="F41" s="6">
        <v>73</v>
      </c>
      <c r="G41" s="6"/>
      <c r="H41" s="6">
        <v>97</v>
      </c>
      <c r="I41" s="6">
        <v>85</v>
      </c>
      <c r="J41" s="6">
        <v>0</v>
      </c>
      <c r="K41" s="6">
        <v>101</v>
      </c>
      <c r="L41" s="6"/>
      <c r="M41" s="6">
        <v>143</v>
      </c>
      <c r="N41" s="6">
        <v>125</v>
      </c>
      <c r="O41" s="6">
        <v>98</v>
      </c>
      <c r="P41" s="6"/>
      <c r="Q41" s="6">
        <v>70</v>
      </c>
      <c r="R41" s="6"/>
      <c r="S41" s="6"/>
      <c r="T41" s="13"/>
      <c r="U41" s="13"/>
      <c r="V41" s="13"/>
      <c r="W41" s="13"/>
      <c r="X41" s="29">
        <v>196</v>
      </c>
      <c r="Y41" s="7" t="s">
        <v>5</v>
      </c>
      <c r="Z41" s="60">
        <v>55</v>
      </c>
      <c r="AA41" s="60"/>
      <c r="AC41">
        <f t="shared" ref="AC41:AC64" si="2">X41/MAX(B41:W41)</f>
        <v>1.3706293706293706</v>
      </c>
    </row>
    <row r="42" spans="1:48" ht="18" customHeight="1" x14ac:dyDescent="0.2">
      <c r="A42" s="1">
        <v>1997</v>
      </c>
      <c r="B42" s="6"/>
      <c r="C42" s="6"/>
      <c r="D42" s="6"/>
      <c r="E42" s="6"/>
      <c r="F42" s="6">
        <v>38</v>
      </c>
      <c r="G42" s="6"/>
      <c r="H42" s="6">
        <v>56</v>
      </c>
      <c r="I42" s="6"/>
      <c r="J42" s="6"/>
      <c r="K42" s="6"/>
      <c r="L42" s="6">
        <v>18</v>
      </c>
      <c r="M42" s="6">
        <v>36</v>
      </c>
      <c r="N42" s="6"/>
      <c r="O42" s="6">
        <v>22</v>
      </c>
      <c r="P42" s="6">
        <v>115</v>
      </c>
      <c r="Q42" s="6"/>
      <c r="R42" s="6"/>
      <c r="S42" s="6">
        <v>58</v>
      </c>
      <c r="T42" s="13"/>
      <c r="U42" s="13"/>
      <c r="V42" s="13"/>
      <c r="W42" s="13"/>
      <c r="X42" s="29">
        <v>181</v>
      </c>
      <c r="Y42" s="7" t="s">
        <v>5</v>
      </c>
      <c r="Z42" s="58">
        <v>30</v>
      </c>
      <c r="AA42" s="58"/>
      <c r="AC42">
        <f t="shared" si="2"/>
        <v>1.5739130434782609</v>
      </c>
    </row>
    <row r="43" spans="1:48" ht="18" customHeight="1" x14ac:dyDescent="0.2">
      <c r="A43" s="1">
        <v>1998</v>
      </c>
      <c r="B43" s="6"/>
      <c r="C43" s="6"/>
      <c r="D43" s="6"/>
      <c r="E43" s="6"/>
      <c r="F43" s="6"/>
      <c r="G43" s="6"/>
      <c r="H43" s="6"/>
      <c r="I43" s="6"/>
      <c r="J43" s="6">
        <v>98</v>
      </c>
      <c r="K43" s="6">
        <v>388</v>
      </c>
      <c r="L43" s="6"/>
      <c r="M43" s="6">
        <v>78</v>
      </c>
      <c r="N43" s="6"/>
      <c r="O43" s="6"/>
      <c r="P43" s="6">
        <v>84</v>
      </c>
      <c r="Q43" s="6"/>
      <c r="R43" s="6"/>
      <c r="S43" s="6"/>
      <c r="T43" s="13"/>
      <c r="U43" s="13"/>
      <c r="V43" s="13"/>
      <c r="W43" s="13"/>
      <c r="X43" s="29">
        <v>507</v>
      </c>
      <c r="Y43" s="7" t="s">
        <v>5</v>
      </c>
      <c r="Z43" s="58">
        <v>25</v>
      </c>
      <c r="AA43" s="58"/>
      <c r="AC43">
        <f t="shared" si="2"/>
        <v>1.3067010309278351</v>
      </c>
    </row>
    <row r="44" spans="1:48" ht="18" customHeight="1" x14ac:dyDescent="0.2">
      <c r="A44" s="1">
        <v>1999</v>
      </c>
      <c r="B44" s="6"/>
      <c r="C44" s="6"/>
      <c r="D44" s="6"/>
      <c r="E44" s="6"/>
      <c r="F44" s="6"/>
      <c r="G44" s="6">
        <v>17</v>
      </c>
      <c r="H44" s="6"/>
      <c r="I44" s="6"/>
      <c r="J44" s="6">
        <v>104</v>
      </c>
      <c r="K44" s="6"/>
      <c r="L44" s="6">
        <v>169</v>
      </c>
      <c r="M44" s="6">
        <v>100</v>
      </c>
      <c r="N44" s="6"/>
      <c r="O44" s="6">
        <v>192</v>
      </c>
      <c r="P44" s="6"/>
      <c r="Q44" s="6"/>
      <c r="R44" s="6">
        <v>238</v>
      </c>
      <c r="S44" s="6"/>
      <c r="T44" s="13"/>
      <c r="U44" s="13"/>
      <c r="V44" s="13"/>
      <c r="W44" s="13"/>
      <c r="X44" s="29">
        <v>692</v>
      </c>
      <c r="Y44" s="7" t="s">
        <v>5</v>
      </c>
      <c r="Z44" s="58">
        <v>25</v>
      </c>
      <c r="AA44" s="58"/>
      <c r="AC44">
        <f t="shared" si="2"/>
        <v>2.9075630252100839</v>
      </c>
    </row>
    <row r="45" spans="1:48" ht="18" customHeight="1" x14ac:dyDescent="0.2">
      <c r="A45" s="1">
        <v>2000</v>
      </c>
      <c r="B45" s="6"/>
      <c r="C45" s="6"/>
      <c r="D45" s="6"/>
      <c r="E45" s="6"/>
      <c r="F45" s="6"/>
      <c r="G45" s="6"/>
      <c r="H45" s="6">
        <v>54</v>
      </c>
      <c r="I45" s="6"/>
      <c r="J45" s="6"/>
      <c r="K45" s="6">
        <v>197</v>
      </c>
      <c r="L45" s="6"/>
      <c r="M45" s="6"/>
      <c r="N45" s="6">
        <v>479</v>
      </c>
      <c r="O45" s="6"/>
      <c r="P45" s="6">
        <v>362</v>
      </c>
      <c r="Q45" s="6"/>
      <c r="R45" s="6">
        <v>390</v>
      </c>
      <c r="S45" s="6"/>
      <c r="T45" s="13">
        <v>268</v>
      </c>
      <c r="U45" s="13"/>
      <c r="V45" s="13"/>
      <c r="W45" s="13"/>
      <c r="X45" s="29">
        <v>1122</v>
      </c>
      <c r="Y45" s="7" t="s">
        <v>5</v>
      </c>
      <c r="Z45" s="58">
        <v>35</v>
      </c>
      <c r="AA45" s="58"/>
      <c r="AC45">
        <f t="shared" si="2"/>
        <v>2.3423799582463465</v>
      </c>
    </row>
    <row r="46" spans="1:48" ht="18" customHeight="1" x14ac:dyDescent="0.2">
      <c r="A46" s="1">
        <v>2001</v>
      </c>
      <c r="B46" s="6"/>
      <c r="C46" s="6"/>
      <c r="D46" s="6"/>
      <c r="E46" s="6"/>
      <c r="F46" s="6"/>
      <c r="G46" s="6">
        <v>109</v>
      </c>
      <c r="H46" s="6"/>
      <c r="I46" s="6"/>
      <c r="J46" s="6">
        <v>205</v>
      </c>
      <c r="K46" s="6"/>
      <c r="L46" s="6">
        <v>100</v>
      </c>
      <c r="M46" s="6"/>
      <c r="N46" s="6"/>
      <c r="O46" s="6"/>
      <c r="P46" s="6"/>
      <c r="Q46" s="6"/>
      <c r="R46" s="6">
        <v>319</v>
      </c>
      <c r="S46" s="6"/>
      <c r="T46" s="13"/>
      <c r="U46" s="13"/>
      <c r="V46" s="13"/>
      <c r="W46" s="13"/>
      <c r="X46" s="29">
        <v>434</v>
      </c>
      <c r="Y46" s="7" t="s">
        <v>5</v>
      </c>
      <c r="Z46" s="58">
        <v>30</v>
      </c>
      <c r="AA46" s="58"/>
      <c r="AC46">
        <f t="shared" si="2"/>
        <v>1.3605015673981191</v>
      </c>
    </row>
    <row r="47" spans="1:48" ht="18" customHeight="1" x14ac:dyDescent="0.2">
      <c r="A47" s="1">
        <v>2002</v>
      </c>
      <c r="B47" s="6"/>
      <c r="C47" s="6"/>
      <c r="D47" s="6"/>
      <c r="E47" s="6"/>
      <c r="F47" s="6"/>
      <c r="G47" s="6">
        <v>108</v>
      </c>
      <c r="H47" s="6">
        <v>145</v>
      </c>
      <c r="I47" s="6"/>
      <c r="J47" s="6"/>
      <c r="K47" s="6">
        <v>208</v>
      </c>
      <c r="L47" s="6"/>
      <c r="M47" s="6"/>
      <c r="N47" s="6">
        <v>507</v>
      </c>
      <c r="O47" s="6"/>
      <c r="P47" s="6"/>
      <c r="Q47" s="6">
        <v>386</v>
      </c>
      <c r="R47" s="6"/>
      <c r="S47" s="6"/>
      <c r="T47" s="13"/>
      <c r="U47" s="13"/>
      <c r="V47" s="13"/>
      <c r="W47" s="13"/>
      <c r="X47" s="29">
        <v>886</v>
      </c>
      <c r="Y47" s="7" t="s">
        <v>5</v>
      </c>
      <c r="Z47" s="60">
        <v>30</v>
      </c>
      <c r="AA47" s="60"/>
      <c r="AC47">
        <f t="shared" si="2"/>
        <v>1.747534516765286</v>
      </c>
    </row>
    <row r="48" spans="1:48" ht="18" customHeight="1" x14ac:dyDescent="0.2">
      <c r="A48" s="1">
        <v>2003</v>
      </c>
      <c r="B48" s="6"/>
      <c r="C48" s="6"/>
      <c r="D48" s="6"/>
      <c r="E48" s="6">
        <v>25</v>
      </c>
      <c r="F48" s="6"/>
      <c r="G48" s="6">
        <v>50</v>
      </c>
      <c r="H48" s="6"/>
      <c r="I48" s="6"/>
      <c r="J48" s="6">
        <v>96</v>
      </c>
      <c r="K48" s="6"/>
      <c r="L48" s="6"/>
      <c r="M48" s="6"/>
      <c r="N48" s="6">
        <v>139</v>
      </c>
      <c r="O48" s="6"/>
      <c r="P48" s="6"/>
      <c r="Q48" s="6">
        <v>400</v>
      </c>
      <c r="R48" s="6"/>
      <c r="S48" s="6"/>
      <c r="T48" s="13"/>
      <c r="U48" s="13"/>
      <c r="V48" s="13"/>
      <c r="W48" s="13"/>
      <c r="X48" s="29">
        <v>497</v>
      </c>
      <c r="Y48" s="7" t="s">
        <v>5</v>
      </c>
      <c r="Z48" s="58">
        <v>37</v>
      </c>
      <c r="AA48" s="58"/>
      <c r="AC48">
        <f t="shared" si="2"/>
        <v>1.2424999999999999</v>
      </c>
    </row>
    <row r="49" spans="1:48" ht="18" customHeight="1" x14ac:dyDescent="0.2">
      <c r="A49" s="1">
        <v>2004</v>
      </c>
      <c r="B49" s="6"/>
      <c r="C49" s="6"/>
      <c r="D49" s="6"/>
      <c r="E49" s="6"/>
      <c r="F49" s="6"/>
      <c r="G49" s="6"/>
      <c r="H49" s="6">
        <v>209</v>
      </c>
      <c r="I49" s="6"/>
      <c r="J49" s="6">
        <v>437</v>
      </c>
      <c r="K49" s="6"/>
      <c r="L49" s="6">
        <v>455</v>
      </c>
      <c r="M49" s="6"/>
      <c r="N49" s="6"/>
      <c r="O49" s="6"/>
      <c r="P49" s="6"/>
      <c r="Q49" s="6">
        <v>186</v>
      </c>
      <c r="R49" s="6"/>
      <c r="S49" s="6"/>
      <c r="T49" s="13"/>
      <c r="U49" s="13"/>
      <c r="V49" s="13"/>
      <c r="W49" s="13"/>
      <c r="X49" s="21">
        <v>575</v>
      </c>
      <c r="Y49" s="7" t="s">
        <v>5</v>
      </c>
      <c r="Z49" s="59">
        <v>40</v>
      </c>
      <c r="AA49" s="59"/>
      <c r="AC49">
        <f t="shared" si="2"/>
        <v>1.2637362637362637</v>
      </c>
    </row>
    <row r="50" spans="1:48" ht="18" customHeight="1" x14ac:dyDescent="0.2">
      <c r="A50" s="1">
        <v>2005</v>
      </c>
      <c r="B50" s="6"/>
      <c r="C50" s="6"/>
      <c r="D50" s="6"/>
      <c r="E50" s="6"/>
      <c r="F50" s="6"/>
      <c r="G50" s="6"/>
      <c r="H50" s="6">
        <v>28</v>
      </c>
      <c r="I50" s="6"/>
      <c r="J50" s="6"/>
      <c r="K50" s="6">
        <v>80</v>
      </c>
      <c r="L50" s="6"/>
      <c r="M50" s="6">
        <v>183</v>
      </c>
      <c r="N50" s="6"/>
      <c r="O50" s="6"/>
      <c r="P50" s="6"/>
      <c r="Q50" s="6">
        <v>53</v>
      </c>
      <c r="R50" s="6"/>
      <c r="S50" s="6"/>
      <c r="T50" s="13">
        <v>55</v>
      </c>
      <c r="U50" s="13"/>
      <c r="V50" s="13"/>
      <c r="W50" s="13"/>
      <c r="X50" s="29">
        <v>232</v>
      </c>
      <c r="Y50" s="7" t="s">
        <v>5</v>
      </c>
      <c r="Z50" s="60">
        <v>37.5</v>
      </c>
      <c r="AA50" s="60"/>
      <c r="AC50">
        <f t="shared" si="2"/>
        <v>1.2677595628415301</v>
      </c>
    </row>
    <row r="51" spans="1:48" ht="18" customHeight="1" x14ac:dyDescent="0.2">
      <c r="A51" s="1">
        <v>2006</v>
      </c>
      <c r="B51" s="6"/>
      <c r="C51" s="6"/>
      <c r="D51" s="6"/>
      <c r="E51" s="6"/>
      <c r="F51" s="6"/>
      <c r="G51" s="6"/>
      <c r="H51" s="6">
        <v>72</v>
      </c>
      <c r="I51" s="6">
        <v>335</v>
      </c>
      <c r="J51" s="6">
        <v>391</v>
      </c>
      <c r="K51" s="6">
        <v>452</v>
      </c>
      <c r="L51" s="6">
        <v>603</v>
      </c>
      <c r="M51" s="6">
        <v>361</v>
      </c>
      <c r="N51" s="6">
        <v>403</v>
      </c>
      <c r="O51" s="6"/>
      <c r="P51" s="6">
        <v>317</v>
      </c>
      <c r="Q51" s="6">
        <v>257</v>
      </c>
      <c r="R51" s="6">
        <v>258</v>
      </c>
      <c r="S51" s="6"/>
      <c r="T51" s="13"/>
      <c r="U51" s="13">
        <v>4</v>
      </c>
      <c r="V51" s="13"/>
      <c r="W51" s="13"/>
      <c r="X51" s="30">
        <v>746</v>
      </c>
      <c r="Y51" s="7" t="s">
        <v>5</v>
      </c>
      <c r="Z51" s="60">
        <v>37.5</v>
      </c>
      <c r="AA51" s="60"/>
      <c r="AC51">
        <f t="shared" si="2"/>
        <v>1.2371475953565505</v>
      </c>
    </row>
    <row r="52" spans="1:48" ht="18" customHeight="1" x14ac:dyDescent="0.2">
      <c r="A52" s="1">
        <v>2007</v>
      </c>
      <c r="B52" s="6"/>
      <c r="C52" s="6"/>
      <c r="D52" s="6"/>
      <c r="E52" s="6">
        <v>43</v>
      </c>
      <c r="F52" s="6"/>
      <c r="G52" s="6"/>
      <c r="H52" s="6"/>
      <c r="I52" s="6">
        <v>306</v>
      </c>
      <c r="J52" s="6"/>
      <c r="K52" s="6">
        <v>146</v>
      </c>
      <c r="L52" s="6">
        <v>158</v>
      </c>
      <c r="M52" s="6">
        <v>284</v>
      </c>
      <c r="N52" s="6"/>
      <c r="O52" s="6"/>
      <c r="P52" s="6"/>
      <c r="Q52" s="6"/>
      <c r="R52" s="6"/>
      <c r="S52" s="6"/>
      <c r="T52" s="13"/>
      <c r="U52" s="13"/>
      <c r="V52" s="13"/>
      <c r="W52" s="13"/>
      <c r="X52" s="30">
        <v>440</v>
      </c>
      <c r="Y52" s="7" t="s">
        <v>5</v>
      </c>
      <c r="Z52" s="60">
        <v>37.5</v>
      </c>
      <c r="AA52" s="60"/>
      <c r="AC52">
        <f t="shared" si="2"/>
        <v>1.4379084967320261</v>
      </c>
    </row>
    <row r="53" spans="1:48" s="55" customFormat="1" ht="18" customHeight="1" x14ac:dyDescent="0.2">
      <c r="A53" s="13">
        <v>2008</v>
      </c>
      <c r="B53" s="13"/>
      <c r="C53" s="13"/>
      <c r="D53" s="13"/>
      <c r="E53" s="13"/>
      <c r="F53" s="13">
        <v>60</v>
      </c>
      <c r="G53" s="13"/>
      <c r="H53" s="13"/>
      <c r="I53" s="13">
        <v>499</v>
      </c>
      <c r="J53" s="13">
        <v>641</v>
      </c>
      <c r="K53" s="13"/>
      <c r="L53" s="13">
        <v>801</v>
      </c>
      <c r="M53" s="13">
        <v>587</v>
      </c>
      <c r="N53" s="13"/>
      <c r="O53" s="13"/>
      <c r="P53" s="13"/>
      <c r="Q53" s="13">
        <v>186</v>
      </c>
      <c r="R53" s="13"/>
      <c r="S53" s="13"/>
      <c r="T53" s="13"/>
      <c r="U53" s="13"/>
      <c r="V53" s="13"/>
      <c r="W53" s="13"/>
      <c r="X53" s="29">
        <v>1051</v>
      </c>
      <c r="Y53" s="7" t="s">
        <v>5</v>
      </c>
      <c r="Z53" s="58">
        <v>37.5</v>
      </c>
      <c r="AA53" s="58"/>
      <c r="AC53">
        <f t="shared" si="2"/>
        <v>1.3121098626716605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s="8" customFormat="1" ht="18" customHeight="1" x14ac:dyDescent="0.2">
      <c r="A54" s="1">
        <v>2009</v>
      </c>
      <c r="B54" s="1"/>
      <c r="C54" s="1"/>
      <c r="D54" s="1"/>
      <c r="E54" s="1"/>
      <c r="F54" s="1"/>
      <c r="G54" s="1">
        <v>439</v>
      </c>
      <c r="H54" s="1"/>
      <c r="I54" s="1">
        <v>252</v>
      </c>
      <c r="J54" s="1">
        <v>443</v>
      </c>
      <c r="K54" s="1"/>
      <c r="L54" s="1"/>
      <c r="M54" s="1">
        <v>901</v>
      </c>
      <c r="N54" s="1">
        <v>312</v>
      </c>
      <c r="O54" s="1"/>
      <c r="P54" s="1"/>
      <c r="Q54" s="1"/>
      <c r="R54" s="1"/>
      <c r="S54" s="1"/>
      <c r="T54" s="1"/>
      <c r="U54" s="1"/>
      <c r="V54" s="1"/>
      <c r="W54" s="1"/>
      <c r="X54" s="1">
        <v>1320</v>
      </c>
      <c r="Y54" s="7" t="s">
        <v>5</v>
      </c>
      <c r="Z54" s="62">
        <v>35</v>
      </c>
      <c r="AA54" s="62"/>
      <c r="AC54">
        <f t="shared" si="2"/>
        <v>1.4650388457269701</v>
      </c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s="8" customFormat="1" ht="18" customHeight="1" x14ac:dyDescent="0.2">
      <c r="A55" s="13">
        <v>2010</v>
      </c>
      <c r="B55" s="1"/>
      <c r="C55" s="1"/>
      <c r="D55" s="1"/>
      <c r="E55" s="1"/>
      <c r="F55" s="1"/>
      <c r="G55" s="1">
        <v>61</v>
      </c>
      <c r="H55" s="1"/>
      <c r="I55" s="1">
        <v>164</v>
      </c>
      <c r="J55" s="1">
        <v>233</v>
      </c>
      <c r="K55" s="1">
        <v>390</v>
      </c>
      <c r="L55" s="1">
        <v>281</v>
      </c>
      <c r="M55" s="1"/>
      <c r="N55" s="1">
        <v>208</v>
      </c>
      <c r="O55" s="1"/>
      <c r="P55" s="1"/>
      <c r="Q55" s="1">
        <v>117</v>
      </c>
      <c r="R55" s="1"/>
      <c r="S55" s="1"/>
      <c r="T55" s="1"/>
      <c r="U55" s="1"/>
      <c r="V55" s="1"/>
      <c r="W55" s="1"/>
      <c r="X55" s="1">
        <v>680</v>
      </c>
      <c r="Y55" s="7"/>
      <c r="Z55" s="62"/>
      <c r="AA55" s="62"/>
      <c r="AC55">
        <f t="shared" si="2"/>
        <v>1.7435897435897436</v>
      </c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s="8" customFormat="1" ht="18" customHeight="1" x14ac:dyDescent="0.2">
      <c r="A56" s="1">
        <v>2011</v>
      </c>
      <c r="B56" s="1"/>
      <c r="C56" s="1"/>
      <c r="D56" s="1"/>
      <c r="E56" s="1"/>
      <c r="F56" s="1"/>
      <c r="G56" s="1">
        <v>219</v>
      </c>
      <c r="H56" s="1">
        <v>746</v>
      </c>
      <c r="I56" s="1">
        <v>678</v>
      </c>
      <c r="J56" s="1">
        <v>705</v>
      </c>
      <c r="K56" s="1">
        <v>569</v>
      </c>
      <c r="L56" s="1">
        <v>794</v>
      </c>
      <c r="M56" s="1"/>
      <c r="N56" s="1">
        <v>1115</v>
      </c>
      <c r="O56" s="1"/>
      <c r="P56" s="1"/>
      <c r="Q56" s="1">
        <v>707</v>
      </c>
      <c r="R56" s="1"/>
      <c r="S56" s="1"/>
      <c r="T56" s="1"/>
      <c r="U56" s="1"/>
      <c r="V56" s="1"/>
      <c r="W56" s="1"/>
      <c r="X56" s="1">
        <v>1700</v>
      </c>
      <c r="Y56" s="7" t="s">
        <v>5</v>
      </c>
      <c r="Z56" s="62">
        <v>40</v>
      </c>
      <c r="AA56" s="62"/>
      <c r="AC56">
        <f t="shared" si="2"/>
        <v>1.5246636771300448</v>
      </c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s="8" customFormat="1" ht="18" customHeight="1" x14ac:dyDescent="0.2">
      <c r="A57" s="1">
        <v>2012</v>
      </c>
      <c r="B57" s="1"/>
      <c r="C57" s="1"/>
      <c r="D57" s="1"/>
      <c r="E57" s="1"/>
      <c r="F57" s="1">
        <v>94</v>
      </c>
      <c r="G57" s="1">
        <v>87</v>
      </c>
      <c r="H57" s="1">
        <v>193</v>
      </c>
      <c r="I57" s="1">
        <v>359</v>
      </c>
      <c r="J57" s="1">
        <v>593</v>
      </c>
      <c r="K57" s="1">
        <v>742</v>
      </c>
      <c r="L57" s="1"/>
      <c r="M57" s="1">
        <v>81</v>
      </c>
      <c r="N57" s="1"/>
      <c r="O57" s="1">
        <v>6</v>
      </c>
      <c r="P57" s="1">
        <v>442</v>
      </c>
      <c r="Q57" s="1"/>
      <c r="R57" s="1"/>
      <c r="S57" s="1"/>
      <c r="T57" s="1"/>
      <c r="U57" s="1"/>
      <c r="V57" s="1"/>
      <c r="W57" s="1"/>
      <c r="X57" s="1">
        <v>1263</v>
      </c>
      <c r="Y57" s="7" t="s">
        <v>5</v>
      </c>
      <c r="Z57" s="62">
        <v>25</v>
      </c>
      <c r="AA57" s="62"/>
      <c r="AC57">
        <f t="shared" si="2"/>
        <v>1.702156334231806</v>
      </c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spans="1:48" s="8" customFormat="1" ht="18" customHeight="1" x14ac:dyDescent="0.2">
      <c r="A58" s="1">
        <v>2013</v>
      </c>
      <c r="B58" s="1"/>
      <c r="C58" s="1"/>
      <c r="D58" s="1"/>
      <c r="E58" s="1"/>
      <c r="F58" s="1">
        <v>37</v>
      </c>
      <c r="G58" s="1"/>
      <c r="H58" s="1">
        <v>138</v>
      </c>
      <c r="I58" s="1"/>
      <c r="J58" s="1"/>
      <c r="K58" s="1">
        <v>195</v>
      </c>
      <c r="L58" s="1">
        <v>219</v>
      </c>
      <c r="M58" s="1"/>
      <c r="N58" s="1">
        <v>144</v>
      </c>
      <c r="O58" s="1"/>
      <c r="P58" s="1">
        <v>111</v>
      </c>
      <c r="Q58" s="1"/>
      <c r="R58" s="1"/>
      <c r="S58" s="1"/>
      <c r="T58" s="1"/>
      <c r="U58" s="1"/>
      <c r="V58" s="1"/>
      <c r="W58" s="1"/>
      <c r="X58" s="1">
        <v>358</v>
      </c>
      <c r="Y58" s="7" t="s">
        <v>5</v>
      </c>
      <c r="Z58" s="62">
        <v>35</v>
      </c>
      <c r="AA58" s="62"/>
      <c r="AC58">
        <f t="shared" si="2"/>
        <v>1.634703196347032</v>
      </c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48" s="8" customFormat="1" ht="18" customHeight="1" x14ac:dyDescent="0.2">
      <c r="A59" s="1">
        <v>2014</v>
      </c>
      <c r="B59" s="1"/>
      <c r="C59" s="1"/>
      <c r="D59" s="1"/>
      <c r="E59" s="1"/>
      <c r="F59" s="1">
        <v>9</v>
      </c>
      <c r="G59" s="1"/>
      <c r="H59" s="1">
        <v>105</v>
      </c>
      <c r="I59" s="1">
        <v>579</v>
      </c>
      <c r="J59" s="1"/>
      <c r="K59" s="1">
        <v>846</v>
      </c>
      <c r="L59" s="1"/>
      <c r="M59" s="1"/>
      <c r="N59" s="1"/>
      <c r="O59" s="1">
        <v>129</v>
      </c>
      <c r="P59" s="1"/>
      <c r="Q59" s="1"/>
      <c r="R59" s="1"/>
      <c r="S59" s="1"/>
      <c r="T59" s="1"/>
      <c r="U59" s="1"/>
      <c r="V59" s="1"/>
      <c r="W59" s="1"/>
      <c r="X59" s="1">
        <v>1011</v>
      </c>
      <c r="Y59" s="7" t="s">
        <v>5</v>
      </c>
      <c r="Z59" s="62">
        <v>35</v>
      </c>
      <c r="AA59" s="62"/>
      <c r="AC59">
        <f t="shared" si="2"/>
        <v>1.1950354609929077</v>
      </c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48" s="8" customFormat="1" ht="18" customHeight="1" x14ac:dyDescent="0.2">
      <c r="A60" s="1">
        <v>2015</v>
      </c>
      <c r="B60" s="1"/>
      <c r="C60" s="1"/>
      <c r="D60" s="1"/>
      <c r="E60" s="1"/>
      <c r="F60" s="1"/>
      <c r="G60" s="189">
        <v>249</v>
      </c>
      <c r="H60" s="189">
        <v>223</v>
      </c>
      <c r="I60" s="221"/>
      <c r="J60" s="189">
        <v>293</v>
      </c>
      <c r="K60" s="189">
        <v>413</v>
      </c>
      <c r="L60" s="189">
        <v>259</v>
      </c>
      <c r="M60" s="189">
        <v>237</v>
      </c>
      <c r="N60" s="223"/>
      <c r="O60" s="189">
        <v>490</v>
      </c>
      <c r="P60" s="1"/>
      <c r="Q60" s="1"/>
      <c r="R60" s="1"/>
      <c r="S60" s="1"/>
      <c r="T60" s="1"/>
      <c r="U60" s="1"/>
      <c r="V60" s="1"/>
      <c r="W60" s="1"/>
      <c r="X60" s="1">
        <v>812</v>
      </c>
      <c r="Y60" s="7" t="s">
        <v>5</v>
      </c>
      <c r="Z60" s="62">
        <v>30</v>
      </c>
      <c r="AA60" s="62"/>
      <c r="AC60">
        <f t="shared" si="2"/>
        <v>1.6571428571428573</v>
      </c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48" s="8" customFormat="1" ht="18" customHeight="1" x14ac:dyDescent="0.2">
      <c r="A61" s="1">
        <v>2016</v>
      </c>
      <c r="B61" s="1"/>
      <c r="C61" s="1"/>
      <c r="D61" s="1"/>
      <c r="E61" s="1"/>
      <c r="F61" s="1"/>
      <c r="G61" s="189">
        <v>409</v>
      </c>
      <c r="H61" s="189">
        <v>388</v>
      </c>
      <c r="I61" s="189">
        <v>1368</v>
      </c>
      <c r="J61" s="1"/>
      <c r="K61" s="106">
        <v>795</v>
      </c>
      <c r="L61" s="106">
        <v>661</v>
      </c>
      <c r="M61" s="1"/>
      <c r="N61" s="1"/>
      <c r="O61" s="106">
        <v>569</v>
      </c>
      <c r="P61" s="1"/>
      <c r="Q61" s="321">
        <v>226</v>
      </c>
      <c r="R61" s="1"/>
      <c r="S61" s="1"/>
      <c r="T61" s="1"/>
      <c r="U61" s="1"/>
      <c r="V61" s="1"/>
      <c r="W61" s="1"/>
      <c r="X61" s="1">
        <v>1574</v>
      </c>
      <c r="Y61" s="7"/>
      <c r="Z61" s="62">
        <v>35</v>
      </c>
      <c r="AA61" s="62"/>
      <c r="AC61">
        <f t="shared" si="2"/>
        <v>1.1505847953216375</v>
      </c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48" s="8" customFormat="1" ht="18" customHeight="1" x14ac:dyDescent="0.2">
      <c r="A62" s="1">
        <v>2017</v>
      </c>
      <c r="B62" s="1"/>
      <c r="C62" s="1"/>
      <c r="D62" s="189">
        <v>5</v>
      </c>
      <c r="E62" s="1"/>
      <c r="F62" s="189">
        <v>29</v>
      </c>
      <c r="G62" s="189">
        <v>120</v>
      </c>
      <c r="H62" s="189">
        <v>481</v>
      </c>
      <c r="I62" s="1"/>
      <c r="J62" s="189">
        <v>498</v>
      </c>
      <c r="K62" s="189">
        <v>701</v>
      </c>
      <c r="L62" s="1"/>
      <c r="M62" s="189">
        <v>389</v>
      </c>
      <c r="N62" s="189">
        <v>293</v>
      </c>
      <c r="O62" s="1"/>
      <c r="P62" s="1"/>
      <c r="Q62" s="1"/>
      <c r="R62" s="1"/>
      <c r="S62" s="1"/>
      <c r="T62" s="1"/>
      <c r="U62" s="1"/>
      <c r="V62" s="1"/>
      <c r="W62" s="1"/>
      <c r="X62" s="1">
        <v>906</v>
      </c>
      <c r="Y62" s="7"/>
      <c r="Z62" s="62">
        <v>35</v>
      </c>
      <c r="AA62" s="62"/>
      <c r="AC62">
        <f t="shared" si="2"/>
        <v>1.2924393723252496</v>
      </c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48" s="8" customFormat="1" ht="18" customHeight="1" x14ac:dyDescent="0.2">
      <c r="A63" s="1">
        <v>2018</v>
      </c>
      <c r="B63" s="1"/>
      <c r="C63" s="1"/>
      <c r="D63" s="1"/>
      <c r="E63" s="106">
        <v>48</v>
      </c>
      <c r="F63" s="1"/>
      <c r="G63" s="106">
        <v>302</v>
      </c>
      <c r="H63" s="106">
        <v>823</v>
      </c>
      <c r="I63" s="106">
        <v>262</v>
      </c>
      <c r="J63" s="1"/>
      <c r="K63" s="106">
        <v>280</v>
      </c>
      <c r="L63" s="1"/>
      <c r="M63" s="1"/>
      <c r="N63" s="1"/>
      <c r="O63" s="189">
        <v>112</v>
      </c>
      <c r="P63" s="1"/>
      <c r="Q63" s="1"/>
      <c r="R63" s="1"/>
      <c r="S63" s="1"/>
      <c r="T63" s="1"/>
      <c r="U63" s="1"/>
      <c r="V63" s="1"/>
      <c r="W63" s="1"/>
      <c r="X63" s="1">
        <v>915</v>
      </c>
      <c r="Y63" s="7"/>
      <c r="Z63" s="62">
        <v>25</v>
      </c>
      <c r="AA63" s="62"/>
      <c r="AC63">
        <f t="shared" si="2"/>
        <v>1.111786148238153</v>
      </c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4" spans="1:48" s="8" customFormat="1" ht="18" customHeight="1" x14ac:dyDescent="0.2">
      <c r="A64" s="1">
        <v>2019</v>
      </c>
      <c r="B64" s="1"/>
      <c r="C64" s="1"/>
      <c r="D64" s="1"/>
      <c r="E64" s="1"/>
      <c r="F64" s="106">
        <v>11</v>
      </c>
      <c r="G64" s="1"/>
      <c r="H64" s="106">
        <v>160</v>
      </c>
      <c r="I64" s="1"/>
      <c r="J64" s="106">
        <v>186</v>
      </c>
      <c r="K64" s="106">
        <v>156</v>
      </c>
      <c r="L64" s="1"/>
      <c r="M64" s="1"/>
      <c r="N64" s="106">
        <v>183</v>
      </c>
      <c r="O64" s="106">
        <v>147</v>
      </c>
      <c r="P64" s="1"/>
      <c r="Q64" s="1"/>
      <c r="R64" s="1"/>
      <c r="S64" s="1"/>
      <c r="T64" s="1"/>
      <c r="U64" s="1"/>
      <c r="V64" s="1"/>
      <c r="W64" s="1"/>
      <c r="X64" s="1">
        <v>318</v>
      </c>
      <c r="Y64" s="7"/>
      <c r="Z64" s="62">
        <v>35</v>
      </c>
      <c r="AA64" s="62"/>
      <c r="AC64">
        <f t="shared" si="2"/>
        <v>1.7096774193548387</v>
      </c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</row>
    <row r="65" spans="1:48" s="8" customFormat="1" ht="18" customHeight="1" x14ac:dyDescent="0.2">
      <c r="A65" s="1">
        <v>2020</v>
      </c>
      <c r="B65" s="1"/>
      <c r="C65" s="1"/>
      <c r="D65" s="1"/>
      <c r="E65" s="1"/>
      <c r="F65" s="106">
        <v>22</v>
      </c>
      <c r="G65" s="1"/>
      <c r="H65" s="106">
        <v>136</v>
      </c>
      <c r="I65" s="106">
        <v>280</v>
      </c>
      <c r="J65" s="106">
        <v>250</v>
      </c>
      <c r="K65" s="106">
        <v>194</v>
      </c>
      <c r="L65" s="1"/>
      <c r="M65" s="106">
        <v>174</v>
      </c>
      <c r="N65" s="1"/>
      <c r="O65" s="106">
        <v>172</v>
      </c>
      <c r="P65" s="427">
        <v>108</v>
      </c>
      <c r="Q65" s="1"/>
      <c r="R65" s="1"/>
      <c r="S65" s="1"/>
      <c r="T65" s="1"/>
      <c r="U65" s="1"/>
      <c r="V65" s="1"/>
      <c r="W65" s="1"/>
      <c r="X65" s="1">
        <v>407</v>
      </c>
      <c r="Y65" s="7" t="s">
        <v>5</v>
      </c>
      <c r="Z65" s="62"/>
      <c r="AA65" s="62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1:48" s="94" customFormat="1" ht="18" customHeight="1" x14ac:dyDescent="0.2">
      <c r="A66" s="227">
        <v>2021</v>
      </c>
      <c r="B66" s="227"/>
      <c r="C66" s="227"/>
      <c r="D66" s="227"/>
      <c r="E66" s="227"/>
      <c r="F66" s="89"/>
      <c r="G66" s="975">
        <v>24</v>
      </c>
      <c r="H66" s="186">
        <v>40</v>
      </c>
      <c r="I66" s="186">
        <v>147</v>
      </c>
      <c r="J66" s="893"/>
      <c r="K66" s="808">
        <v>106</v>
      </c>
      <c r="L66" s="976"/>
      <c r="M66" s="806">
        <v>282</v>
      </c>
      <c r="N66" s="984"/>
      <c r="O66" s="186">
        <v>266</v>
      </c>
      <c r="P66" s="539">
        <v>248</v>
      </c>
      <c r="Q66" s="806">
        <v>272</v>
      </c>
      <c r="R66" s="227"/>
      <c r="S66" s="227"/>
      <c r="T66" s="227"/>
      <c r="U66" s="227"/>
      <c r="V66" s="227"/>
      <c r="W66" s="227"/>
      <c r="X66" s="227">
        <v>678</v>
      </c>
      <c r="Y66" s="11"/>
      <c r="Z66" s="750"/>
      <c r="AA66" s="750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</row>
    <row r="67" spans="1:48" s="94" customFormat="1" ht="18" customHeight="1" x14ac:dyDescent="0.2">
      <c r="A67" s="227">
        <v>2022</v>
      </c>
      <c r="B67" s="227"/>
      <c r="C67" s="227"/>
      <c r="D67" s="227"/>
      <c r="E67" s="227"/>
      <c r="F67" s="89"/>
      <c r="G67" s="200">
        <v>96</v>
      </c>
      <c r="H67" s="186">
        <v>182</v>
      </c>
      <c r="I67" s="187"/>
      <c r="J67" s="186">
        <v>329</v>
      </c>
      <c r="K67" s="186">
        <v>446</v>
      </c>
      <c r="L67" s="807"/>
      <c r="M67" s="799"/>
      <c r="N67" s="799"/>
      <c r="O67" s="186">
        <v>501</v>
      </c>
      <c r="P67" s="982"/>
      <c r="Q67" s="799"/>
      <c r="R67" s="227"/>
      <c r="S67" s="227"/>
      <c r="T67" s="227"/>
      <c r="U67" s="227"/>
      <c r="V67" s="227"/>
      <c r="W67" s="227"/>
      <c r="X67" s="227">
        <v>1364</v>
      </c>
      <c r="Y67" s="11"/>
      <c r="Z67" s="750"/>
      <c r="AA67" s="750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</row>
    <row r="68" spans="1:48" s="94" customFormat="1" ht="18" customHeight="1" x14ac:dyDescent="0.2">
      <c r="A68" s="227">
        <v>2023</v>
      </c>
      <c r="B68" s="227"/>
      <c r="C68" s="227"/>
      <c r="D68" s="227"/>
      <c r="E68" s="227"/>
      <c r="F68" s="106">
        <v>66</v>
      </c>
      <c r="G68" s="227"/>
      <c r="H68" s="106">
        <v>294</v>
      </c>
      <c r="I68" s="106">
        <v>317</v>
      </c>
      <c r="J68" s="227"/>
      <c r="K68" s="106">
        <v>286</v>
      </c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11"/>
      <c r="Z68" s="750"/>
      <c r="AA68" s="750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</row>
    <row r="69" spans="1:48" ht="18" customHeight="1" x14ac:dyDescent="0.2">
      <c r="A69" s="64" t="s">
        <v>17</v>
      </c>
      <c r="B69" s="16"/>
      <c r="C69" s="16"/>
      <c r="D69" s="16"/>
      <c r="E69" s="16">
        <f t="shared" ref="E69:U69" si="3">AVERAGE(E40:E54)</f>
        <v>34</v>
      </c>
      <c r="F69" s="16">
        <f t="shared" si="3"/>
        <v>57</v>
      </c>
      <c r="G69" s="16">
        <f t="shared" si="3"/>
        <v>144.6</v>
      </c>
      <c r="H69" s="16">
        <f t="shared" si="3"/>
        <v>82.875</v>
      </c>
      <c r="I69" s="16">
        <f t="shared" si="3"/>
        <v>295.39999999999998</v>
      </c>
      <c r="J69" s="16">
        <f t="shared" si="3"/>
        <v>241.5</v>
      </c>
      <c r="K69" s="16">
        <f t="shared" si="3"/>
        <v>224.57142857142858</v>
      </c>
      <c r="L69" s="16">
        <f t="shared" si="3"/>
        <v>304.625</v>
      </c>
      <c r="M69" s="16">
        <f t="shared" si="3"/>
        <v>297</v>
      </c>
      <c r="N69" s="16">
        <f t="shared" si="3"/>
        <v>296.14285714285717</v>
      </c>
      <c r="O69" s="16">
        <f t="shared" si="3"/>
        <v>104</v>
      </c>
      <c r="P69" s="16">
        <f t="shared" si="3"/>
        <v>219.5</v>
      </c>
      <c r="Q69" s="16">
        <f t="shared" si="3"/>
        <v>219.71428571428572</v>
      </c>
      <c r="R69" s="16">
        <f t="shared" si="3"/>
        <v>301.25</v>
      </c>
      <c r="S69" s="16">
        <f t="shared" si="3"/>
        <v>58</v>
      </c>
      <c r="T69" s="16">
        <f t="shared" si="3"/>
        <v>161.5</v>
      </c>
      <c r="U69" s="16">
        <f t="shared" si="3"/>
        <v>4</v>
      </c>
      <c r="V69" s="16"/>
      <c r="W69" s="16"/>
      <c r="X69" s="16">
        <f>AVERAGE(X40:X54)</f>
        <v>601.4666666666667</v>
      </c>
      <c r="Y69" s="16"/>
      <c r="Z69" s="16">
        <f>AVERAGE(Z40:Z54)</f>
        <v>33.799999999999997</v>
      </c>
      <c r="AA69" s="92"/>
    </row>
    <row r="70" spans="1:48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</row>
    <row r="71" spans="1:48" ht="18" customHeight="1" x14ac:dyDescent="0.2">
      <c r="A71" s="1002" t="s">
        <v>626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48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</row>
    <row r="73" spans="1:48" ht="18" customHeight="1" thickTop="1" x14ac:dyDescent="0.2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  <c r="AA73" s="443"/>
    </row>
    <row r="74" spans="1:48" ht="18" customHeight="1" x14ac:dyDescent="0.2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A74" s="225"/>
      <c r="AB74" s="2" t="s">
        <v>398</v>
      </c>
      <c r="AC74" t="s">
        <v>142</v>
      </c>
    </row>
    <row r="75" spans="1:48" ht="18" customHeight="1" x14ac:dyDescent="0.2">
      <c r="A75" s="1">
        <v>1995</v>
      </c>
      <c r="B75" s="6"/>
      <c r="C75" s="6"/>
      <c r="D75" s="6"/>
      <c r="E75" s="6"/>
      <c r="F75" s="6"/>
      <c r="G75" s="6"/>
      <c r="H75" s="6">
        <v>4</v>
      </c>
      <c r="I75" s="6"/>
      <c r="J75" s="6">
        <v>874</v>
      </c>
      <c r="K75" s="6"/>
      <c r="L75" s="78">
        <v>2000</v>
      </c>
      <c r="M75" s="6"/>
      <c r="N75" s="6">
        <v>1517</v>
      </c>
      <c r="O75" s="6"/>
      <c r="P75" s="6"/>
      <c r="Q75" s="6"/>
      <c r="R75" s="6"/>
      <c r="S75" s="6"/>
      <c r="T75" s="13"/>
      <c r="U75" s="13"/>
      <c r="V75" s="13"/>
      <c r="W75" s="13"/>
      <c r="X75" s="7">
        <v>2805</v>
      </c>
      <c r="Y75" s="7" t="s">
        <v>5</v>
      </c>
      <c r="Z75" s="10">
        <v>25</v>
      </c>
      <c r="AA75" s="10"/>
      <c r="AB75" s="2">
        <f>MAX(B75:W75)</f>
        <v>2000</v>
      </c>
      <c r="AC75">
        <f>X75/MAX(B75:W75)</f>
        <v>1.4025000000000001</v>
      </c>
    </row>
    <row r="76" spans="1:48" ht="18" customHeight="1" x14ac:dyDescent="0.2">
      <c r="A76" s="1">
        <v>1996</v>
      </c>
      <c r="B76" s="6"/>
      <c r="C76" s="6"/>
      <c r="D76" s="6"/>
      <c r="E76" s="6"/>
      <c r="F76" s="6">
        <v>12</v>
      </c>
      <c r="G76" s="6"/>
      <c r="H76" s="6">
        <v>16</v>
      </c>
      <c r="I76" s="6">
        <v>105</v>
      </c>
      <c r="J76" s="6">
        <v>0</v>
      </c>
      <c r="K76" s="6">
        <v>600</v>
      </c>
      <c r="L76" s="6"/>
      <c r="M76" s="78">
        <v>1074</v>
      </c>
      <c r="N76" s="6">
        <v>592</v>
      </c>
      <c r="O76" s="6">
        <v>480</v>
      </c>
      <c r="P76" s="6"/>
      <c r="Q76" s="6">
        <v>38</v>
      </c>
      <c r="R76" s="6"/>
      <c r="S76" s="6"/>
      <c r="T76" s="13"/>
      <c r="U76" s="13"/>
      <c r="V76" s="13"/>
      <c r="W76" s="13"/>
      <c r="X76" s="7">
        <v>1643</v>
      </c>
      <c r="Y76" s="7" t="s">
        <v>5</v>
      </c>
      <c r="Z76" s="10">
        <v>20</v>
      </c>
      <c r="AA76" s="10"/>
      <c r="AB76" s="2">
        <f t="shared" ref="AB76:AB97" si="4">MAX(B76:W76)</f>
        <v>1074</v>
      </c>
      <c r="AC76">
        <f t="shared" ref="AC76:AC97" si="5">X76/MAX(B76:W76)</f>
        <v>1.5297951582867784</v>
      </c>
    </row>
    <row r="77" spans="1:48" ht="18" customHeight="1" x14ac:dyDescent="0.2">
      <c r="A77" s="1">
        <v>1997</v>
      </c>
      <c r="B77" s="6"/>
      <c r="C77" s="6"/>
      <c r="D77" s="6"/>
      <c r="E77" s="6"/>
      <c r="F77" s="6">
        <v>1</v>
      </c>
      <c r="G77" s="6"/>
      <c r="H77" s="6">
        <v>46</v>
      </c>
      <c r="I77" s="6"/>
      <c r="J77" s="6"/>
      <c r="K77" s="6"/>
      <c r="L77" s="6">
        <v>2143</v>
      </c>
      <c r="M77" s="78">
        <v>2700</v>
      </c>
      <c r="N77" s="6"/>
      <c r="O77" s="6">
        <v>143</v>
      </c>
      <c r="P77" s="6">
        <v>0</v>
      </c>
      <c r="Q77" s="6"/>
      <c r="R77" s="6"/>
      <c r="S77" s="6">
        <v>2</v>
      </c>
      <c r="T77" s="13"/>
      <c r="U77" s="13"/>
      <c r="V77" s="13"/>
      <c r="W77" s="13"/>
      <c r="X77" s="7">
        <v>3573</v>
      </c>
      <c r="Y77" s="7" t="s">
        <v>5</v>
      </c>
      <c r="Z77" s="10">
        <v>20</v>
      </c>
      <c r="AA77" s="10"/>
      <c r="AB77" s="2">
        <f t="shared" si="4"/>
        <v>2700</v>
      </c>
      <c r="AC77">
        <f t="shared" si="5"/>
        <v>1.3233333333333333</v>
      </c>
    </row>
    <row r="78" spans="1:48" ht="18" customHeight="1" x14ac:dyDescent="0.2">
      <c r="A78" s="1">
        <v>1998</v>
      </c>
      <c r="B78" s="6"/>
      <c r="C78" s="6"/>
      <c r="D78" s="6"/>
      <c r="E78" s="6"/>
      <c r="F78" s="6"/>
      <c r="G78" s="6"/>
      <c r="H78" s="6"/>
      <c r="I78" s="6"/>
      <c r="J78" s="6">
        <v>144</v>
      </c>
      <c r="K78" s="78">
        <v>11410</v>
      </c>
      <c r="L78" s="6"/>
      <c r="M78" s="6">
        <v>4400</v>
      </c>
      <c r="N78" s="6"/>
      <c r="O78" s="6"/>
      <c r="P78" s="6">
        <v>1320</v>
      </c>
      <c r="Q78" s="6"/>
      <c r="R78" s="6"/>
      <c r="S78" s="6"/>
      <c r="T78" s="13"/>
      <c r="U78" s="13"/>
      <c r="V78" s="13"/>
      <c r="W78" s="13"/>
      <c r="X78" s="7">
        <v>15713</v>
      </c>
      <c r="Y78" s="7" t="s">
        <v>5</v>
      </c>
      <c r="Z78" s="10">
        <v>15</v>
      </c>
      <c r="AA78" s="10"/>
      <c r="AB78" s="2">
        <f t="shared" si="4"/>
        <v>11410</v>
      </c>
      <c r="AC78">
        <f t="shared" si="5"/>
        <v>1.377125328659071</v>
      </c>
    </row>
    <row r="79" spans="1:48" ht="18" customHeight="1" x14ac:dyDescent="0.2">
      <c r="A79" s="1">
        <v>1999</v>
      </c>
      <c r="B79" s="6"/>
      <c r="C79" s="6"/>
      <c r="D79" s="6"/>
      <c r="E79" s="6"/>
      <c r="F79" s="6"/>
      <c r="G79" s="6">
        <v>20</v>
      </c>
      <c r="H79" s="6"/>
      <c r="I79" s="6"/>
      <c r="J79" s="6">
        <v>488</v>
      </c>
      <c r="K79" s="6">
        <v>860</v>
      </c>
      <c r="L79" s="78">
        <v>2766</v>
      </c>
      <c r="M79" s="6">
        <v>1675</v>
      </c>
      <c r="N79" s="6"/>
      <c r="O79" s="6">
        <v>1073</v>
      </c>
      <c r="P79" s="6"/>
      <c r="Q79" s="6"/>
      <c r="R79" s="6">
        <v>30</v>
      </c>
      <c r="S79" s="6"/>
      <c r="T79" s="13"/>
      <c r="U79" s="13"/>
      <c r="V79" s="13"/>
      <c r="W79" s="13"/>
      <c r="X79" s="9">
        <v>7867</v>
      </c>
      <c r="Y79" s="7" t="s">
        <v>5</v>
      </c>
      <c r="Z79" s="60">
        <v>12.5</v>
      </c>
      <c r="AA79" s="60"/>
      <c r="AB79" s="2">
        <f t="shared" si="4"/>
        <v>2766</v>
      </c>
      <c r="AC79">
        <f t="shared" si="5"/>
        <v>2.8441793203181489</v>
      </c>
    </row>
    <row r="80" spans="1:48" ht="18" customHeight="1" x14ac:dyDescent="0.2">
      <c r="A80" s="1">
        <v>2000</v>
      </c>
      <c r="B80" s="6"/>
      <c r="C80" s="6"/>
      <c r="D80" s="6"/>
      <c r="E80" s="6"/>
      <c r="F80" s="6"/>
      <c r="G80" s="6"/>
      <c r="H80" s="6">
        <v>31</v>
      </c>
      <c r="I80" s="6"/>
      <c r="J80" s="6"/>
      <c r="K80" s="78">
        <v>558</v>
      </c>
      <c r="L80" s="6"/>
      <c r="M80" s="6"/>
      <c r="N80" s="6">
        <v>477</v>
      </c>
      <c r="O80" s="6"/>
      <c r="P80" s="6">
        <v>194</v>
      </c>
      <c r="Q80" s="6"/>
      <c r="R80" s="6">
        <v>63</v>
      </c>
      <c r="S80" s="6"/>
      <c r="T80" s="13">
        <v>3</v>
      </c>
      <c r="U80" s="13"/>
      <c r="V80" s="13"/>
      <c r="W80" s="13"/>
      <c r="X80" s="10">
        <v>2229</v>
      </c>
      <c r="Y80" s="7" t="s">
        <v>5</v>
      </c>
      <c r="Z80" s="60">
        <v>10</v>
      </c>
      <c r="AA80" s="60"/>
      <c r="AB80" s="2">
        <f t="shared" si="4"/>
        <v>558</v>
      </c>
      <c r="AC80">
        <f t="shared" si="5"/>
        <v>3.9946236559139785</v>
      </c>
    </row>
    <row r="81" spans="1:48" ht="18" customHeight="1" x14ac:dyDescent="0.2">
      <c r="A81" s="1">
        <v>2001</v>
      </c>
      <c r="B81" s="6"/>
      <c r="C81" s="6"/>
      <c r="D81" s="6"/>
      <c r="E81" s="6"/>
      <c r="F81" s="6"/>
      <c r="G81" s="6">
        <v>22</v>
      </c>
      <c r="H81" s="6"/>
      <c r="I81" s="6"/>
      <c r="J81" s="6">
        <v>461</v>
      </c>
      <c r="K81" s="6"/>
      <c r="L81" s="78">
        <v>1100</v>
      </c>
      <c r="M81" s="6"/>
      <c r="N81" s="6"/>
      <c r="O81" s="6"/>
      <c r="P81" s="6"/>
      <c r="Q81" s="6"/>
      <c r="R81" s="6">
        <v>33</v>
      </c>
      <c r="S81" s="6"/>
      <c r="T81" s="13"/>
      <c r="U81" s="13"/>
      <c r="V81" s="13"/>
      <c r="W81" s="13"/>
      <c r="X81" s="7">
        <v>1963</v>
      </c>
      <c r="Y81" s="7" t="s">
        <v>5</v>
      </c>
      <c r="Z81" s="60">
        <v>10</v>
      </c>
      <c r="AA81" s="60"/>
      <c r="AB81" s="2">
        <f t="shared" si="4"/>
        <v>1100</v>
      </c>
      <c r="AC81">
        <f t="shared" si="5"/>
        <v>1.7845454545454544</v>
      </c>
    </row>
    <row r="82" spans="1:48" ht="18" customHeight="1" x14ac:dyDescent="0.2">
      <c r="A82" s="1">
        <v>2002</v>
      </c>
      <c r="B82" s="6"/>
      <c r="C82" s="6"/>
      <c r="D82" s="6"/>
      <c r="E82" s="6"/>
      <c r="F82" s="6"/>
      <c r="G82" s="6">
        <v>15</v>
      </c>
      <c r="H82" s="6">
        <v>98</v>
      </c>
      <c r="I82" s="6"/>
      <c r="J82" s="6"/>
      <c r="K82" s="6">
        <v>991</v>
      </c>
      <c r="L82" s="6"/>
      <c r="M82" s="6"/>
      <c r="N82" s="78">
        <v>1608</v>
      </c>
      <c r="O82" s="6"/>
      <c r="P82" s="6"/>
      <c r="Q82" s="6">
        <v>10</v>
      </c>
      <c r="R82" s="6"/>
      <c r="S82" s="6"/>
      <c r="T82" s="13"/>
      <c r="U82" s="13"/>
      <c r="V82" s="13"/>
      <c r="W82" s="13"/>
      <c r="X82" s="7">
        <v>5719</v>
      </c>
      <c r="Y82" s="7" t="s">
        <v>5</v>
      </c>
      <c r="Z82" s="60">
        <v>14</v>
      </c>
      <c r="AA82" s="60"/>
      <c r="AB82" s="2">
        <f t="shared" si="4"/>
        <v>1608</v>
      </c>
      <c r="AC82">
        <f t="shared" si="5"/>
        <v>3.5565920398009951</v>
      </c>
    </row>
    <row r="83" spans="1:48" ht="18" customHeight="1" x14ac:dyDescent="0.2">
      <c r="A83" s="1">
        <v>2003</v>
      </c>
      <c r="B83" s="6"/>
      <c r="C83" s="6"/>
      <c r="D83" s="6"/>
      <c r="E83" s="6">
        <v>4</v>
      </c>
      <c r="F83" s="6"/>
      <c r="G83" s="6">
        <v>13</v>
      </c>
      <c r="H83" s="6"/>
      <c r="I83" s="6"/>
      <c r="J83" s="6">
        <v>100</v>
      </c>
      <c r="K83" s="6"/>
      <c r="L83" s="6"/>
      <c r="M83" s="6"/>
      <c r="N83" s="6">
        <v>408</v>
      </c>
      <c r="O83" s="6"/>
      <c r="P83" s="6"/>
      <c r="Q83" s="78">
        <v>430</v>
      </c>
      <c r="R83" s="6"/>
      <c r="S83" s="6"/>
      <c r="T83" s="13"/>
      <c r="U83" s="13"/>
      <c r="V83" s="13"/>
      <c r="W83" s="13"/>
      <c r="X83" s="7">
        <v>1569</v>
      </c>
      <c r="Y83" s="7" t="s">
        <v>5</v>
      </c>
      <c r="Z83" s="60">
        <v>12</v>
      </c>
      <c r="AA83" s="60"/>
      <c r="AB83" s="2">
        <f t="shared" si="4"/>
        <v>430</v>
      </c>
      <c r="AC83">
        <f t="shared" si="5"/>
        <v>3.6488372093023256</v>
      </c>
    </row>
    <row r="84" spans="1:48" ht="18" customHeight="1" x14ac:dyDescent="0.2">
      <c r="A84" s="1">
        <v>2004</v>
      </c>
      <c r="B84" s="6"/>
      <c r="C84" s="6"/>
      <c r="D84" s="6"/>
      <c r="E84" s="6"/>
      <c r="F84" s="6"/>
      <c r="G84" s="6"/>
      <c r="H84" s="6">
        <v>15</v>
      </c>
      <c r="I84" s="6"/>
      <c r="J84" s="6">
        <v>135</v>
      </c>
      <c r="K84" s="6"/>
      <c r="L84" s="6">
        <v>2024</v>
      </c>
      <c r="M84" s="6"/>
      <c r="N84" s="78">
        <v>10362</v>
      </c>
      <c r="O84" s="6"/>
      <c r="P84" s="6"/>
      <c r="Q84" s="6">
        <v>33</v>
      </c>
      <c r="R84" s="6"/>
      <c r="S84" s="6"/>
      <c r="T84" s="13"/>
      <c r="U84" s="13"/>
      <c r="V84" s="13"/>
      <c r="W84" s="13"/>
      <c r="X84" s="7">
        <v>22052</v>
      </c>
      <c r="Y84" s="7" t="s">
        <v>5</v>
      </c>
      <c r="Z84" s="60">
        <v>12</v>
      </c>
      <c r="AA84" s="60"/>
      <c r="AB84" s="2">
        <f t="shared" si="4"/>
        <v>10362</v>
      </c>
      <c r="AC84">
        <f t="shared" si="5"/>
        <v>2.128160586759313</v>
      </c>
    </row>
    <row r="85" spans="1:48" ht="18" customHeight="1" x14ac:dyDescent="0.2">
      <c r="A85" s="1">
        <v>2005</v>
      </c>
      <c r="B85" s="6"/>
      <c r="C85" s="6"/>
      <c r="D85" s="6"/>
      <c r="E85" s="6"/>
      <c r="F85" s="6"/>
      <c r="G85" s="6"/>
      <c r="H85" s="6">
        <v>9</v>
      </c>
      <c r="I85" s="6"/>
      <c r="J85" s="6"/>
      <c r="K85" s="6">
        <v>1308</v>
      </c>
      <c r="L85" s="6"/>
      <c r="M85" s="78">
        <v>1947</v>
      </c>
      <c r="N85" s="6"/>
      <c r="O85" s="6"/>
      <c r="P85" s="6"/>
      <c r="Q85" s="6">
        <v>10</v>
      </c>
      <c r="R85" s="6"/>
      <c r="S85" s="6"/>
      <c r="T85" s="13">
        <v>0</v>
      </c>
      <c r="U85" s="13"/>
      <c r="V85" s="13"/>
      <c r="W85" s="13"/>
      <c r="X85" s="11">
        <v>3699</v>
      </c>
      <c r="Y85" s="7" t="s">
        <v>5</v>
      </c>
      <c r="Z85" s="60">
        <v>17.5</v>
      </c>
      <c r="AA85" s="60"/>
      <c r="AB85" s="2">
        <f t="shared" si="4"/>
        <v>1947</v>
      </c>
      <c r="AC85">
        <f t="shared" si="5"/>
        <v>1.8998459167950694</v>
      </c>
    </row>
    <row r="86" spans="1:48" ht="18" customHeight="1" x14ac:dyDescent="0.2">
      <c r="A86" s="1">
        <v>2006</v>
      </c>
      <c r="B86" s="6"/>
      <c r="C86" s="6"/>
      <c r="D86" s="6"/>
      <c r="E86" s="6"/>
      <c r="F86" s="6"/>
      <c r="G86" s="6"/>
      <c r="H86" s="6">
        <v>174</v>
      </c>
      <c r="I86" s="6">
        <v>446</v>
      </c>
      <c r="J86" s="6">
        <v>412</v>
      </c>
      <c r="K86" s="6">
        <v>1173</v>
      </c>
      <c r="L86" s="78">
        <v>3456</v>
      </c>
      <c r="M86" s="6">
        <v>1941</v>
      </c>
      <c r="N86" s="6">
        <v>1104</v>
      </c>
      <c r="O86" s="6"/>
      <c r="P86" s="6">
        <v>167</v>
      </c>
      <c r="Q86" s="6">
        <v>3</v>
      </c>
      <c r="R86" s="6">
        <v>30</v>
      </c>
      <c r="S86" s="6"/>
      <c r="T86" s="13"/>
      <c r="U86" s="13">
        <v>0</v>
      </c>
      <c r="V86" s="13"/>
      <c r="W86" s="13"/>
      <c r="X86" s="11">
        <v>5138</v>
      </c>
      <c r="Y86" s="7" t="s">
        <v>5</v>
      </c>
      <c r="Z86" s="90">
        <v>12</v>
      </c>
      <c r="AA86" s="90"/>
      <c r="AB86" s="2">
        <f t="shared" si="4"/>
        <v>3456</v>
      </c>
      <c r="AC86">
        <f t="shared" si="5"/>
        <v>1.4866898148148149</v>
      </c>
    </row>
    <row r="87" spans="1:48" ht="18" customHeight="1" x14ac:dyDescent="0.2">
      <c r="A87" s="1">
        <v>2007</v>
      </c>
      <c r="B87" s="6"/>
      <c r="C87" s="6"/>
      <c r="D87" s="6"/>
      <c r="E87" s="6">
        <v>4</v>
      </c>
      <c r="F87" s="6"/>
      <c r="G87" s="6"/>
      <c r="H87" s="6"/>
      <c r="I87" s="6">
        <v>36</v>
      </c>
      <c r="J87" s="6"/>
      <c r="K87" s="6">
        <v>309</v>
      </c>
      <c r="L87" s="78">
        <v>531</v>
      </c>
      <c r="M87" s="6">
        <v>448</v>
      </c>
      <c r="N87" s="6"/>
      <c r="O87" s="6"/>
      <c r="P87" s="6"/>
      <c r="Q87" s="6"/>
      <c r="R87" s="6"/>
      <c r="S87" s="6"/>
      <c r="T87" s="13"/>
      <c r="U87" s="13"/>
      <c r="V87" s="13"/>
      <c r="W87" s="13"/>
      <c r="X87" s="11">
        <v>1082</v>
      </c>
      <c r="Y87" s="7" t="s">
        <v>5</v>
      </c>
      <c r="Z87" s="90">
        <v>12</v>
      </c>
      <c r="AA87" s="90"/>
      <c r="AB87" s="2">
        <f t="shared" si="4"/>
        <v>531</v>
      </c>
      <c r="AC87">
        <f t="shared" si="5"/>
        <v>2.0376647834274952</v>
      </c>
    </row>
    <row r="88" spans="1:48" s="55" customFormat="1" ht="18" customHeight="1" x14ac:dyDescent="0.2">
      <c r="A88" s="13">
        <v>2008</v>
      </c>
      <c r="B88" s="13"/>
      <c r="C88" s="13"/>
      <c r="D88" s="13"/>
      <c r="E88" s="13"/>
      <c r="F88" s="13">
        <v>0</v>
      </c>
      <c r="G88" s="13"/>
      <c r="H88" s="13"/>
      <c r="I88" s="13">
        <v>6</v>
      </c>
      <c r="J88" s="13">
        <v>103</v>
      </c>
      <c r="K88" s="13"/>
      <c r="L88" s="13">
        <v>569</v>
      </c>
      <c r="M88" s="87">
        <v>956</v>
      </c>
      <c r="N88" s="13"/>
      <c r="O88" s="13"/>
      <c r="P88" s="13"/>
      <c r="Q88" s="13">
        <v>10</v>
      </c>
      <c r="R88" s="13"/>
      <c r="S88" s="13"/>
      <c r="T88" s="13"/>
      <c r="U88" s="13"/>
      <c r="V88" s="13"/>
      <c r="W88" s="13"/>
      <c r="X88" s="13">
        <v>2084</v>
      </c>
      <c r="Y88" s="7" t="s">
        <v>5</v>
      </c>
      <c r="Z88" s="58">
        <v>12</v>
      </c>
      <c r="AA88" s="58"/>
      <c r="AB88" s="2">
        <f t="shared" si="4"/>
        <v>956</v>
      </c>
      <c r="AC88">
        <f t="shared" si="5"/>
        <v>2.1799163179916317</v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ht="18" customHeight="1" x14ac:dyDescent="0.2">
      <c r="A89" s="13">
        <v>2009</v>
      </c>
      <c r="B89" s="13"/>
      <c r="C89" s="13"/>
      <c r="D89" s="13"/>
      <c r="E89" s="13"/>
      <c r="F89" s="13"/>
      <c r="G89" s="13">
        <v>5</v>
      </c>
      <c r="H89" s="13"/>
      <c r="I89" s="13">
        <v>75</v>
      </c>
      <c r="J89" s="13">
        <v>172</v>
      </c>
      <c r="K89" s="13"/>
      <c r="L89" s="13"/>
      <c r="M89" s="87">
        <v>1924</v>
      </c>
      <c r="N89" s="13">
        <v>1238</v>
      </c>
      <c r="O89" s="13"/>
      <c r="P89" s="13"/>
      <c r="Q89" s="13"/>
      <c r="R89" s="13"/>
      <c r="S89" s="13"/>
      <c r="T89" s="13"/>
      <c r="U89" s="13"/>
      <c r="V89" s="13"/>
      <c r="W89" s="13"/>
      <c r="X89" s="13">
        <v>2570</v>
      </c>
      <c r="Y89" s="7" t="s">
        <v>5</v>
      </c>
      <c r="Z89" s="58">
        <v>20</v>
      </c>
      <c r="AA89" s="58"/>
      <c r="AB89" s="2">
        <f t="shared" si="4"/>
        <v>1924</v>
      </c>
      <c r="AC89">
        <f t="shared" si="5"/>
        <v>1.3357588357588357</v>
      </c>
    </row>
    <row r="90" spans="1:48" ht="18" customHeight="1" x14ac:dyDescent="0.2">
      <c r="A90" s="13">
        <v>2010</v>
      </c>
      <c r="B90" s="13"/>
      <c r="C90" s="13"/>
      <c r="D90" s="13"/>
      <c r="E90" s="13"/>
      <c r="F90" s="13"/>
      <c r="G90" s="13">
        <v>35</v>
      </c>
      <c r="H90" s="13"/>
      <c r="I90" s="13">
        <v>75</v>
      </c>
      <c r="J90" s="13">
        <v>320</v>
      </c>
      <c r="K90" s="13">
        <v>420</v>
      </c>
      <c r="L90" s="87">
        <v>737</v>
      </c>
      <c r="M90" s="13"/>
      <c r="N90" s="13">
        <v>298</v>
      </c>
      <c r="O90" s="13"/>
      <c r="P90" s="13"/>
      <c r="Q90" s="13">
        <v>0</v>
      </c>
      <c r="R90" s="13"/>
      <c r="S90" s="13"/>
      <c r="T90" s="13"/>
      <c r="U90" s="13"/>
      <c r="V90" s="13"/>
      <c r="W90" s="13"/>
      <c r="X90" s="13">
        <v>1235</v>
      </c>
      <c r="Y90" s="7"/>
      <c r="Z90" s="58"/>
      <c r="AA90" s="58"/>
      <c r="AB90" s="2">
        <f t="shared" si="4"/>
        <v>737</v>
      </c>
      <c r="AC90">
        <f t="shared" si="5"/>
        <v>1.6757123473541384</v>
      </c>
    </row>
    <row r="91" spans="1:48" ht="18" customHeight="1" x14ac:dyDescent="0.2">
      <c r="A91" s="13">
        <v>2011</v>
      </c>
      <c r="B91" s="13"/>
      <c r="C91" s="13"/>
      <c r="D91" s="13"/>
      <c r="E91" s="13"/>
      <c r="F91" s="13"/>
      <c r="G91" s="13">
        <v>2</v>
      </c>
      <c r="H91" s="13">
        <v>15</v>
      </c>
      <c r="I91" s="13">
        <v>26</v>
      </c>
      <c r="J91" s="13">
        <v>143</v>
      </c>
      <c r="K91" s="13">
        <v>198</v>
      </c>
      <c r="L91" s="13">
        <v>575</v>
      </c>
      <c r="M91" s="13"/>
      <c r="N91" s="87">
        <v>693</v>
      </c>
      <c r="O91" s="13"/>
      <c r="P91" s="13"/>
      <c r="Q91" s="13">
        <v>15</v>
      </c>
      <c r="R91" s="13"/>
      <c r="S91" s="13"/>
      <c r="T91" s="13"/>
      <c r="U91" s="13"/>
      <c r="V91" s="13"/>
      <c r="W91" s="13"/>
      <c r="X91" s="13">
        <v>1100</v>
      </c>
      <c r="Y91" s="7" t="s">
        <v>5</v>
      </c>
      <c r="Z91" s="58">
        <v>20</v>
      </c>
      <c r="AA91" s="58"/>
      <c r="AB91" s="2">
        <f t="shared" si="4"/>
        <v>693</v>
      </c>
      <c r="AC91">
        <f t="shared" si="5"/>
        <v>1.5873015873015872</v>
      </c>
    </row>
    <row r="92" spans="1:48" ht="18" customHeight="1" x14ac:dyDescent="0.2">
      <c r="A92" s="13">
        <v>2012</v>
      </c>
      <c r="B92" s="13"/>
      <c r="C92" s="13"/>
      <c r="D92" s="13"/>
      <c r="E92" s="13"/>
      <c r="F92" s="13">
        <v>1</v>
      </c>
      <c r="G92" s="13">
        <v>55</v>
      </c>
      <c r="H92" s="13">
        <v>29</v>
      </c>
      <c r="I92" s="13">
        <v>189</v>
      </c>
      <c r="J92" s="13">
        <v>1223</v>
      </c>
      <c r="K92" s="13">
        <v>1771</v>
      </c>
      <c r="L92" s="13"/>
      <c r="M92" s="13">
        <v>1076</v>
      </c>
      <c r="N92" s="13"/>
      <c r="O92" s="13">
        <v>135</v>
      </c>
      <c r="P92" s="13">
        <v>60</v>
      </c>
      <c r="Q92" s="13"/>
      <c r="R92" s="13"/>
      <c r="S92" s="13"/>
      <c r="T92" s="13"/>
      <c r="U92" s="13"/>
      <c r="V92" s="13"/>
      <c r="W92" s="13"/>
      <c r="X92" s="13">
        <v>3560</v>
      </c>
      <c r="Y92" s="7" t="s">
        <v>5</v>
      </c>
      <c r="Z92" s="58">
        <v>17.5</v>
      </c>
      <c r="AA92" s="58"/>
      <c r="AB92" s="2">
        <f t="shared" si="4"/>
        <v>1771</v>
      </c>
      <c r="AC92">
        <f t="shared" si="5"/>
        <v>2.010163749294184</v>
      </c>
    </row>
    <row r="93" spans="1:48" ht="18" customHeight="1" x14ac:dyDescent="0.2">
      <c r="A93" s="13">
        <v>2013</v>
      </c>
      <c r="B93" s="13"/>
      <c r="C93" s="13"/>
      <c r="D93" s="13"/>
      <c r="E93" s="13"/>
      <c r="F93" s="13">
        <v>3</v>
      </c>
      <c r="G93" s="13"/>
      <c r="H93" s="13">
        <v>7</v>
      </c>
      <c r="I93" s="13"/>
      <c r="J93" s="13"/>
      <c r="K93" s="13">
        <v>1162</v>
      </c>
      <c r="L93" s="13">
        <v>795</v>
      </c>
      <c r="M93" s="13"/>
      <c r="N93" s="13">
        <v>769</v>
      </c>
      <c r="O93" s="13"/>
      <c r="P93" s="13">
        <v>560</v>
      </c>
      <c r="Q93" s="13"/>
      <c r="R93" s="13"/>
      <c r="S93" s="13"/>
      <c r="T93" s="13"/>
      <c r="U93" s="13"/>
      <c r="V93" s="13"/>
      <c r="W93" s="13"/>
      <c r="X93" s="13">
        <v>1933</v>
      </c>
      <c r="Y93" s="7" t="s">
        <v>5</v>
      </c>
      <c r="Z93" s="58">
        <v>25</v>
      </c>
      <c r="AA93" s="58"/>
      <c r="AB93" s="2">
        <f t="shared" si="4"/>
        <v>1162</v>
      </c>
      <c r="AC93">
        <f t="shared" si="5"/>
        <v>1.6635111876075732</v>
      </c>
    </row>
    <row r="94" spans="1:48" ht="18" customHeight="1" x14ac:dyDescent="0.2">
      <c r="A94" s="13">
        <v>2014</v>
      </c>
      <c r="B94" s="13"/>
      <c r="C94" s="13"/>
      <c r="D94" s="13"/>
      <c r="E94" s="13"/>
      <c r="F94" s="13">
        <v>1</v>
      </c>
      <c r="G94" s="13"/>
      <c r="H94" s="13">
        <v>23</v>
      </c>
      <c r="I94" s="13">
        <v>491</v>
      </c>
      <c r="J94" s="13"/>
      <c r="K94" s="13">
        <v>1056</v>
      </c>
      <c r="L94" s="13"/>
      <c r="M94" s="13"/>
      <c r="N94" s="13"/>
      <c r="O94" s="13">
        <v>150</v>
      </c>
      <c r="P94" s="13"/>
      <c r="Q94" s="13"/>
      <c r="R94" s="13"/>
      <c r="S94" s="13"/>
      <c r="T94" s="13"/>
      <c r="U94" s="13"/>
      <c r="V94" s="13"/>
      <c r="W94" s="13"/>
      <c r="X94" s="13">
        <v>1661</v>
      </c>
      <c r="Y94" s="7" t="s">
        <v>5</v>
      </c>
      <c r="Z94" s="58">
        <v>20</v>
      </c>
      <c r="AA94" s="58"/>
      <c r="AB94" s="2">
        <f t="shared" si="4"/>
        <v>1056</v>
      </c>
      <c r="AC94">
        <f t="shared" si="5"/>
        <v>1.5729166666666667</v>
      </c>
    </row>
    <row r="95" spans="1:48" ht="18" customHeight="1" thickBot="1" x14ac:dyDescent="0.25">
      <c r="A95" s="13">
        <v>2015</v>
      </c>
      <c r="B95" s="13"/>
      <c r="C95" s="13"/>
      <c r="D95" s="13"/>
      <c r="E95" s="13"/>
      <c r="F95" s="13"/>
      <c r="G95" s="189">
        <v>10</v>
      </c>
      <c r="H95" s="189">
        <v>61</v>
      </c>
      <c r="I95" s="221"/>
      <c r="J95" s="189">
        <v>1334</v>
      </c>
      <c r="K95" s="189">
        <v>1406</v>
      </c>
      <c r="L95" s="189">
        <v>1505</v>
      </c>
      <c r="M95" s="189">
        <v>1252</v>
      </c>
      <c r="N95" s="223"/>
      <c r="O95" s="189">
        <v>152</v>
      </c>
      <c r="P95" s="13"/>
      <c r="Q95" s="13"/>
      <c r="R95" s="13"/>
      <c r="S95" s="13"/>
      <c r="T95" s="13"/>
      <c r="U95" s="13"/>
      <c r="V95" s="13"/>
      <c r="W95" s="13"/>
      <c r="X95" s="13">
        <v>4168</v>
      </c>
      <c r="Y95" s="7" t="s">
        <v>5</v>
      </c>
      <c r="Z95" s="58">
        <v>15</v>
      </c>
      <c r="AA95" s="58"/>
      <c r="AB95" s="2">
        <f t="shared" si="4"/>
        <v>1505</v>
      </c>
      <c r="AC95">
        <f t="shared" si="5"/>
        <v>2.7694352159468441</v>
      </c>
    </row>
    <row r="96" spans="1:48" ht="18" customHeight="1" thickBot="1" x14ac:dyDescent="0.25">
      <c r="A96" s="13">
        <v>2016</v>
      </c>
      <c r="B96" s="13"/>
      <c r="C96" s="13"/>
      <c r="D96" s="13"/>
      <c r="E96" s="13"/>
      <c r="F96" s="13"/>
      <c r="G96" s="189">
        <v>132</v>
      </c>
      <c r="H96" s="343">
        <v>157</v>
      </c>
      <c r="I96" s="345">
        <v>1172</v>
      </c>
      <c r="J96" s="13"/>
      <c r="K96" s="321">
        <v>1033</v>
      </c>
      <c r="L96" s="346">
        <v>4718</v>
      </c>
      <c r="M96" s="347"/>
      <c r="N96" s="348"/>
      <c r="O96" s="155">
        <v>828</v>
      </c>
      <c r="P96" s="13"/>
      <c r="Q96" s="155">
        <v>17</v>
      </c>
      <c r="R96" s="13"/>
      <c r="S96" s="13"/>
      <c r="T96" s="13"/>
      <c r="U96" s="13"/>
      <c r="V96" s="13"/>
      <c r="W96" s="13"/>
      <c r="X96" s="13">
        <v>8018</v>
      </c>
      <c r="Y96" s="7" t="s">
        <v>5</v>
      </c>
      <c r="Z96" s="58">
        <v>15</v>
      </c>
      <c r="AA96" s="58"/>
      <c r="AB96" s="2">
        <f t="shared" si="4"/>
        <v>4718</v>
      </c>
      <c r="AC96">
        <f t="shared" si="5"/>
        <v>1.6994489190334887</v>
      </c>
    </row>
    <row r="97" spans="1:48" ht="18" customHeight="1" x14ac:dyDescent="0.2">
      <c r="A97" s="13">
        <v>2017</v>
      </c>
      <c r="B97" s="13"/>
      <c r="C97" s="13"/>
      <c r="D97" s="189">
        <v>0</v>
      </c>
      <c r="E97" s="13"/>
      <c r="F97" s="189">
        <v>6</v>
      </c>
      <c r="G97" s="189">
        <v>11</v>
      </c>
      <c r="H97" s="343">
        <v>149</v>
      </c>
      <c r="I97" s="13"/>
      <c r="J97" s="343">
        <v>353</v>
      </c>
      <c r="K97" s="353">
        <v>822</v>
      </c>
      <c r="L97" s="13"/>
      <c r="M97" s="343">
        <v>432</v>
      </c>
      <c r="N97" s="343">
        <v>175</v>
      </c>
      <c r="O97" s="13"/>
      <c r="P97" s="13"/>
      <c r="Q97" s="13"/>
      <c r="R97" s="13"/>
      <c r="S97" s="13"/>
      <c r="T97" s="13"/>
      <c r="U97" s="13"/>
      <c r="V97" s="13"/>
      <c r="W97" s="13"/>
      <c r="X97" s="13">
        <v>1650</v>
      </c>
      <c r="Y97" s="7"/>
      <c r="Z97" s="58">
        <v>15</v>
      </c>
      <c r="AA97" s="58"/>
      <c r="AB97" s="2">
        <f t="shared" si="4"/>
        <v>822</v>
      </c>
      <c r="AC97">
        <f t="shared" si="5"/>
        <v>2.0072992700729926</v>
      </c>
    </row>
    <row r="98" spans="1:48" ht="18" customHeight="1" x14ac:dyDescent="0.2">
      <c r="A98" s="13">
        <v>2018</v>
      </c>
      <c r="B98" s="13"/>
      <c r="C98" s="13"/>
      <c r="D98" s="13"/>
      <c r="E98" s="109">
        <v>0</v>
      </c>
      <c r="F98" s="13"/>
      <c r="G98" s="109">
        <v>38</v>
      </c>
      <c r="H98" s="109">
        <v>25</v>
      </c>
      <c r="I98" s="109">
        <v>202</v>
      </c>
      <c r="J98" s="13"/>
      <c r="K98" s="321">
        <v>949</v>
      </c>
      <c r="L98" s="13"/>
      <c r="M98" s="13"/>
      <c r="N98" s="13"/>
      <c r="O98" s="109">
        <v>100</v>
      </c>
      <c r="P98" s="13"/>
      <c r="Q98" s="13"/>
      <c r="R98" s="13"/>
      <c r="S98" s="13"/>
      <c r="T98" s="13"/>
      <c r="U98" s="13"/>
      <c r="V98" s="13"/>
      <c r="W98" s="13"/>
      <c r="X98" s="13">
        <v>1700</v>
      </c>
      <c r="Y98" s="7"/>
      <c r="Z98" s="58">
        <v>15</v>
      </c>
      <c r="AA98" s="58"/>
      <c r="AB98" s="2">
        <f>MAX(B98:W98)</f>
        <v>949</v>
      </c>
      <c r="AC98">
        <f>X98/MAX(B98:W98)</f>
        <v>1.7913593256059011</v>
      </c>
    </row>
    <row r="99" spans="1:48" ht="18" customHeight="1" x14ac:dyDescent="0.2">
      <c r="A99" s="13">
        <v>2019</v>
      </c>
      <c r="B99" s="13"/>
      <c r="C99" s="13"/>
      <c r="D99" s="13"/>
      <c r="E99" s="13"/>
      <c r="F99" s="109">
        <v>0</v>
      </c>
      <c r="G99" s="13"/>
      <c r="H99" s="109">
        <v>176</v>
      </c>
      <c r="I99" s="13"/>
      <c r="J99" s="109">
        <v>180</v>
      </c>
      <c r="K99" s="427">
        <v>607</v>
      </c>
      <c r="L99" s="13"/>
      <c r="M99" s="13"/>
      <c r="N99" s="155">
        <v>460</v>
      </c>
      <c r="O99" s="109">
        <v>188</v>
      </c>
      <c r="P99" s="13"/>
      <c r="Q99" s="13"/>
      <c r="R99" s="13"/>
      <c r="S99" s="13"/>
      <c r="T99" s="13"/>
      <c r="U99" s="13"/>
      <c r="V99" s="13"/>
      <c r="W99" s="13"/>
      <c r="X99" s="13">
        <v>1512</v>
      </c>
      <c r="Y99" s="7"/>
      <c r="Z99" s="58"/>
      <c r="AA99" s="58"/>
      <c r="AC99">
        <f>X99/MAX(B99:W99)</f>
        <v>2.4909390444810544</v>
      </c>
    </row>
    <row r="100" spans="1:48" ht="18" customHeight="1" x14ac:dyDescent="0.2">
      <c r="A100" s="13">
        <v>2020</v>
      </c>
      <c r="B100" s="13"/>
      <c r="C100" s="13"/>
      <c r="D100" s="13"/>
      <c r="E100" s="13"/>
      <c r="F100" s="109">
        <v>1</v>
      </c>
      <c r="G100" s="13"/>
      <c r="H100" s="109">
        <v>3</v>
      </c>
      <c r="I100" s="109">
        <v>44</v>
      </c>
      <c r="J100" s="109">
        <v>331</v>
      </c>
      <c r="K100" s="338">
        <v>467</v>
      </c>
      <c r="L100" s="13"/>
      <c r="M100" s="338">
        <v>536</v>
      </c>
      <c r="N100" s="13"/>
      <c r="O100" s="155">
        <v>205</v>
      </c>
      <c r="P100" s="155">
        <v>53</v>
      </c>
      <c r="Q100" s="13"/>
      <c r="R100" s="13"/>
      <c r="S100" s="13"/>
      <c r="T100" s="13"/>
      <c r="U100" s="13"/>
      <c r="V100" s="13"/>
      <c r="W100" s="13"/>
      <c r="X100" s="13">
        <v>1301</v>
      </c>
      <c r="Y100" s="7" t="s">
        <v>5</v>
      </c>
      <c r="Z100" s="58">
        <v>15</v>
      </c>
      <c r="AA100" s="58"/>
      <c r="AC100">
        <f>X100/MAX(B100:W100)</f>
        <v>2.4272388059701493</v>
      </c>
    </row>
    <row r="101" spans="1:48" s="150" customFormat="1" ht="18" customHeight="1" x14ac:dyDescent="0.2">
      <c r="A101" s="89">
        <v>2021</v>
      </c>
      <c r="B101" s="89"/>
      <c r="C101" s="89"/>
      <c r="D101" s="89"/>
      <c r="E101" s="89"/>
      <c r="F101" s="89"/>
      <c r="G101" s="975">
        <v>1</v>
      </c>
      <c r="H101" s="186">
        <v>16</v>
      </c>
      <c r="I101" s="186">
        <v>38</v>
      </c>
      <c r="J101" s="893"/>
      <c r="K101" s="983">
        <v>101</v>
      </c>
      <c r="L101" s="976"/>
      <c r="M101" s="981">
        <v>190</v>
      </c>
      <c r="N101" s="985"/>
      <c r="O101" s="821">
        <v>140</v>
      </c>
      <c r="P101" s="199">
        <v>32</v>
      </c>
      <c r="Q101" s="806">
        <v>15</v>
      </c>
      <c r="R101" s="89"/>
      <c r="S101" s="89"/>
      <c r="T101" s="89"/>
      <c r="U101" s="89"/>
      <c r="V101" s="89"/>
      <c r="W101" s="89"/>
      <c r="X101" s="89">
        <v>455</v>
      </c>
      <c r="Y101" s="11"/>
      <c r="Z101" s="92"/>
      <c r="AA101" s="92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</row>
    <row r="102" spans="1:48" s="150" customFormat="1" ht="18" customHeight="1" x14ac:dyDescent="0.2">
      <c r="A102" s="89">
        <v>2022</v>
      </c>
      <c r="B102" s="89"/>
      <c r="C102" s="89"/>
      <c r="D102" s="89"/>
      <c r="E102" s="89"/>
      <c r="F102" s="89"/>
      <c r="G102" s="200">
        <v>0</v>
      </c>
      <c r="H102" s="186">
        <v>1</v>
      </c>
      <c r="I102" s="187"/>
      <c r="J102" s="186">
        <v>32</v>
      </c>
      <c r="K102" s="186">
        <v>26</v>
      </c>
      <c r="L102" s="807"/>
      <c r="M102" s="978"/>
      <c r="N102" s="986"/>
      <c r="O102" s="821">
        <v>712</v>
      </c>
      <c r="P102" s="812"/>
      <c r="Q102" s="799"/>
      <c r="R102" s="89"/>
      <c r="S102" s="89"/>
      <c r="T102" s="89"/>
      <c r="U102" s="89"/>
      <c r="V102" s="89"/>
      <c r="W102" s="89"/>
      <c r="X102" s="89">
        <v>1348</v>
      </c>
      <c r="Y102" s="11"/>
      <c r="Z102" s="92"/>
      <c r="AA102" s="92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</row>
    <row r="103" spans="1:48" s="150" customFormat="1" ht="18" customHeight="1" x14ac:dyDescent="0.2">
      <c r="A103" s="89">
        <v>2023</v>
      </c>
      <c r="B103" s="89"/>
      <c r="C103" s="89"/>
      <c r="D103" s="89"/>
      <c r="E103" s="89"/>
      <c r="F103" s="109">
        <v>1</v>
      </c>
      <c r="G103" s="89"/>
      <c r="H103" s="109">
        <v>1</v>
      </c>
      <c r="I103" s="338">
        <v>101</v>
      </c>
      <c r="J103" s="89"/>
      <c r="K103" s="109">
        <v>422</v>
      </c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11"/>
      <c r="Z103" s="92"/>
      <c r="AA103" s="92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</row>
    <row r="104" spans="1:48" ht="18" customHeight="1" x14ac:dyDescent="0.2">
      <c r="A104" s="64" t="s">
        <v>17</v>
      </c>
      <c r="B104" s="16"/>
      <c r="C104" s="16"/>
      <c r="D104" s="16"/>
      <c r="E104" s="16">
        <f t="shared" ref="E104:U104" si="6">AVERAGE(E75:E89)</f>
        <v>4</v>
      </c>
      <c r="F104" s="16">
        <f t="shared" si="6"/>
        <v>4.333333333333333</v>
      </c>
      <c r="G104" s="16">
        <f t="shared" si="6"/>
        <v>15</v>
      </c>
      <c r="H104" s="16">
        <f t="shared" si="6"/>
        <v>49.125</v>
      </c>
      <c r="I104" s="16">
        <f t="shared" si="6"/>
        <v>133.6</v>
      </c>
      <c r="J104" s="16">
        <f t="shared" si="6"/>
        <v>288.89999999999998</v>
      </c>
      <c r="K104" s="16">
        <f t="shared" si="6"/>
        <v>2151.125</v>
      </c>
      <c r="L104" s="16">
        <f t="shared" si="6"/>
        <v>1823.625</v>
      </c>
      <c r="M104" s="16">
        <f t="shared" si="6"/>
        <v>1896.1111111111111</v>
      </c>
      <c r="N104" s="16">
        <f t="shared" si="6"/>
        <v>2163.25</v>
      </c>
      <c r="O104" s="16">
        <f t="shared" si="6"/>
        <v>565.33333333333337</v>
      </c>
      <c r="P104" s="16">
        <f t="shared" si="6"/>
        <v>420.25</v>
      </c>
      <c r="Q104" s="16">
        <f t="shared" si="6"/>
        <v>76.285714285714292</v>
      </c>
      <c r="R104" s="16">
        <f t="shared" si="6"/>
        <v>39</v>
      </c>
      <c r="S104" s="16">
        <f t="shared" si="6"/>
        <v>2</v>
      </c>
      <c r="T104" s="16">
        <f t="shared" si="6"/>
        <v>1.5</v>
      </c>
      <c r="U104" s="16">
        <f t="shared" si="6"/>
        <v>0</v>
      </c>
      <c r="V104" s="16"/>
      <c r="W104" s="16"/>
      <c r="X104" s="16">
        <f>AVERAGE(X75:X89)</f>
        <v>5313.7333333333336</v>
      </c>
      <c r="Y104" s="16"/>
      <c r="Z104" s="16">
        <f>AVERAGE(Z75:Z89)</f>
        <v>14.933333333333334</v>
      </c>
      <c r="AA104" s="92"/>
    </row>
    <row r="107" spans="1:48" x14ac:dyDescent="0.2">
      <c r="A107" s="1002" t="s">
        <v>627</v>
      </c>
      <c r="B107" s="1003"/>
      <c r="C107" s="1003"/>
      <c r="D107" s="1003"/>
      <c r="E107" s="1003"/>
      <c r="F107" s="1003"/>
      <c r="G107" s="1003"/>
      <c r="H107" s="1003"/>
      <c r="I107" s="1003"/>
    </row>
    <row r="108" spans="1:48" ht="13.5" thickBot="1" x14ac:dyDescent="0.25"/>
    <row r="109" spans="1:48" ht="13.5" thickTop="1" x14ac:dyDescent="0.2">
      <c r="A109" s="1004" t="s">
        <v>0</v>
      </c>
      <c r="B109" s="1006" t="s">
        <v>1</v>
      </c>
      <c r="C109" s="1006"/>
      <c r="D109" s="1006"/>
      <c r="E109" s="1006"/>
      <c r="F109" s="1006"/>
      <c r="G109" s="1006"/>
      <c r="H109" s="1006"/>
      <c r="I109" s="1006"/>
      <c r="J109" s="1006"/>
      <c r="K109" s="1006"/>
      <c r="L109" s="1006"/>
      <c r="M109" s="1006"/>
      <c r="N109" s="1006"/>
      <c r="O109" s="1006"/>
      <c r="P109" s="1006"/>
      <c r="Q109" s="1006"/>
      <c r="R109" s="1006"/>
      <c r="S109" s="1006"/>
      <c r="T109" s="1006"/>
      <c r="U109" s="1006"/>
      <c r="V109" s="1006"/>
      <c r="W109" s="1006"/>
      <c r="X109" s="1004" t="s">
        <v>2</v>
      </c>
      <c r="Y109" s="1010" t="s">
        <v>3</v>
      </c>
      <c r="Z109" s="1008" t="s">
        <v>4</v>
      </c>
      <c r="AA109" s="443"/>
    </row>
    <row r="110" spans="1:48" x14ac:dyDescent="0.2">
      <c r="A110" s="1005"/>
      <c r="B110" s="18">
        <v>81</v>
      </c>
      <c r="C110" s="18">
        <v>82</v>
      </c>
      <c r="D110" s="18">
        <v>83</v>
      </c>
      <c r="E110" s="18">
        <v>84</v>
      </c>
      <c r="F110" s="18">
        <v>91</v>
      </c>
      <c r="G110" s="18">
        <v>92</v>
      </c>
      <c r="H110" s="18">
        <v>93</v>
      </c>
      <c r="I110" s="18">
        <v>94</v>
      </c>
      <c r="J110" s="18">
        <v>101</v>
      </c>
      <c r="K110" s="18">
        <v>102</v>
      </c>
      <c r="L110" s="18">
        <v>103</v>
      </c>
      <c r="M110" s="18">
        <v>104</v>
      </c>
      <c r="N110" s="18">
        <v>105</v>
      </c>
      <c r="O110" s="18">
        <v>111</v>
      </c>
      <c r="P110" s="18">
        <v>112</v>
      </c>
      <c r="Q110" s="18">
        <v>113</v>
      </c>
      <c r="R110" s="18">
        <v>114</v>
      </c>
      <c r="S110" s="18">
        <v>115</v>
      </c>
      <c r="T110" s="18">
        <v>121</v>
      </c>
      <c r="U110" s="18">
        <v>122</v>
      </c>
      <c r="V110" s="18">
        <v>123</v>
      </c>
      <c r="W110" s="18">
        <v>124</v>
      </c>
      <c r="X110" s="1005"/>
      <c r="Y110" s="1011"/>
      <c r="Z110" s="1009"/>
      <c r="AA110" s="225"/>
      <c r="AC110" t="s">
        <v>142</v>
      </c>
    </row>
    <row r="111" spans="1:48" x14ac:dyDescent="0.2">
      <c r="A111" s="13">
        <v>1995</v>
      </c>
      <c r="B111" s="13"/>
      <c r="C111" s="13"/>
      <c r="D111" s="13"/>
      <c r="E111" s="13"/>
      <c r="F111" s="13"/>
      <c r="G111" s="13"/>
      <c r="H111" s="13">
        <v>12</v>
      </c>
      <c r="I111" s="13"/>
      <c r="J111" s="13">
        <v>114</v>
      </c>
      <c r="K111" s="13"/>
      <c r="L111" s="13">
        <v>337</v>
      </c>
      <c r="M111" s="13"/>
      <c r="N111" s="13">
        <v>218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>
        <v>389</v>
      </c>
      <c r="Y111" s="7" t="s">
        <v>5</v>
      </c>
      <c r="Z111" s="256">
        <v>15</v>
      </c>
      <c r="AA111" s="256"/>
      <c r="AC111">
        <f>X111/MAX(B111:W111)</f>
        <v>1.1543026706231454</v>
      </c>
    </row>
    <row r="112" spans="1:48" x14ac:dyDescent="0.2">
      <c r="A112" s="13">
        <v>1996</v>
      </c>
      <c r="B112" s="13"/>
      <c r="C112" s="13"/>
      <c r="D112" s="13"/>
      <c r="E112" s="13"/>
      <c r="F112" s="13">
        <v>147</v>
      </c>
      <c r="G112" s="13"/>
      <c r="H112" s="13">
        <v>111</v>
      </c>
      <c r="I112" s="13">
        <v>150</v>
      </c>
      <c r="J112" s="13"/>
      <c r="K112" s="13">
        <v>119</v>
      </c>
      <c r="L112" s="13"/>
      <c r="M112" s="13">
        <v>132</v>
      </c>
      <c r="N112" s="13">
        <v>197</v>
      </c>
      <c r="O112" s="13">
        <v>172</v>
      </c>
      <c r="P112" s="13"/>
      <c r="Q112" s="13">
        <v>41</v>
      </c>
      <c r="R112" s="13"/>
      <c r="S112" s="13"/>
      <c r="T112" s="13"/>
      <c r="U112" s="13"/>
      <c r="V112" s="13"/>
      <c r="W112" s="13"/>
      <c r="X112" s="13">
        <v>231</v>
      </c>
      <c r="Y112" s="7" t="s">
        <v>5</v>
      </c>
      <c r="Z112" s="225">
        <v>55</v>
      </c>
      <c r="AA112" s="225"/>
      <c r="AC112">
        <f t="shared" ref="AC112:AC138" si="7">X112/MAX(B112:W112)</f>
        <v>1.1725888324873097</v>
      </c>
    </row>
    <row r="113" spans="1:29" x14ac:dyDescent="0.2">
      <c r="A113" s="13">
        <v>1997</v>
      </c>
      <c r="B113" s="13"/>
      <c r="C113" s="13"/>
      <c r="D113" s="13"/>
      <c r="E113" s="13"/>
      <c r="F113" s="13">
        <v>875</v>
      </c>
      <c r="G113" s="13"/>
      <c r="H113" s="13">
        <v>3027</v>
      </c>
      <c r="I113" s="13"/>
      <c r="J113" s="13"/>
      <c r="K113" s="13"/>
      <c r="L113" s="13">
        <v>3330</v>
      </c>
      <c r="M113" s="13">
        <v>2712</v>
      </c>
      <c r="N113" s="13"/>
      <c r="O113" s="13">
        <v>773</v>
      </c>
      <c r="P113" s="13">
        <v>361</v>
      </c>
      <c r="Q113" s="13"/>
      <c r="R113" s="13"/>
      <c r="S113" s="13">
        <v>189</v>
      </c>
      <c r="T113" s="13"/>
      <c r="U113" s="13"/>
      <c r="V113" s="13"/>
      <c r="W113" s="13"/>
      <c r="X113" s="13">
        <v>6417</v>
      </c>
      <c r="Y113" s="7" t="s">
        <v>5</v>
      </c>
      <c r="Z113" s="225">
        <v>30</v>
      </c>
      <c r="AA113" s="225"/>
      <c r="AB113" s="255"/>
      <c r="AC113">
        <f t="shared" si="7"/>
        <v>1.9270270270270271</v>
      </c>
    </row>
    <row r="114" spans="1:29" x14ac:dyDescent="0.2">
      <c r="A114" s="13">
        <v>1998</v>
      </c>
      <c r="B114" s="13"/>
      <c r="C114" s="13"/>
      <c r="D114" s="13"/>
      <c r="E114" s="13"/>
      <c r="F114" s="13"/>
      <c r="G114" s="13"/>
      <c r="H114" s="13"/>
      <c r="I114" s="13"/>
      <c r="J114" s="13">
        <v>976</v>
      </c>
      <c r="K114" s="13">
        <v>821</v>
      </c>
      <c r="L114" s="13"/>
      <c r="M114" s="13">
        <v>1215</v>
      </c>
      <c r="N114" s="13"/>
      <c r="O114" s="13"/>
      <c r="P114" s="13">
        <v>417</v>
      </c>
      <c r="Q114" s="13"/>
      <c r="R114" s="13"/>
      <c r="S114" s="13"/>
      <c r="T114" s="13"/>
      <c r="U114" s="13"/>
      <c r="V114" s="13"/>
      <c r="W114" s="13"/>
      <c r="X114" s="13">
        <v>1683</v>
      </c>
      <c r="Y114" s="7" t="s">
        <v>5</v>
      </c>
      <c r="Z114" s="225">
        <v>35</v>
      </c>
      <c r="AA114" s="225"/>
      <c r="AB114" s="255"/>
      <c r="AC114">
        <f t="shared" si="7"/>
        <v>1.3851851851851851</v>
      </c>
    </row>
    <row r="115" spans="1:29" x14ac:dyDescent="0.2">
      <c r="A115" s="13">
        <v>1999</v>
      </c>
      <c r="B115" s="13"/>
      <c r="C115" s="13"/>
      <c r="D115" s="13"/>
      <c r="E115" s="13"/>
      <c r="F115" s="13"/>
      <c r="G115" s="13">
        <v>825</v>
      </c>
      <c r="H115" s="13"/>
      <c r="I115" s="13"/>
      <c r="J115" s="13">
        <v>903</v>
      </c>
      <c r="K115" s="13"/>
      <c r="L115" s="13">
        <v>1008</v>
      </c>
      <c r="M115" s="13">
        <v>639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>
        <v>2436</v>
      </c>
      <c r="Y115" s="7" t="s">
        <v>5</v>
      </c>
      <c r="Z115" s="225">
        <v>35</v>
      </c>
      <c r="AA115" s="225"/>
      <c r="AB115" s="255"/>
      <c r="AC115">
        <f t="shared" si="7"/>
        <v>2.4166666666666665</v>
      </c>
    </row>
    <row r="116" spans="1:29" x14ac:dyDescent="0.2">
      <c r="A116" s="13">
        <v>2000</v>
      </c>
      <c r="B116" s="13"/>
      <c r="C116" s="13"/>
      <c r="D116" s="13"/>
      <c r="E116" s="13"/>
      <c r="F116" s="13"/>
      <c r="G116" s="13"/>
      <c r="H116" s="13">
        <v>177</v>
      </c>
      <c r="I116" s="13"/>
      <c r="J116" s="13"/>
      <c r="K116" s="13">
        <v>177</v>
      </c>
      <c r="L116" s="13"/>
      <c r="M116" s="13"/>
      <c r="N116" s="13">
        <v>123</v>
      </c>
      <c r="O116" s="13"/>
      <c r="P116" s="13">
        <v>58</v>
      </c>
      <c r="Q116" s="13"/>
      <c r="R116" s="13">
        <v>50</v>
      </c>
      <c r="S116" s="13"/>
      <c r="T116" s="13">
        <v>1</v>
      </c>
      <c r="U116" s="13"/>
      <c r="V116" s="13"/>
      <c r="W116" s="13"/>
      <c r="X116" s="13">
        <v>389</v>
      </c>
      <c r="Y116" s="7" t="s">
        <v>5</v>
      </c>
      <c r="Z116" s="225">
        <v>35</v>
      </c>
      <c r="AA116" s="225"/>
      <c r="AB116" s="255"/>
      <c r="AC116">
        <f t="shared" si="7"/>
        <v>2.1977401129943503</v>
      </c>
    </row>
    <row r="117" spans="1:29" x14ac:dyDescent="0.2">
      <c r="A117" s="1">
        <v>2001</v>
      </c>
      <c r="B117" s="13"/>
      <c r="C117" s="13"/>
      <c r="D117" s="13"/>
      <c r="E117" s="13"/>
      <c r="F117" s="13"/>
      <c r="G117" s="13">
        <v>472</v>
      </c>
      <c r="H117" s="13"/>
      <c r="I117" s="13"/>
      <c r="J117" s="13">
        <v>560</v>
      </c>
      <c r="K117" s="13"/>
      <c r="L117" s="13"/>
      <c r="M117" s="13"/>
      <c r="N117" s="13"/>
      <c r="O117" s="13"/>
      <c r="P117" s="13"/>
      <c r="Q117" s="13"/>
      <c r="R117" s="13">
        <v>75</v>
      </c>
      <c r="S117" s="13"/>
      <c r="T117" s="13"/>
      <c r="U117" s="13"/>
      <c r="V117" s="13"/>
      <c r="W117" s="13"/>
      <c r="X117" s="13">
        <v>560</v>
      </c>
      <c r="Y117" s="25" t="s">
        <v>9</v>
      </c>
      <c r="Z117" s="225"/>
      <c r="AA117" s="225"/>
      <c r="AB117" s="255"/>
      <c r="AC117">
        <f t="shared" si="7"/>
        <v>1</v>
      </c>
    </row>
    <row r="118" spans="1:29" x14ac:dyDescent="0.2">
      <c r="A118" s="13">
        <v>2002</v>
      </c>
      <c r="B118" s="13"/>
      <c r="C118" s="13"/>
      <c r="D118" s="13"/>
      <c r="E118" s="13"/>
      <c r="F118" s="13"/>
      <c r="G118" s="13">
        <v>280</v>
      </c>
      <c r="H118" s="13">
        <v>439</v>
      </c>
      <c r="I118" s="13"/>
      <c r="J118" s="13"/>
      <c r="K118" s="13">
        <v>377</v>
      </c>
      <c r="L118" s="13"/>
      <c r="M118" s="13"/>
      <c r="N118" s="13">
        <v>387</v>
      </c>
      <c r="O118" s="13"/>
      <c r="P118" s="13"/>
      <c r="Q118" s="13">
        <v>37</v>
      </c>
      <c r="R118" s="13"/>
      <c r="S118" s="13"/>
      <c r="T118" s="13"/>
      <c r="U118" s="13"/>
      <c r="V118" s="13"/>
      <c r="W118" s="13"/>
      <c r="X118" s="13">
        <v>549</v>
      </c>
      <c r="Y118" s="25" t="s">
        <v>9</v>
      </c>
      <c r="Z118" s="225"/>
      <c r="AA118" s="225"/>
      <c r="AB118" s="255"/>
      <c r="AC118">
        <f t="shared" si="7"/>
        <v>1.2505694760820045</v>
      </c>
    </row>
    <row r="119" spans="1:29" x14ac:dyDescent="0.2">
      <c r="A119" s="13">
        <v>2003</v>
      </c>
      <c r="B119" s="13"/>
      <c r="C119" s="13"/>
      <c r="D119" s="13"/>
      <c r="E119" s="13">
        <v>124</v>
      </c>
      <c r="F119" s="13"/>
      <c r="G119" s="13">
        <v>128</v>
      </c>
      <c r="H119" s="13"/>
      <c r="I119" s="13"/>
      <c r="J119" s="13">
        <v>150</v>
      </c>
      <c r="K119" s="13"/>
      <c r="L119" s="13"/>
      <c r="M119" s="13"/>
      <c r="N119" s="13">
        <v>130</v>
      </c>
      <c r="O119" s="13"/>
      <c r="P119" s="13"/>
      <c r="Q119" s="13">
        <v>60</v>
      </c>
      <c r="R119" s="13"/>
      <c r="S119" s="13"/>
      <c r="T119" s="13"/>
      <c r="U119" s="13"/>
      <c r="V119" s="13"/>
      <c r="W119" s="13"/>
      <c r="X119" s="13">
        <v>165</v>
      </c>
      <c r="Y119" s="7" t="s">
        <v>5</v>
      </c>
      <c r="Z119" s="225">
        <v>90</v>
      </c>
      <c r="AA119" s="225"/>
      <c r="AB119" s="255"/>
      <c r="AC119">
        <f t="shared" si="7"/>
        <v>1.1000000000000001</v>
      </c>
    </row>
    <row r="120" spans="1:29" x14ac:dyDescent="0.2">
      <c r="A120" s="13">
        <v>2004</v>
      </c>
      <c r="B120" s="13"/>
      <c r="C120" s="13"/>
      <c r="D120" s="13"/>
      <c r="E120" s="13"/>
      <c r="F120" s="13"/>
      <c r="G120" s="13"/>
      <c r="H120" s="13"/>
      <c r="I120" s="13"/>
      <c r="J120" s="13">
        <v>435</v>
      </c>
      <c r="K120" s="13"/>
      <c r="L120" s="13">
        <v>331</v>
      </c>
      <c r="M120" s="13"/>
      <c r="N120" s="13">
        <v>196</v>
      </c>
      <c r="O120" s="13"/>
      <c r="P120" s="13"/>
      <c r="Q120" s="13">
        <v>3</v>
      </c>
      <c r="R120" s="13"/>
      <c r="S120" s="13"/>
      <c r="T120" s="13"/>
      <c r="U120" s="13"/>
      <c r="V120" s="13"/>
      <c r="W120" s="13"/>
      <c r="X120" s="13">
        <v>536</v>
      </c>
      <c r="Y120" s="7" t="s">
        <v>5</v>
      </c>
      <c r="Z120" s="225">
        <v>40</v>
      </c>
      <c r="AA120" s="225"/>
      <c r="AB120" s="255"/>
      <c r="AC120">
        <f t="shared" si="7"/>
        <v>1.2321839080459771</v>
      </c>
    </row>
    <row r="121" spans="1:29" x14ac:dyDescent="0.2">
      <c r="A121" s="13">
        <v>2005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>
        <v>500</v>
      </c>
      <c r="Y121" s="7" t="s">
        <v>5</v>
      </c>
      <c r="Z121" s="225">
        <v>45</v>
      </c>
      <c r="AA121" s="225"/>
    </row>
    <row r="122" spans="1:29" x14ac:dyDescent="0.2">
      <c r="A122" s="1">
        <v>2006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>
        <v>163</v>
      </c>
      <c r="Y122" s="7" t="s">
        <v>5</v>
      </c>
      <c r="Z122" s="225">
        <v>45</v>
      </c>
      <c r="AA122" s="225"/>
    </row>
    <row r="123" spans="1:29" x14ac:dyDescent="0.2">
      <c r="A123" s="13">
        <v>2007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>
        <v>504</v>
      </c>
      <c r="Y123" s="224" t="s">
        <v>5</v>
      </c>
      <c r="Z123" s="225">
        <v>75</v>
      </c>
      <c r="AA123" s="225"/>
    </row>
    <row r="124" spans="1:29" x14ac:dyDescent="0.2">
      <c r="A124" s="13">
        <v>2008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>
        <v>521</v>
      </c>
      <c r="Y124" s="224" t="s">
        <v>5</v>
      </c>
      <c r="Z124" s="225">
        <v>45</v>
      </c>
      <c r="AA124" s="225"/>
    </row>
    <row r="125" spans="1:29" x14ac:dyDescent="0.2">
      <c r="A125" s="13">
        <v>2009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>
        <v>1120</v>
      </c>
      <c r="Y125" s="224" t="s">
        <v>5</v>
      </c>
      <c r="Z125" s="225">
        <v>40</v>
      </c>
      <c r="AA125" s="225"/>
      <c r="AB125" s="2" t="s">
        <v>166</v>
      </c>
    </row>
    <row r="126" spans="1:29" x14ac:dyDescent="0.2">
      <c r="A126" s="13">
        <v>2010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>
        <v>1475</v>
      </c>
      <c r="Y126" s="224" t="s">
        <v>5</v>
      </c>
      <c r="Z126" s="225">
        <v>40</v>
      </c>
      <c r="AA126" s="225"/>
    </row>
    <row r="127" spans="1:29" x14ac:dyDescent="0.2">
      <c r="A127" s="1">
        <v>2011</v>
      </c>
      <c r="B127" s="6"/>
      <c r="C127" s="6"/>
      <c r="D127" s="6"/>
      <c r="E127" s="6"/>
      <c r="F127" s="6"/>
      <c r="G127" s="6">
        <v>919</v>
      </c>
      <c r="H127" s="6">
        <v>1197</v>
      </c>
      <c r="I127" s="6">
        <v>1235</v>
      </c>
      <c r="J127" s="6">
        <v>1082</v>
      </c>
      <c r="K127" s="6">
        <v>1292</v>
      </c>
      <c r="L127" s="6">
        <v>1578</v>
      </c>
      <c r="M127" s="6"/>
      <c r="N127" s="6">
        <v>1065</v>
      </c>
      <c r="O127" s="6"/>
      <c r="P127" s="6"/>
      <c r="Q127" s="6">
        <v>341</v>
      </c>
      <c r="R127" s="6"/>
      <c r="S127" s="6">
        <v>56</v>
      </c>
      <c r="T127" s="13"/>
      <c r="U127" s="13"/>
      <c r="V127" s="13"/>
      <c r="W127" s="13"/>
      <c r="X127" s="7">
        <v>2583</v>
      </c>
      <c r="Y127" s="7" t="s">
        <v>5</v>
      </c>
      <c r="Z127" s="225">
        <v>30</v>
      </c>
      <c r="AA127" s="225"/>
      <c r="AC127">
        <f t="shared" si="7"/>
        <v>1.6368821292775666</v>
      </c>
    </row>
    <row r="128" spans="1:29" x14ac:dyDescent="0.2">
      <c r="A128" s="13">
        <v>2012</v>
      </c>
      <c r="B128" s="55"/>
      <c r="C128" s="55"/>
      <c r="D128" s="55"/>
      <c r="E128" s="55"/>
      <c r="F128" s="55">
        <v>240</v>
      </c>
      <c r="G128" s="55">
        <v>188</v>
      </c>
      <c r="H128" s="55">
        <v>217</v>
      </c>
      <c r="I128" s="55">
        <v>251</v>
      </c>
      <c r="J128" s="55">
        <v>196</v>
      </c>
      <c r="K128" s="55">
        <v>187</v>
      </c>
      <c r="L128" s="55"/>
      <c r="M128" s="55">
        <v>194</v>
      </c>
      <c r="N128" s="55"/>
      <c r="O128" s="55">
        <v>49</v>
      </c>
      <c r="P128" s="55">
        <v>58</v>
      </c>
      <c r="Q128" s="55"/>
      <c r="R128" s="55"/>
      <c r="S128" s="55"/>
      <c r="T128" s="55"/>
      <c r="U128" s="55"/>
      <c r="V128" s="55"/>
      <c r="W128" s="55"/>
      <c r="X128" s="253">
        <v>456</v>
      </c>
      <c r="Y128" s="7" t="s">
        <v>5</v>
      </c>
      <c r="Z128" s="225">
        <v>30</v>
      </c>
      <c r="AA128" s="225"/>
      <c r="AC128">
        <f t="shared" si="7"/>
        <v>1.8167330677290836</v>
      </c>
    </row>
    <row r="129" spans="1:48" x14ac:dyDescent="0.2">
      <c r="A129" s="13">
        <v>2013</v>
      </c>
      <c r="B129" s="55"/>
      <c r="C129" s="55"/>
      <c r="D129" s="55"/>
      <c r="E129" s="55"/>
      <c r="F129" s="55">
        <v>70</v>
      </c>
      <c r="G129" s="55"/>
      <c r="H129" s="55">
        <v>97</v>
      </c>
      <c r="I129" s="55"/>
      <c r="J129" s="55"/>
      <c r="K129" s="55">
        <v>73</v>
      </c>
      <c r="L129" s="55">
        <v>94</v>
      </c>
      <c r="M129" s="55"/>
      <c r="N129" s="55">
        <v>64</v>
      </c>
      <c r="O129" s="55"/>
      <c r="P129" s="55">
        <v>44</v>
      </c>
      <c r="Q129" s="55"/>
      <c r="R129" s="55"/>
      <c r="S129" s="55"/>
      <c r="T129" s="55"/>
      <c r="U129" s="55"/>
      <c r="V129" s="55"/>
      <c r="W129" s="55"/>
      <c r="X129" s="253">
        <v>266</v>
      </c>
      <c r="Y129" s="7" t="s">
        <v>5</v>
      </c>
      <c r="Z129" s="225">
        <v>25</v>
      </c>
      <c r="AA129" s="225"/>
      <c r="AC129">
        <f t="shared" si="7"/>
        <v>2.7422680412371134</v>
      </c>
    </row>
    <row r="130" spans="1:48" x14ac:dyDescent="0.2">
      <c r="A130" s="13">
        <v>2014</v>
      </c>
      <c r="B130" s="55"/>
      <c r="C130" s="55"/>
      <c r="D130" s="55"/>
      <c r="E130" s="55"/>
      <c r="F130" s="55">
        <v>310</v>
      </c>
      <c r="G130" s="55"/>
      <c r="H130" s="55">
        <v>296</v>
      </c>
      <c r="I130" s="55">
        <v>434</v>
      </c>
      <c r="J130" s="55"/>
      <c r="K130" s="55">
        <v>423</v>
      </c>
      <c r="L130" s="55"/>
      <c r="M130" s="55"/>
      <c r="N130" s="55"/>
      <c r="O130" s="55">
        <v>2</v>
      </c>
      <c r="P130" s="55"/>
      <c r="Q130" s="55"/>
      <c r="R130" s="55"/>
      <c r="S130" s="55"/>
      <c r="T130" s="55"/>
      <c r="U130" s="55"/>
      <c r="V130" s="55"/>
      <c r="W130" s="55"/>
      <c r="X130" s="253">
        <v>738</v>
      </c>
      <c r="Y130" s="7" t="s">
        <v>5</v>
      </c>
      <c r="Z130" s="225">
        <v>35</v>
      </c>
      <c r="AA130" s="225"/>
      <c r="AC130">
        <f t="shared" si="7"/>
        <v>1.7004608294930876</v>
      </c>
    </row>
    <row r="131" spans="1:48" x14ac:dyDescent="0.2">
      <c r="A131" s="13">
        <v>2015</v>
      </c>
      <c r="B131" s="55"/>
      <c r="C131" s="55"/>
      <c r="D131" s="55"/>
      <c r="E131" s="55"/>
      <c r="F131" s="55"/>
      <c r="G131" s="55">
        <v>120</v>
      </c>
      <c r="H131" s="55">
        <v>144</v>
      </c>
      <c r="I131" s="55"/>
      <c r="J131" s="55">
        <v>137</v>
      </c>
      <c r="K131" s="55">
        <v>173</v>
      </c>
      <c r="L131" s="55">
        <v>107</v>
      </c>
      <c r="M131" s="55">
        <v>124</v>
      </c>
      <c r="N131" s="55"/>
      <c r="O131" s="55">
        <v>65</v>
      </c>
      <c r="P131" s="55"/>
      <c r="Q131" s="55"/>
      <c r="R131" s="55"/>
      <c r="S131" s="55"/>
      <c r="T131" s="55"/>
      <c r="U131" s="55"/>
      <c r="V131" s="55"/>
      <c r="W131" s="55"/>
      <c r="X131" s="253">
        <v>311</v>
      </c>
      <c r="Y131" s="55"/>
      <c r="Z131" s="225"/>
      <c r="AA131" s="225"/>
      <c r="AC131">
        <f t="shared" si="7"/>
        <v>1.7976878612716762</v>
      </c>
    </row>
    <row r="132" spans="1:48" x14ac:dyDescent="0.2">
      <c r="A132" s="13">
        <v>2016</v>
      </c>
      <c r="B132" s="13"/>
      <c r="C132" s="13"/>
      <c r="D132" s="13"/>
      <c r="E132" s="13"/>
      <c r="F132" s="13"/>
      <c r="G132" s="189">
        <v>924</v>
      </c>
      <c r="H132" s="189">
        <v>1050</v>
      </c>
      <c r="I132" s="189">
        <v>2258</v>
      </c>
      <c r="J132" s="13"/>
      <c r="K132" s="109">
        <v>1721</v>
      </c>
      <c r="L132" s="338">
        <v>589</v>
      </c>
      <c r="M132" s="13"/>
      <c r="N132" s="13"/>
      <c r="O132" s="155">
        <v>668</v>
      </c>
      <c r="P132" s="13"/>
      <c r="Q132" s="321">
        <v>39</v>
      </c>
      <c r="R132" s="13"/>
      <c r="S132" s="13"/>
      <c r="T132" s="13"/>
      <c r="U132" s="13"/>
      <c r="V132" s="13"/>
      <c r="W132" s="13"/>
      <c r="X132" s="13">
        <v>2509</v>
      </c>
      <c r="Y132" s="7" t="s">
        <v>9</v>
      </c>
      <c r="Z132" s="58"/>
      <c r="AA132" s="58"/>
      <c r="AC132">
        <f t="shared" si="7"/>
        <v>1.1111603188662533</v>
      </c>
    </row>
    <row r="133" spans="1:48" x14ac:dyDescent="0.2">
      <c r="A133" s="13">
        <v>2017</v>
      </c>
      <c r="B133" s="13"/>
      <c r="C133" s="13"/>
      <c r="D133" s="189">
        <v>70</v>
      </c>
      <c r="E133" s="13"/>
      <c r="F133" s="189">
        <v>62</v>
      </c>
      <c r="G133" s="189">
        <v>53</v>
      </c>
      <c r="H133" s="189">
        <v>103</v>
      </c>
      <c r="I133" s="13"/>
      <c r="J133" s="189">
        <v>88</v>
      </c>
      <c r="K133" s="189">
        <v>74</v>
      </c>
      <c r="L133" s="13"/>
      <c r="M133" s="343">
        <v>102</v>
      </c>
      <c r="N133" s="353">
        <v>33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>
        <v>172</v>
      </c>
      <c r="Y133" s="7"/>
      <c r="Z133" s="58">
        <v>40</v>
      </c>
      <c r="AA133" s="58"/>
      <c r="AC133">
        <f t="shared" si="7"/>
        <v>1.6699029126213591</v>
      </c>
    </row>
    <row r="134" spans="1:48" x14ac:dyDescent="0.2">
      <c r="A134" s="13">
        <v>2018</v>
      </c>
      <c r="B134" s="13"/>
      <c r="C134" s="13"/>
      <c r="D134" s="13"/>
      <c r="E134" s="109">
        <v>109</v>
      </c>
      <c r="F134" s="13"/>
      <c r="G134" s="109">
        <v>108</v>
      </c>
      <c r="H134" s="109">
        <v>124</v>
      </c>
      <c r="I134" s="109">
        <v>76</v>
      </c>
      <c r="J134" s="13"/>
      <c r="K134" s="109">
        <v>106</v>
      </c>
      <c r="L134" s="13"/>
      <c r="M134" s="13"/>
      <c r="N134" s="13"/>
      <c r="O134" s="109">
        <v>4</v>
      </c>
      <c r="P134" s="13"/>
      <c r="Q134" s="13"/>
      <c r="R134" s="13"/>
      <c r="S134" s="13"/>
      <c r="T134" s="13"/>
      <c r="U134" s="13"/>
      <c r="V134" s="13"/>
      <c r="W134" s="13"/>
      <c r="X134" s="13">
        <v>138</v>
      </c>
      <c r="Y134" s="7" t="s">
        <v>9</v>
      </c>
      <c r="Z134" s="58"/>
      <c r="AA134" s="58"/>
      <c r="AC134">
        <f t="shared" si="7"/>
        <v>1.1129032258064515</v>
      </c>
    </row>
    <row r="135" spans="1:48" x14ac:dyDescent="0.2">
      <c r="A135" s="13">
        <v>2019</v>
      </c>
      <c r="B135" s="13"/>
      <c r="C135" s="13"/>
      <c r="D135" s="13"/>
      <c r="E135" s="13"/>
      <c r="F135" s="109">
        <v>35</v>
      </c>
      <c r="G135" s="13"/>
      <c r="H135" s="109">
        <v>28</v>
      </c>
      <c r="I135" s="13"/>
      <c r="J135" s="109">
        <v>38</v>
      </c>
      <c r="K135" s="106">
        <v>30</v>
      </c>
      <c r="L135" s="13"/>
      <c r="M135" s="13"/>
      <c r="N135" s="155">
        <v>13</v>
      </c>
      <c r="O135" s="109">
        <v>20</v>
      </c>
      <c r="P135" s="13"/>
      <c r="Q135" s="13"/>
      <c r="R135" s="13"/>
      <c r="S135" s="13"/>
      <c r="T135" s="13"/>
      <c r="U135" s="13"/>
      <c r="V135" s="13"/>
      <c r="W135" s="13"/>
      <c r="X135" s="13">
        <v>60</v>
      </c>
      <c r="Y135" s="7"/>
      <c r="Z135" s="58"/>
      <c r="AA135" s="58"/>
      <c r="AC135">
        <f t="shared" si="7"/>
        <v>1.5789473684210527</v>
      </c>
    </row>
    <row r="136" spans="1:48" x14ac:dyDescent="0.2">
      <c r="A136" s="13">
        <v>2020</v>
      </c>
      <c r="B136" s="13"/>
      <c r="C136" s="13"/>
      <c r="D136" s="13"/>
      <c r="E136" s="13"/>
      <c r="F136" s="109">
        <v>602</v>
      </c>
      <c r="G136" s="13"/>
      <c r="H136" s="109">
        <v>466</v>
      </c>
      <c r="I136" s="109">
        <v>472</v>
      </c>
      <c r="J136" s="109">
        <v>487</v>
      </c>
      <c r="K136" s="109">
        <v>429</v>
      </c>
      <c r="L136" s="13"/>
      <c r="M136" s="590">
        <v>580</v>
      </c>
      <c r="N136" s="13"/>
      <c r="O136" s="155">
        <v>195</v>
      </c>
      <c r="P136" s="155">
        <v>142</v>
      </c>
      <c r="Q136" s="13"/>
      <c r="R136" s="13"/>
      <c r="S136" s="13"/>
      <c r="T136" s="13"/>
      <c r="U136" s="13"/>
      <c r="V136" s="13"/>
      <c r="W136" s="13"/>
      <c r="X136" s="13">
        <v>1121</v>
      </c>
      <c r="Y136" s="7" t="s">
        <v>5</v>
      </c>
      <c r="Z136" s="58">
        <v>35</v>
      </c>
      <c r="AA136" s="58"/>
      <c r="AC136">
        <f t="shared" si="7"/>
        <v>1.8621262458471761</v>
      </c>
    </row>
    <row r="137" spans="1:48" s="150" customFormat="1" x14ac:dyDescent="0.2">
      <c r="A137" s="89">
        <v>2021</v>
      </c>
      <c r="B137" s="89"/>
      <c r="C137" s="89"/>
      <c r="D137" s="89"/>
      <c r="E137" s="89"/>
      <c r="F137" s="89"/>
      <c r="G137" s="975">
        <v>437</v>
      </c>
      <c r="H137" s="539">
        <v>258</v>
      </c>
      <c r="I137" s="186">
        <v>332</v>
      </c>
      <c r="J137" s="893"/>
      <c r="K137" s="808">
        <v>260</v>
      </c>
      <c r="L137" s="976"/>
      <c r="M137" s="980">
        <f>418+1</f>
        <v>419</v>
      </c>
      <c r="N137" s="985"/>
      <c r="O137" s="539">
        <f>291+1</f>
        <v>292</v>
      </c>
      <c r="P137" s="821">
        <f>198+3</f>
        <v>201</v>
      </c>
      <c r="Q137" s="806">
        <v>87</v>
      </c>
      <c r="R137" s="89"/>
      <c r="S137" s="89"/>
      <c r="T137" s="89"/>
      <c r="U137" s="89"/>
      <c r="V137" s="89"/>
      <c r="W137" s="89"/>
      <c r="X137" s="89">
        <v>736</v>
      </c>
      <c r="Y137" s="11"/>
      <c r="Z137" s="92"/>
      <c r="AA137" s="92"/>
      <c r="AC137">
        <f t="shared" si="7"/>
        <v>1.6842105263157894</v>
      </c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  <c r="AU137" s="151"/>
      <c r="AV137" s="151"/>
    </row>
    <row r="138" spans="1:48" s="150" customFormat="1" x14ac:dyDescent="0.2">
      <c r="A138" s="89">
        <v>2022</v>
      </c>
      <c r="B138" s="89"/>
      <c r="C138" s="89"/>
      <c r="D138" s="89"/>
      <c r="E138" s="89"/>
      <c r="F138" s="89"/>
      <c r="G138" s="975">
        <v>375</v>
      </c>
      <c r="H138" s="186">
        <v>442</v>
      </c>
      <c r="I138" s="187"/>
      <c r="J138" s="186">
        <v>441</v>
      </c>
      <c r="K138" s="186">
        <v>339</v>
      </c>
      <c r="L138" s="807"/>
      <c r="M138" s="977"/>
      <c r="N138" s="986"/>
      <c r="O138" s="821">
        <v>344</v>
      </c>
      <c r="P138" s="944"/>
      <c r="Q138" s="799"/>
      <c r="R138" s="89"/>
      <c r="S138" s="89"/>
      <c r="T138" s="89"/>
      <c r="U138" s="89"/>
      <c r="V138" s="89"/>
      <c r="W138" s="89"/>
      <c r="X138" s="89">
        <v>820</v>
      </c>
      <c r="Y138" s="11"/>
      <c r="Z138" s="92"/>
      <c r="AA138" s="92"/>
      <c r="AC138">
        <f t="shared" si="7"/>
        <v>1.8552036199095023</v>
      </c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  <c r="AU138" s="151"/>
      <c r="AV138" s="151"/>
    </row>
    <row r="139" spans="1:48" s="150" customFormat="1" x14ac:dyDescent="0.2">
      <c r="A139" s="89">
        <v>2023</v>
      </c>
      <c r="B139" s="89"/>
      <c r="C139" s="89"/>
      <c r="D139" s="89"/>
      <c r="E139" s="89"/>
      <c r="F139" s="109">
        <v>53</v>
      </c>
      <c r="G139" s="89"/>
      <c r="H139" s="109">
        <v>28</v>
      </c>
      <c r="I139" s="109">
        <v>42</v>
      </c>
      <c r="J139" s="89"/>
      <c r="K139" s="109">
        <v>91</v>
      </c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11"/>
      <c r="Z139" s="92"/>
      <c r="AA139" s="92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  <c r="AU139" s="151"/>
      <c r="AV139" s="151"/>
    </row>
    <row r="140" spans="1:48" x14ac:dyDescent="0.2">
      <c r="A140" s="64" t="s">
        <v>17</v>
      </c>
      <c r="B140" s="16"/>
      <c r="C140" s="16"/>
      <c r="D140" s="16"/>
      <c r="E140" s="16">
        <f>AVERAGE(E111:E132)</f>
        <v>124</v>
      </c>
      <c r="F140" s="16">
        <f t="shared" ref="F140:T140" si="8">AVERAGE(F111:F132)</f>
        <v>328.4</v>
      </c>
      <c r="G140" s="16">
        <f t="shared" si="8"/>
        <v>482</v>
      </c>
      <c r="H140" s="16">
        <v>3</v>
      </c>
      <c r="I140" s="16">
        <f t="shared" si="8"/>
        <v>865.6</v>
      </c>
      <c r="J140" s="16">
        <f t="shared" si="8"/>
        <v>505.88888888888891</v>
      </c>
      <c r="K140" s="16">
        <f t="shared" si="8"/>
        <v>536.29999999999995</v>
      </c>
      <c r="L140" s="16">
        <f t="shared" si="8"/>
        <v>921.75</v>
      </c>
      <c r="M140" s="16">
        <f t="shared" si="8"/>
        <v>836</v>
      </c>
      <c r="N140" s="16">
        <f t="shared" si="8"/>
        <v>297.5</v>
      </c>
      <c r="O140" s="16">
        <f t="shared" si="8"/>
        <v>288.16666666666669</v>
      </c>
      <c r="P140" s="16">
        <f t="shared" si="8"/>
        <v>187.6</v>
      </c>
      <c r="Q140" s="16">
        <f t="shared" si="8"/>
        <v>86.833333333333329</v>
      </c>
      <c r="R140" s="16">
        <f t="shared" si="8"/>
        <v>62.5</v>
      </c>
      <c r="S140" s="16">
        <f t="shared" si="8"/>
        <v>122.5</v>
      </c>
      <c r="T140" s="16">
        <f t="shared" si="8"/>
        <v>1</v>
      </c>
      <c r="U140" s="16"/>
      <c r="V140" s="16"/>
      <c r="W140" s="16"/>
      <c r="X140" s="16">
        <f>AVERAGE(X111:X125)</f>
        <v>1077.5333333333333</v>
      </c>
      <c r="Y140" s="16"/>
      <c r="Z140" s="16">
        <f>AVERAGE(Z111:Z125)</f>
        <v>45</v>
      </c>
      <c r="AA140" s="92"/>
    </row>
    <row r="142" spans="1:48" x14ac:dyDescent="0.2">
      <c r="F142" s="1">
        <v>1995</v>
      </c>
      <c r="G142" s="1">
        <v>1996</v>
      </c>
      <c r="H142" s="1">
        <v>1997</v>
      </c>
      <c r="I142" s="1">
        <v>1998</v>
      </c>
      <c r="J142" s="1">
        <v>1999</v>
      </c>
      <c r="K142" s="1">
        <v>2000</v>
      </c>
      <c r="L142" s="1">
        <v>2001</v>
      </c>
      <c r="M142" s="1">
        <v>2002</v>
      </c>
      <c r="N142" s="1">
        <v>2003</v>
      </c>
      <c r="O142" s="1">
        <v>2004</v>
      </c>
      <c r="P142" s="1">
        <v>2005</v>
      </c>
      <c r="Q142" s="1">
        <v>2006</v>
      </c>
      <c r="R142" s="1">
        <v>2007</v>
      </c>
      <c r="S142" s="13">
        <v>2008</v>
      </c>
      <c r="T142" s="13">
        <v>2009</v>
      </c>
      <c r="U142" s="13">
        <v>2010</v>
      </c>
      <c r="V142" s="13">
        <v>2011</v>
      </c>
      <c r="W142" s="2">
        <v>2012</v>
      </c>
    </row>
    <row r="143" spans="1:48" x14ac:dyDescent="0.2">
      <c r="E143" s="13">
        <v>81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1"/>
      <c r="T143" s="1"/>
      <c r="U143" s="1"/>
      <c r="V143" s="1"/>
      <c r="W143" s="1"/>
    </row>
    <row r="144" spans="1:48" x14ac:dyDescent="0.2">
      <c r="E144" s="13">
        <v>82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1"/>
      <c r="T144" s="1"/>
      <c r="U144" s="1"/>
      <c r="V144" s="1"/>
      <c r="W144" s="1"/>
    </row>
    <row r="145" spans="5:23" x14ac:dyDescent="0.2">
      <c r="E145" s="13">
        <v>83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1"/>
      <c r="T145" s="1"/>
      <c r="U145" s="1"/>
      <c r="V145" s="1"/>
      <c r="W145" s="1"/>
    </row>
    <row r="146" spans="5:23" x14ac:dyDescent="0.2">
      <c r="E146" s="13">
        <v>84</v>
      </c>
      <c r="F146" s="6"/>
      <c r="G146" s="6"/>
      <c r="H146" s="6"/>
      <c r="I146" s="6"/>
      <c r="J146" s="6"/>
      <c r="K146" s="6"/>
      <c r="L146" s="6"/>
      <c r="M146" s="6"/>
      <c r="N146" s="6">
        <v>162</v>
      </c>
      <c r="O146" s="6"/>
      <c r="P146" s="6"/>
      <c r="Q146" s="6"/>
      <c r="R146" s="6">
        <v>36</v>
      </c>
      <c r="S146" s="1"/>
      <c r="T146" s="1"/>
      <c r="U146" s="1"/>
      <c r="V146" s="1"/>
      <c r="W146" s="1"/>
    </row>
    <row r="147" spans="5:23" x14ac:dyDescent="0.2">
      <c r="E147" s="13">
        <v>91</v>
      </c>
      <c r="F147" s="6"/>
      <c r="G147" s="6">
        <v>18</v>
      </c>
      <c r="H147" s="6">
        <v>71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1">
        <v>61</v>
      </c>
      <c r="T147" s="1"/>
      <c r="U147" s="1"/>
      <c r="V147" s="1"/>
      <c r="W147" s="1">
        <v>31</v>
      </c>
    </row>
    <row r="148" spans="5:23" x14ac:dyDescent="0.2">
      <c r="E148" s="13">
        <v>92</v>
      </c>
      <c r="F148" s="6"/>
      <c r="G148" s="6"/>
      <c r="H148" s="6"/>
      <c r="I148" s="6"/>
      <c r="J148" s="6">
        <v>102</v>
      </c>
      <c r="K148" s="6"/>
      <c r="L148" s="6">
        <v>49</v>
      </c>
      <c r="M148" s="6">
        <v>601</v>
      </c>
      <c r="N148" s="6">
        <v>242</v>
      </c>
      <c r="O148" s="6"/>
      <c r="P148" s="6"/>
      <c r="Q148" s="6"/>
      <c r="R148" s="6"/>
      <c r="S148" s="1"/>
      <c r="T148" s="1">
        <v>324</v>
      </c>
      <c r="U148" s="1">
        <v>10</v>
      </c>
      <c r="V148" s="1">
        <v>51</v>
      </c>
      <c r="W148" s="1">
        <v>126</v>
      </c>
    </row>
    <row r="149" spans="5:23" x14ac:dyDescent="0.2">
      <c r="E149" s="13">
        <v>93</v>
      </c>
      <c r="F149" s="6">
        <v>40</v>
      </c>
      <c r="G149" s="6">
        <v>418</v>
      </c>
      <c r="H149" s="6">
        <v>397</v>
      </c>
      <c r="I149" s="6"/>
      <c r="J149" s="6"/>
      <c r="K149" s="6">
        <v>61</v>
      </c>
      <c r="L149" s="6"/>
      <c r="M149" s="6">
        <v>864</v>
      </c>
      <c r="N149" s="6"/>
      <c r="O149" s="6">
        <v>531</v>
      </c>
      <c r="P149" s="6">
        <v>3</v>
      </c>
      <c r="Q149" s="6">
        <v>82</v>
      </c>
      <c r="R149" s="6"/>
      <c r="S149" s="1"/>
      <c r="T149" s="1"/>
      <c r="U149" s="1"/>
      <c r="V149" s="1">
        <v>276</v>
      </c>
      <c r="W149" s="1">
        <v>143</v>
      </c>
    </row>
    <row r="150" spans="5:23" x14ac:dyDescent="0.2">
      <c r="E150" s="13">
        <v>94</v>
      </c>
      <c r="F150" s="6"/>
      <c r="G150" s="6">
        <v>318</v>
      </c>
      <c r="H150" s="6"/>
      <c r="I150" s="6"/>
      <c r="J150" s="6"/>
      <c r="K150" s="6"/>
      <c r="L150" s="6"/>
      <c r="M150" s="6"/>
      <c r="N150" s="6"/>
      <c r="O150" s="6"/>
      <c r="P150" s="6"/>
      <c r="Q150" s="6">
        <v>116</v>
      </c>
      <c r="R150" s="6">
        <v>149</v>
      </c>
      <c r="S150" s="1">
        <v>123</v>
      </c>
      <c r="T150" s="1">
        <v>457</v>
      </c>
      <c r="U150" s="1">
        <v>264</v>
      </c>
      <c r="V150" s="1">
        <v>258</v>
      </c>
      <c r="W150" s="1">
        <v>199</v>
      </c>
    </row>
    <row r="151" spans="5:23" x14ac:dyDescent="0.2">
      <c r="E151" s="13">
        <v>101</v>
      </c>
      <c r="F151" s="6">
        <v>222</v>
      </c>
      <c r="G151" s="6">
        <v>300</v>
      </c>
      <c r="H151" s="6"/>
      <c r="I151" s="6">
        <v>21</v>
      </c>
      <c r="J151" s="6">
        <v>472</v>
      </c>
      <c r="K151" s="6"/>
      <c r="L151" s="6">
        <v>351</v>
      </c>
      <c r="M151" s="6"/>
      <c r="N151" s="6">
        <v>350</v>
      </c>
      <c r="O151" s="6">
        <v>478</v>
      </c>
      <c r="P151" s="6"/>
      <c r="Q151" s="6">
        <v>77</v>
      </c>
      <c r="R151" s="6"/>
      <c r="S151" s="1">
        <v>199</v>
      </c>
      <c r="T151" s="1">
        <v>330</v>
      </c>
      <c r="U151" s="1">
        <v>197</v>
      </c>
      <c r="V151" s="1">
        <v>200</v>
      </c>
      <c r="W151" s="1">
        <v>347</v>
      </c>
    </row>
    <row r="152" spans="5:23" x14ac:dyDescent="0.2">
      <c r="E152" s="13">
        <v>102</v>
      </c>
      <c r="F152" s="6"/>
      <c r="G152" s="6">
        <v>204</v>
      </c>
      <c r="H152" s="6"/>
      <c r="I152" s="6">
        <v>234</v>
      </c>
      <c r="J152" s="6">
        <v>170</v>
      </c>
      <c r="K152" s="6">
        <v>73</v>
      </c>
      <c r="L152" s="6"/>
      <c r="M152" s="6">
        <v>44</v>
      </c>
      <c r="N152" s="6"/>
      <c r="O152" s="6"/>
      <c r="P152" s="6">
        <v>292</v>
      </c>
      <c r="Q152" s="6">
        <v>25</v>
      </c>
      <c r="R152" s="6">
        <v>13</v>
      </c>
      <c r="S152" s="1"/>
      <c r="T152" s="1"/>
      <c r="U152" s="1">
        <v>170</v>
      </c>
      <c r="V152" s="1">
        <v>126</v>
      </c>
      <c r="W152" s="1"/>
    </row>
    <row r="153" spans="5:23" x14ac:dyDescent="0.2">
      <c r="E153" s="13">
        <v>103</v>
      </c>
      <c r="F153" s="6">
        <v>25</v>
      </c>
      <c r="G153" s="6"/>
      <c r="H153" s="6">
        <v>3</v>
      </c>
      <c r="I153" s="6"/>
      <c r="J153" s="6">
        <v>229</v>
      </c>
      <c r="K153" s="6"/>
      <c r="L153" s="6"/>
      <c r="M153" s="6"/>
      <c r="N153" s="6"/>
      <c r="O153" s="6">
        <v>124</v>
      </c>
      <c r="P153" s="6"/>
      <c r="Q153" s="6">
        <v>35</v>
      </c>
      <c r="R153" s="6">
        <v>10</v>
      </c>
      <c r="S153" s="1">
        <v>29</v>
      </c>
      <c r="T153" s="1"/>
      <c r="U153" s="1">
        <v>17</v>
      </c>
      <c r="V153" s="1">
        <v>14</v>
      </c>
      <c r="W153" s="1"/>
    </row>
    <row r="154" spans="5:23" x14ac:dyDescent="0.2">
      <c r="E154" s="13">
        <v>104</v>
      </c>
      <c r="F154" s="6"/>
      <c r="G154" s="6">
        <v>50</v>
      </c>
      <c r="H154" s="6">
        <v>5</v>
      </c>
      <c r="I154" s="6">
        <v>17</v>
      </c>
      <c r="J154" s="6">
        <v>50</v>
      </c>
      <c r="K154" s="6"/>
      <c r="L154" s="6"/>
      <c r="M154" s="6"/>
      <c r="N154" s="6"/>
      <c r="O154" s="6"/>
      <c r="P154" s="6">
        <v>4</v>
      </c>
      <c r="Q154" s="6">
        <v>20</v>
      </c>
      <c r="R154" s="6">
        <v>5</v>
      </c>
      <c r="S154" s="1">
        <v>12</v>
      </c>
      <c r="T154" s="1">
        <v>43</v>
      </c>
      <c r="U154" s="1"/>
      <c r="V154" s="1"/>
      <c r="W154" s="1">
        <v>25</v>
      </c>
    </row>
    <row r="155" spans="5:23" x14ac:dyDescent="0.2">
      <c r="E155" s="13">
        <v>105</v>
      </c>
      <c r="F155" s="6">
        <v>1</v>
      </c>
      <c r="G155" s="6">
        <v>40</v>
      </c>
      <c r="H155" s="6"/>
      <c r="I155" s="6"/>
      <c r="J155" s="6"/>
      <c r="K155" s="6">
        <v>7</v>
      </c>
      <c r="L155" s="6"/>
      <c r="M155" s="6">
        <v>2</v>
      </c>
      <c r="N155" s="6">
        <v>4</v>
      </c>
      <c r="O155" s="6">
        <v>4</v>
      </c>
      <c r="P155" s="6"/>
      <c r="Q155" s="6">
        <v>5</v>
      </c>
      <c r="R155" s="6"/>
      <c r="S155" s="1"/>
      <c r="T155" s="1">
        <v>2</v>
      </c>
      <c r="U155" s="1">
        <v>2</v>
      </c>
      <c r="V155" s="1">
        <v>1</v>
      </c>
      <c r="W155" s="1"/>
    </row>
    <row r="156" spans="5:23" x14ac:dyDescent="0.2">
      <c r="E156" s="13">
        <v>111</v>
      </c>
      <c r="F156" s="6"/>
      <c r="G156" s="6">
        <v>27</v>
      </c>
      <c r="H156" s="6">
        <v>2</v>
      </c>
      <c r="I156" s="6"/>
      <c r="J156" s="6">
        <v>22</v>
      </c>
      <c r="K156" s="6"/>
      <c r="L156" s="6"/>
      <c r="M156" s="6"/>
      <c r="N156" s="6"/>
      <c r="O156" s="6"/>
      <c r="P156" s="6"/>
      <c r="Q156" s="6"/>
      <c r="R156" s="6"/>
      <c r="S156" s="1"/>
      <c r="T156" s="1"/>
      <c r="U156" s="1"/>
      <c r="V156" s="1"/>
      <c r="W156" s="1">
        <v>0</v>
      </c>
    </row>
    <row r="157" spans="5:23" x14ac:dyDescent="0.2">
      <c r="E157" s="13">
        <v>112</v>
      </c>
      <c r="F157" s="6"/>
      <c r="G157" s="6"/>
      <c r="H157" s="6">
        <v>0</v>
      </c>
      <c r="I157" s="6">
        <v>3</v>
      </c>
      <c r="J157" s="6"/>
      <c r="K157" s="6">
        <v>1</v>
      </c>
      <c r="L157" s="6"/>
      <c r="M157" s="6"/>
      <c r="N157" s="6"/>
      <c r="O157" s="6"/>
      <c r="P157" s="6"/>
      <c r="Q157" s="6">
        <v>1</v>
      </c>
      <c r="R157" s="6"/>
      <c r="S157" s="1"/>
      <c r="T157" s="1"/>
      <c r="U157" s="1"/>
      <c r="V157" s="1"/>
      <c r="W157" s="1">
        <v>0</v>
      </c>
    </row>
    <row r="158" spans="5:23" x14ac:dyDescent="0.2">
      <c r="E158" s="13">
        <v>113</v>
      </c>
      <c r="F158" s="6"/>
      <c r="G158" s="6">
        <v>15</v>
      </c>
      <c r="H158" s="6"/>
      <c r="I158" s="6"/>
      <c r="J158" s="6"/>
      <c r="K158" s="6"/>
      <c r="L158" s="6"/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/>
      <c r="S158" s="1">
        <v>0</v>
      </c>
      <c r="T158" s="1"/>
      <c r="U158" s="1">
        <v>0</v>
      </c>
      <c r="V158" s="1">
        <v>3</v>
      </c>
      <c r="W158" s="1"/>
    </row>
    <row r="159" spans="5:23" x14ac:dyDescent="0.2">
      <c r="E159" s="13">
        <v>114</v>
      </c>
      <c r="F159" s="6"/>
      <c r="G159" s="6"/>
      <c r="H159" s="6"/>
      <c r="I159" s="6"/>
      <c r="J159" s="6">
        <v>2</v>
      </c>
      <c r="K159" s="6"/>
      <c r="L159" s="6">
        <v>2</v>
      </c>
      <c r="M159" s="6"/>
      <c r="N159" s="6"/>
      <c r="O159" s="6"/>
      <c r="P159" s="6"/>
      <c r="Q159" s="6">
        <v>0</v>
      </c>
      <c r="R159" s="6"/>
      <c r="S159" s="1"/>
      <c r="T159" s="1"/>
      <c r="U159" s="1"/>
      <c r="V159" s="1"/>
      <c r="W159" s="1"/>
    </row>
    <row r="160" spans="5:23" x14ac:dyDescent="0.2">
      <c r="E160" s="13">
        <v>115</v>
      </c>
      <c r="F160" s="6"/>
      <c r="G160" s="6"/>
      <c r="H160" s="6">
        <v>0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1"/>
      <c r="T160" s="1"/>
      <c r="U160" s="1"/>
      <c r="V160" s="1"/>
      <c r="W160" s="1"/>
    </row>
    <row r="161" spans="5:24" x14ac:dyDescent="0.2">
      <c r="E161" s="13">
        <v>121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>
        <v>2</v>
      </c>
      <c r="Q161" s="1"/>
      <c r="R161" s="1"/>
      <c r="S161" s="1"/>
      <c r="T161" s="1"/>
      <c r="U161" s="1"/>
      <c r="V161" s="1"/>
      <c r="W161" s="1"/>
    </row>
    <row r="162" spans="5:24" x14ac:dyDescent="0.2">
      <c r="E162" s="13">
        <v>122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>
        <v>0</v>
      </c>
      <c r="R162" s="1"/>
      <c r="S162" s="1"/>
      <c r="T162" s="1"/>
      <c r="U162" s="1"/>
      <c r="V162" s="1"/>
      <c r="W162" s="1"/>
    </row>
    <row r="163" spans="5:24" x14ac:dyDescent="0.2">
      <c r="E163" s="13">
        <v>123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5:24" x14ac:dyDescent="0.2">
      <c r="E164" s="13">
        <v>124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5:24" x14ac:dyDescent="0.2">
      <c r="F165" s="2">
        <f>SUM(F144:F164)</f>
        <v>288</v>
      </c>
      <c r="G165" s="2">
        <f t="shared" ref="G165:W165" si="9">SUM(G144:G164)</f>
        <v>1390</v>
      </c>
      <c r="H165" s="2">
        <f t="shared" si="9"/>
        <v>478</v>
      </c>
      <c r="I165" s="2">
        <f t="shared" si="9"/>
        <v>275</v>
      </c>
      <c r="J165" s="2">
        <f t="shared" si="9"/>
        <v>1047</v>
      </c>
      <c r="K165" s="2">
        <f t="shared" si="9"/>
        <v>142</v>
      </c>
      <c r="L165" s="2">
        <f t="shared" si="9"/>
        <v>402</v>
      </c>
      <c r="M165" s="2">
        <f t="shared" si="9"/>
        <v>1511</v>
      </c>
      <c r="N165" s="2">
        <f t="shared" si="9"/>
        <v>758</v>
      </c>
      <c r="O165" s="2">
        <f t="shared" si="9"/>
        <v>1137</v>
      </c>
      <c r="P165" s="2">
        <f t="shared" si="9"/>
        <v>301</v>
      </c>
      <c r="Q165" s="2">
        <f t="shared" si="9"/>
        <v>361</v>
      </c>
      <c r="R165" s="2">
        <f t="shared" si="9"/>
        <v>213</v>
      </c>
      <c r="S165" s="2">
        <f t="shared" si="9"/>
        <v>424</v>
      </c>
      <c r="T165" s="2">
        <f t="shared" si="9"/>
        <v>1156</v>
      </c>
      <c r="U165" s="2">
        <f t="shared" si="9"/>
        <v>660</v>
      </c>
      <c r="V165" s="2">
        <f t="shared" si="9"/>
        <v>929</v>
      </c>
      <c r="W165" s="2">
        <f t="shared" si="9"/>
        <v>871</v>
      </c>
    </row>
    <row r="167" spans="5:24" x14ac:dyDescent="0.2">
      <c r="E167" s="2" t="s">
        <v>64</v>
      </c>
    </row>
    <row r="168" spans="5:24" x14ac:dyDescent="0.2">
      <c r="F168" s="1">
        <v>1995</v>
      </c>
      <c r="G168" s="1">
        <v>1996</v>
      </c>
      <c r="H168" s="1">
        <v>1997</v>
      </c>
      <c r="I168" s="1">
        <v>1998</v>
      </c>
      <c r="J168" s="1">
        <v>1999</v>
      </c>
      <c r="K168" s="1">
        <v>2000</v>
      </c>
      <c r="L168" s="1">
        <v>2001</v>
      </c>
      <c r="M168" s="1">
        <v>2002</v>
      </c>
      <c r="N168" s="1">
        <v>2003</v>
      </c>
      <c r="O168" s="1">
        <v>2004</v>
      </c>
      <c r="P168" s="1">
        <v>2005</v>
      </c>
      <c r="Q168" s="1">
        <v>2006</v>
      </c>
      <c r="R168" s="1">
        <v>2007</v>
      </c>
      <c r="S168" s="13">
        <v>2008</v>
      </c>
      <c r="T168" s="13">
        <v>2009</v>
      </c>
      <c r="U168" s="13">
        <v>2010</v>
      </c>
      <c r="V168" s="13">
        <v>2011</v>
      </c>
      <c r="W168" s="2">
        <v>2012</v>
      </c>
      <c r="X168" s="2" t="s">
        <v>17</v>
      </c>
    </row>
    <row r="169" spans="5:24" x14ac:dyDescent="0.2">
      <c r="E169" s="13">
        <v>81</v>
      </c>
      <c r="F169" s="82">
        <f>F143/F$165</f>
        <v>0</v>
      </c>
      <c r="G169" s="82">
        <f t="shared" ref="G169:U169" si="10">G143/G$165</f>
        <v>0</v>
      </c>
      <c r="H169" s="82">
        <f t="shared" si="10"/>
        <v>0</v>
      </c>
      <c r="I169" s="82">
        <f t="shared" si="10"/>
        <v>0</v>
      </c>
      <c r="J169" s="82">
        <f t="shared" si="10"/>
        <v>0</v>
      </c>
      <c r="K169" s="82">
        <f t="shared" si="10"/>
        <v>0</v>
      </c>
      <c r="L169" s="82">
        <f t="shared" si="10"/>
        <v>0</v>
      </c>
      <c r="M169" s="82">
        <f t="shared" si="10"/>
        <v>0</v>
      </c>
      <c r="N169" s="82">
        <f t="shared" si="10"/>
        <v>0</v>
      </c>
      <c r="O169" s="82">
        <f t="shared" si="10"/>
        <v>0</v>
      </c>
      <c r="P169" s="82">
        <f t="shared" si="10"/>
        <v>0</v>
      </c>
      <c r="Q169" s="82">
        <f t="shared" si="10"/>
        <v>0</v>
      </c>
      <c r="R169" s="82">
        <f t="shared" si="10"/>
        <v>0</v>
      </c>
      <c r="S169" s="82">
        <f t="shared" si="10"/>
        <v>0</v>
      </c>
      <c r="T169" s="82">
        <f t="shared" si="10"/>
        <v>0</v>
      </c>
      <c r="U169" s="82">
        <f t="shared" si="10"/>
        <v>0</v>
      </c>
      <c r="V169" s="82">
        <f t="shared" ref="G169:W184" si="11">V143/V$165</f>
        <v>0</v>
      </c>
      <c r="W169" s="82">
        <f t="shared" si="11"/>
        <v>0</v>
      </c>
      <c r="X169" s="79">
        <f>AVERAGE(F169:W169)</f>
        <v>0</v>
      </c>
    </row>
    <row r="170" spans="5:24" x14ac:dyDescent="0.2">
      <c r="E170" s="13">
        <v>82</v>
      </c>
      <c r="F170" s="82">
        <f t="shared" ref="F170:F190" si="12">F144/F$165</f>
        <v>0</v>
      </c>
      <c r="G170" s="82">
        <f t="shared" si="11"/>
        <v>0</v>
      </c>
      <c r="H170" s="82">
        <f t="shared" si="11"/>
        <v>0</v>
      </c>
      <c r="I170" s="82">
        <f t="shared" si="11"/>
        <v>0</v>
      </c>
      <c r="J170" s="82">
        <f t="shared" si="11"/>
        <v>0</v>
      </c>
      <c r="K170" s="82">
        <f t="shared" si="11"/>
        <v>0</v>
      </c>
      <c r="L170" s="82">
        <f t="shared" si="11"/>
        <v>0</v>
      </c>
      <c r="M170" s="82">
        <f t="shared" si="11"/>
        <v>0</v>
      </c>
      <c r="N170" s="82">
        <f t="shared" si="11"/>
        <v>0</v>
      </c>
      <c r="O170" s="82">
        <f t="shared" si="11"/>
        <v>0</v>
      </c>
      <c r="P170" s="82">
        <f t="shared" si="11"/>
        <v>0</v>
      </c>
      <c r="Q170" s="82">
        <f t="shared" si="11"/>
        <v>0</v>
      </c>
      <c r="R170" s="82">
        <f t="shared" si="11"/>
        <v>0</v>
      </c>
      <c r="S170" s="82">
        <f t="shared" si="11"/>
        <v>0</v>
      </c>
      <c r="T170" s="82">
        <f t="shared" si="11"/>
        <v>0</v>
      </c>
      <c r="U170" s="82">
        <f t="shared" si="11"/>
        <v>0</v>
      </c>
      <c r="V170" s="82">
        <f t="shared" si="11"/>
        <v>0</v>
      </c>
      <c r="W170" s="82">
        <f>W144/W$165</f>
        <v>0</v>
      </c>
      <c r="X170" s="79">
        <f t="shared" ref="X170:X190" si="13">AVERAGE(F170:W170)</f>
        <v>0</v>
      </c>
    </row>
    <row r="171" spans="5:24" x14ac:dyDescent="0.2">
      <c r="E171" s="13">
        <v>83</v>
      </c>
      <c r="F171" s="82">
        <f t="shared" si="12"/>
        <v>0</v>
      </c>
      <c r="G171" s="82">
        <f t="shared" si="11"/>
        <v>0</v>
      </c>
      <c r="H171" s="82">
        <f t="shared" si="11"/>
        <v>0</v>
      </c>
      <c r="I171" s="82">
        <f t="shared" si="11"/>
        <v>0</v>
      </c>
      <c r="J171" s="82">
        <f t="shared" si="11"/>
        <v>0</v>
      </c>
      <c r="K171" s="82">
        <f t="shared" si="11"/>
        <v>0</v>
      </c>
      <c r="L171" s="82">
        <f t="shared" si="11"/>
        <v>0</v>
      </c>
      <c r="M171" s="82">
        <f t="shared" si="11"/>
        <v>0</v>
      </c>
      <c r="N171" s="82">
        <f t="shared" si="11"/>
        <v>0</v>
      </c>
      <c r="O171" s="82">
        <f t="shared" si="11"/>
        <v>0</v>
      </c>
      <c r="P171" s="82">
        <f t="shared" si="11"/>
        <v>0</v>
      </c>
      <c r="Q171" s="82">
        <f t="shared" si="11"/>
        <v>0</v>
      </c>
      <c r="R171" s="82">
        <f t="shared" si="11"/>
        <v>0</v>
      </c>
      <c r="S171" s="82">
        <f t="shared" si="11"/>
        <v>0</v>
      </c>
      <c r="T171" s="82">
        <f t="shared" si="11"/>
        <v>0</v>
      </c>
      <c r="U171" s="82">
        <f t="shared" si="11"/>
        <v>0</v>
      </c>
      <c r="V171" s="82">
        <f t="shared" si="11"/>
        <v>0</v>
      </c>
      <c r="W171" s="82">
        <f>W145/W$165</f>
        <v>0</v>
      </c>
      <c r="X171" s="79">
        <f t="shared" si="13"/>
        <v>0</v>
      </c>
    </row>
    <row r="172" spans="5:24" x14ac:dyDescent="0.2">
      <c r="E172" s="13">
        <v>84</v>
      </c>
      <c r="F172" s="82">
        <f t="shared" si="12"/>
        <v>0</v>
      </c>
      <c r="G172" s="82">
        <f t="shared" si="11"/>
        <v>0</v>
      </c>
      <c r="H172" s="82">
        <f t="shared" si="11"/>
        <v>0</v>
      </c>
      <c r="I172" s="82">
        <f t="shared" si="11"/>
        <v>0</v>
      </c>
      <c r="J172" s="82">
        <f t="shared" si="11"/>
        <v>0</v>
      </c>
      <c r="K172" s="82">
        <f t="shared" si="11"/>
        <v>0</v>
      </c>
      <c r="L172" s="82">
        <f t="shared" si="11"/>
        <v>0</v>
      </c>
      <c r="M172" s="82">
        <f t="shared" si="11"/>
        <v>0</v>
      </c>
      <c r="N172" s="82">
        <f t="shared" si="11"/>
        <v>0.21372031662269128</v>
      </c>
      <c r="O172" s="82">
        <f t="shared" si="11"/>
        <v>0</v>
      </c>
      <c r="P172" s="82">
        <f t="shared" si="11"/>
        <v>0</v>
      </c>
      <c r="Q172" s="82">
        <f t="shared" si="11"/>
        <v>0</v>
      </c>
      <c r="R172" s="82">
        <f t="shared" si="11"/>
        <v>0.16901408450704225</v>
      </c>
      <c r="S172" s="82">
        <f t="shared" si="11"/>
        <v>0</v>
      </c>
      <c r="T172" s="82">
        <f t="shared" si="11"/>
        <v>0</v>
      </c>
      <c r="U172" s="82">
        <f t="shared" si="11"/>
        <v>0</v>
      </c>
      <c r="V172" s="82">
        <f t="shared" si="11"/>
        <v>0</v>
      </c>
      <c r="W172" s="82">
        <f>W146/W$165</f>
        <v>0</v>
      </c>
      <c r="X172" s="79">
        <f t="shared" si="13"/>
        <v>2.1263022284985198E-2</v>
      </c>
    </row>
    <row r="173" spans="5:24" x14ac:dyDescent="0.2">
      <c r="E173" s="13">
        <v>91</v>
      </c>
      <c r="F173" s="82">
        <f t="shared" si="12"/>
        <v>0</v>
      </c>
      <c r="G173" s="82">
        <f t="shared" si="11"/>
        <v>1.2949640287769784E-2</v>
      </c>
      <c r="H173" s="82">
        <f t="shared" si="11"/>
        <v>0.14853556485355648</v>
      </c>
      <c r="I173" s="82">
        <f t="shared" si="11"/>
        <v>0</v>
      </c>
      <c r="J173" s="82">
        <f t="shared" si="11"/>
        <v>0</v>
      </c>
      <c r="K173" s="82">
        <f t="shared" si="11"/>
        <v>0</v>
      </c>
      <c r="L173" s="82">
        <f t="shared" si="11"/>
        <v>0</v>
      </c>
      <c r="M173" s="82">
        <f t="shared" si="11"/>
        <v>0</v>
      </c>
      <c r="N173" s="82">
        <f t="shared" si="11"/>
        <v>0</v>
      </c>
      <c r="O173" s="82">
        <f t="shared" si="11"/>
        <v>0</v>
      </c>
      <c r="P173" s="82">
        <f t="shared" si="11"/>
        <v>0</v>
      </c>
      <c r="Q173" s="82">
        <f t="shared" si="11"/>
        <v>0</v>
      </c>
      <c r="R173" s="82">
        <f t="shared" si="11"/>
        <v>0</v>
      </c>
      <c r="S173" s="82">
        <f t="shared" si="11"/>
        <v>0.14386792452830188</v>
      </c>
      <c r="T173" s="82">
        <f t="shared" si="11"/>
        <v>0</v>
      </c>
      <c r="U173" s="82">
        <f t="shared" si="11"/>
        <v>0</v>
      </c>
      <c r="V173" s="82">
        <f t="shared" si="11"/>
        <v>0</v>
      </c>
      <c r="W173" s="82">
        <f>W147/W$165</f>
        <v>3.5591274397244549E-2</v>
      </c>
      <c r="X173" s="79">
        <f t="shared" si="13"/>
        <v>1.8941355781492926E-2</v>
      </c>
    </row>
    <row r="174" spans="5:24" x14ac:dyDescent="0.2">
      <c r="E174" s="13">
        <v>92</v>
      </c>
      <c r="F174" s="82">
        <f t="shared" si="12"/>
        <v>0</v>
      </c>
      <c r="G174" s="82">
        <f t="shared" si="11"/>
        <v>0</v>
      </c>
      <c r="H174" s="82">
        <f t="shared" si="11"/>
        <v>0</v>
      </c>
      <c r="I174" s="82">
        <f t="shared" si="11"/>
        <v>0</v>
      </c>
      <c r="J174" s="82">
        <f t="shared" si="11"/>
        <v>9.7421203438395415E-2</v>
      </c>
      <c r="K174" s="82">
        <f t="shared" si="11"/>
        <v>0</v>
      </c>
      <c r="L174" s="82">
        <f t="shared" si="11"/>
        <v>0.12189054726368159</v>
      </c>
      <c r="M174" s="82">
        <f t="shared" si="11"/>
        <v>0.39774983454665785</v>
      </c>
      <c r="N174" s="82">
        <f t="shared" si="11"/>
        <v>0.31926121372031663</v>
      </c>
      <c r="O174" s="82">
        <f t="shared" si="11"/>
        <v>0</v>
      </c>
      <c r="P174" s="82">
        <f t="shared" si="11"/>
        <v>0</v>
      </c>
      <c r="Q174" s="82">
        <f t="shared" si="11"/>
        <v>0</v>
      </c>
      <c r="R174" s="82">
        <f t="shared" si="11"/>
        <v>0</v>
      </c>
      <c r="S174" s="82">
        <f t="shared" si="11"/>
        <v>0</v>
      </c>
      <c r="T174" s="82">
        <f t="shared" si="11"/>
        <v>0.28027681660899656</v>
      </c>
      <c r="U174" s="82">
        <f t="shared" si="11"/>
        <v>1.5151515151515152E-2</v>
      </c>
      <c r="V174" s="82">
        <f t="shared" si="11"/>
        <v>5.4897739504843918E-2</v>
      </c>
      <c r="W174" s="82">
        <f>W148/W$165</f>
        <v>0.14466130884041331</v>
      </c>
      <c r="X174" s="79">
        <f t="shared" si="13"/>
        <v>7.9517232170823363E-2</v>
      </c>
    </row>
    <row r="175" spans="5:24" x14ac:dyDescent="0.2">
      <c r="E175" s="13">
        <v>93</v>
      </c>
      <c r="F175" s="82">
        <f t="shared" si="12"/>
        <v>0.1388888888888889</v>
      </c>
      <c r="G175" s="82">
        <f t="shared" ref="G175:W175" si="14">G149/G$165</f>
        <v>0.30071942446043165</v>
      </c>
      <c r="H175" s="82">
        <f t="shared" si="14"/>
        <v>0.83054393305439334</v>
      </c>
      <c r="I175" s="82">
        <f t="shared" si="14"/>
        <v>0</v>
      </c>
      <c r="J175" s="82">
        <f t="shared" si="14"/>
        <v>0</v>
      </c>
      <c r="K175" s="82">
        <f t="shared" si="14"/>
        <v>0.42957746478873238</v>
      </c>
      <c r="L175" s="82">
        <f t="shared" si="14"/>
        <v>0</v>
      </c>
      <c r="M175" s="82">
        <f t="shared" si="14"/>
        <v>0.57180675049635998</v>
      </c>
      <c r="N175" s="82">
        <f t="shared" si="14"/>
        <v>0</v>
      </c>
      <c r="O175" s="82">
        <f t="shared" si="14"/>
        <v>0.46701846965699206</v>
      </c>
      <c r="P175" s="82">
        <f t="shared" si="14"/>
        <v>9.9667774086378731E-3</v>
      </c>
      <c r="Q175" s="82">
        <f t="shared" si="14"/>
        <v>0.22714681440443213</v>
      </c>
      <c r="R175" s="82">
        <f t="shared" si="14"/>
        <v>0</v>
      </c>
      <c r="S175" s="82">
        <f t="shared" si="14"/>
        <v>0</v>
      </c>
      <c r="T175" s="82">
        <f t="shared" si="14"/>
        <v>0</v>
      </c>
      <c r="U175" s="82">
        <f t="shared" si="14"/>
        <v>0</v>
      </c>
      <c r="V175" s="82">
        <f t="shared" si="14"/>
        <v>0.29709364908503766</v>
      </c>
      <c r="W175" s="82">
        <f t="shared" si="14"/>
        <v>0.16417910447761194</v>
      </c>
      <c r="X175" s="79">
        <f t="shared" si="13"/>
        <v>0.19094118204008431</v>
      </c>
    </row>
    <row r="176" spans="5:24" x14ac:dyDescent="0.2">
      <c r="E176" s="13">
        <v>94</v>
      </c>
      <c r="F176" s="82">
        <f t="shared" si="12"/>
        <v>0</v>
      </c>
      <c r="G176" s="82">
        <f t="shared" si="11"/>
        <v>0.22877697841726619</v>
      </c>
      <c r="H176" s="82">
        <f t="shared" si="11"/>
        <v>0</v>
      </c>
      <c r="I176" s="82">
        <f t="shared" si="11"/>
        <v>0</v>
      </c>
      <c r="J176" s="82">
        <f t="shared" si="11"/>
        <v>0</v>
      </c>
      <c r="K176" s="82">
        <f t="shared" si="11"/>
        <v>0</v>
      </c>
      <c r="L176" s="82">
        <f t="shared" si="11"/>
        <v>0</v>
      </c>
      <c r="M176" s="82">
        <f t="shared" si="11"/>
        <v>0</v>
      </c>
      <c r="N176" s="82">
        <f t="shared" si="11"/>
        <v>0</v>
      </c>
      <c r="O176" s="82">
        <f t="shared" si="11"/>
        <v>0</v>
      </c>
      <c r="P176" s="82">
        <f t="shared" si="11"/>
        <v>0</v>
      </c>
      <c r="Q176" s="82">
        <f t="shared" si="11"/>
        <v>0.32132963988919666</v>
      </c>
      <c r="R176" s="82">
        <f t="shared" si="11"/>
        <v>0.69953051643192488</v>
      </c>
      <c r="S176" s="82">
        <f t="shared" si="11"/>
        <v>0.29009433962264153</v>
      </c>
      <c r="T176" s="82">
        <f t="shared" si="11"/>
        <v>0.3953287197231834</v>
      </c>
      <c r="U176" s="82">
        <f t="shared" si="11"/>
        <v>0.4</v>
      </c>
      <c r="V176" s="82">
        <f t="shared" si="11"/>
        <v>0.27771797631862216</v>
      </c>
      <c r="W176" s="82">
        <f t="shared" ref="W176:W190" si="15">W150/W$165</f>
        <v>0.22847301951779564</v>
      </c>
      <c r="X176" s="79">
        <f t="shared" si="13"/>
        <v>0.15784728832892389</v>
      </c>
    </row>
    <row r="177" spans="5:24" x14ac:dyDescent="0.2">
      <c r="E177" s="13">
        <v>101</v>
      </c>
      <c r="F177" s="82">
        <f t="shared" si="12"/>
        <v>0.77083333333333337</v>
      </c>
      <c r="G177" s="82">
        <f t="shared" si="11"/>
        <v>0.21582733812949639</v>
      </c>
      <c r="H177" s="82">
        <f t="shared" si="11"/>
        <v>0</v>
      </c>
      <c r="I177" s="82">
        <f t="shared" si="11"/>
        <v>7.636363636363637E-2</v>
      </c>
      <c r="J177" s="82">
        <f t="shared" si="11"/>
        <v>0.45081184336198665</v>
      </c>
      <c r="K177" s="82">
        <f t="shared" si="11"/>
        <v>0</v>
      </c>
      <c r="L177" s="82">
        <f t="shared" si="11"/>
        <v>0.87313432835820892</v>
      </c>
      <c r="M177" s="82">
        <f t="shared" si="11"/>
        <v>0</v>
      </c>
      <c r="N177" s="82">
        <f t="shared" si="11"/>
        <v>0.46174142480211083</v>
      </c>
      <c r="O177" s="82">
        <f t="shared" si="11"/>
        <v>0.42040457343887422</v>
      </c>
      <c r="P177" s="82">
        <f t="shared" si="11"/>
        <v>0</v>
      </c>
      <c r="Q177" s="82">
        <f t="shared" si="11"/>
        <v>0.21329639889196675</v>
      </c>
      <c r="R177" s="82">
        <f t="shared" si="11"/>
        <v>0</v>
      </c>
      <c r="S177" s="82">
        <f t="shared" si="11"/>
        <v>0.46933962264150941</v>
      </c>
      <c r="T177" s="82">
        <f t="shared" si="11"/>
        <v>0.28546712802768165</v>
      </c>
      <c r="U177" s="82">
        <f t="shared" si="11"/>
        <v>0.29848484848484846</v>
      </c>
      <c r="V177" s="82">
        <f t="shared" si="11"/>
        <v>0.21528525296017223</v>
      </c>
      <c r="W177" s="82">
        <f t="shared" si="15"/>
        <v>0.39839265212399538</v>
      </c>
      <c r="X177" s="79">
        <f t="shared" si="13"/>
        <v>0.28607679893987892</v>
      </c>
    </row>
    <row r="178" spans="5:24" x14ac:dyDescent="0.2">
      <c r="E178" s="13">
        <v>102</v>
      </c>
      <c r="F178" s="82">
        <f t="shared" si="12"/>
        <v>0</v>
      </c>
      <c r="G178" s="82">
        <f t="shared" si="11"/>
        <v>0.14676258992805755</v>
      </c>
      <c r="H178" s="82">
        <f t="shared" si="11"/>
        <v>0</v>
      </c>
      <c r="I178" s="82">
        <f t="shared" si="11"/>
        <v>0.85090909090909095</v>
      </c>
      <c r="J178" s="82">
        <f t="shared" si="11"/>
        <v>0.16236867239732569</v>
      </c>
      <c r="K178" s="82">
        <f t="shared" si="11"/>
        <v>0.5140845070422535</v>
      </c>
      <c r="L178" s="82">
        <f t="shared" si="11"/>
        <v>0</v>
      </c>
      <c r="M178" s="82">
        <f t="shared" si="11"/>
        <v>2.911978821972204E-2</v>
      </c>
      <c r="N178" s="82">
        <f t="shared" si="11"/>
        <v>0</v>
      </c>
      <c r="O178" s="82">
        <f t="shared" si="11"/>
        <v>0</v>
      </c>
      <c r="P178" s="82">
        <f t="shared" si="11"/>
        <v>0.9700996677740864</v>
      </c>
      <c r="Q178" s="82">
        <f t="shared" si="11"/>
        <v>6.9252077562326875E-2</v>
      </c>
      <c r="R178" s="82">
        <f t="shared" si="11"/>
        <v>6.1032863849765258E-2</v>
      </c>
      <c r="S178" s="82">
        <f t="shared" si="11"/>
        <v>0</v>
      </c>
      <c r="T178" s="82">
        <f t="shared" si="11"/>
        <v>0</v>
      </c>
      <c r="U178" s="82">
        <f t="shared" si="11"/>
        <v>0.25757575757575757</v>
      </c>
      <c r="V178" s="82">
        <f t="shared" si="11"/>
        <v>0.13562970936490851</v>
      </c>
      <c r="W178" s="82">
        <f t="shared" si="15"/>
        <v>0</v>
      </c>
      <c r="X178" s="79">
        <f t="shared" si="13"/>
        <v>0.17760192914573858</v>
      </c>
    </row>
    <row r="179" spans="5:24" x14ac:dyDescent="0.2">
      <c r="E179" s="13">
        <v>103</v>
      </c>
      <c r="F179" s="82">
        <f t="shared" si="12"/>
        <v>8.6805555555555552E-2</v>
      </c>
      <c r="G179" s="82">
        <f t="shared" si="11"/>
        <v>0</v>
      </c>
      <c r="H179" s="82">
        <f t="shared" si="11"/>
        <v>6.2761506276150627E-3</v>
      </c>
      <c r="I179" s="82">
        <f t="shared" si="11"/>
        <v>0</v>
      </c>
      <c r="J179" s="82">
        <f t="shared" si="11"/>
        <v>0.21872015281757401</v>
      </c>
      <c r="K179" s="82">
        <f t="shared" si="11"/>
        <v>0</v>
      </c>
      <c r="L179" s="82">
        <f t="shared" si="11"/>
        <v>0</v>
      </c>
      <c r="M179" s="82">
        <f t="shared" si="11"/>
        <v>0</v>
      </c>
      <c r="N179" s="82">
        <f t="shared" si="11"/>
        <v>0</v>
      </c>
      <c r="O179" s="82">
        <f t="shared" si="11"/>
        <v>0.1090589270008795</v>
      </c>
      <c r="P179" s="82">
        <f t="shared" si="11"/>
        <v>0</v>
      </c>
      <c r="Q179" s="82">
        <f t="shared" si="11"/>
        <v>9.6952908587257622E-2</v>
      </c>
      <c r="R179" s="82">
        <f t="shared" si="11"/>
        <v>4.6948356807511735E-2</v>
      </c>
      <c r="S179" s="82">
        <f t="shared" si="11"/>
        <v>6.8396226415094338E-2</v>
      </c>
      <c r="T179" s="82">
        <f t="shared" si="11"/>
        <v>0</v>
      </c>
      <c r="U179" s="82">
        <f t="shared" si="11"/>
        <v>2.5757575757575757E-2</v>
      </c>
      <c r="V179" s="82">
        <f t="shared" si="11"/>
        <v>1.5069967707212056E-2</v>
      </c>
      <c r="W179" s="82">
        <f t="shared" si="15"/>
        <v>0</v>
      </c>
      <c r="X179" s="79">
        <f t="shared" si="13"/>
        <v>3.7443656737570864E-2</v>
      </c>
    </row>
    <row r="180" spans="5:24" x14ac:dyDescent="0.2">
      <c r="E180" s="13">
        <v>104</v>
      </c>
      <c r="F180" s="82">
        <f t="shared" si="12"/>
        <v>0</v>
      </c>
      <c r="G180" s="82">
        <f t="shared" si="11"/>
        <v>3.5971223021582732E-2</v>
      </c>
      <c r="H180" s="82">
        <f t="shared" si="11"/>
        <v>1.0460251046025104E-2</v>
      </c>
      <c r="I180" s="82">
        <f t="shared" si="11"/>
        <v>6.1818181818181821E-2</v>
      </c>
      <c r="J180" s="82">
        <f t="shared" si="11"/>
        <v>4.775549188156638E-2</v>
      </c>
      <c r="K180" s="82">
        <f t="shared" si="11"/>
        <v>0</v>
      </c>
      <c r="L180" s="82">
        <f t="shared" si="11"/>
        <v>0</v>
      </c>
      <c r="M180" s="82">
        <f t="shared" si="11"/>
        <v>0</v>
      </c>
      <c r="N180" s="82">
        <f t="shared" si="11"/>
        <v>0</v>
      </c>
      <c r="O180" s="82">
        <f t="shared" si="11"/>
        <v>0</v>
      </c>
      <c r="P180" s="82">
        <f t="shared" si="11"/>
        <v>1.3289036544850499E-2</v>
      </c>
      <c r="Q180" s="82">
        <f t="shared" si="11"/>
        <v>5.5401662049861494E-2</v>
      </c>
      <c r="R180" s="82">
        <f t="shared" si="11"/>
        <v>2.3474178403755867E-2</v>
      </c>
      <c r="S180" s="82">
        <f t="shared" si="11"/>
        <v>2.8301886792452831E-2</v>
      </c>
      <c r="T180" s="82">
        <f t="shared" si="11"/>
        <v>3.7197231833910036E-2</v>
      </c>
      <c r="U180" s="82">
        <f t="shared" si="11"/>
        <v>0</v>
      </c>
      <c r="V180" s="82">
        <f t="shared" si="11"/>
        <v>0</v>
      </c>
      <c r="W180" s="82">
        <f t="shared" si="15"/>
        <v>2.8702640642939151E-2</v>
      </c>
      <c r="X180" s="79">
        <f t="shared" si="13"/>
        <v>1.902065466861811E-2</v>
      </c>
    </row>
    <row r="181" spans="5:24" x14ac:dyDescent="0.2">
      <c r="E181" s="13">
        <v>105</v>
      </c>
      <c r="F181" s="82">
        <f t="shared" si="12"/>
        <v>3.472222222222222E-3</v>
      </c>
      <c r="G181" s="82">
        <f t="shared" si="11"/>
        <v>2.8776978417266189E-2</v>
      </c>
      <c r="H181" s="82">
        <f t="shared" si="11"/>
        <v>0</v>
      </c>
      <c r="I181" s="82">
        <f t="shared" si="11"/>
        <v>0</v>
      </c>
      <c r="J181" s="82">
        <f t="shared" si="11"/>
        <v>0</v>
      </c>
      <c r="K181" s="82">
        <f t="shared" si="11"/>
        <v>4.9295774647887321E-2</v>
      </c>
      <c r="L181" s="82">
        <f t="shared" si="11"/>
        <v>0</v>
      </c>
      <c r="M181" s="82">
        <f t="shared" si="11"/>
        <v>1.3236267372600927E-3</v>
      </c>
      <c r="N181" s="82">
        <f t="shared" si="11"/>
        <v>5.2770448548812663E-3</v>
      </c>
      <c r="O181" s="82">
        <f t="shared" si="11"/>
        <v>3.5180299032541778E-3</v>
      </c>
      <c r="P181" s="82">
        <f t="shared" si="11"/>
        <v>0</v>
      </c>
      <c r="Q181" s="82">
        <f t="shared" si="11"/>
        <v>1.3850415512465374E-2</v>
      </c>
      <c r="R181" s="82">
        <f t="shared" si="11"/>
        <v>0</v>
      </c>
      <c r="S181" s="82">
        <f t="shared" si="11"/>
        <v>0</v>
      </c>
      <c r="T181" s="82">
        <f t="shared" si="11"/>
        <v>1.7301038062283738E-3</v>
      </c>
      <c r="U181" s="82">
        <f t="shared" si="11"/>
        <v>3.0303030303030303E-3</v>
      </c>
      <c r="V181" s="82">
        <f t="shared" si="11"/>
        <v>1.076426264800861E-3</v>
      </c>
      <c r="W181" s="82">
        <f t="shared" si="15"/>
        <v>0</v>
      </c>
      <c r="X181" s="79">
        <f t="shared" si="13"/>
        <v>6.1861625220316066E-3</v>
      </c>
    </row>
    <row r="182" spans="5:24" x14ac:dyDescent="0.2">
      <c r="E182" s="13">
        <v>111</v>
      </c>
      <c r="F182" s="82">
        <f t="shared" si="12"/>
        <v>0</v>
      </c>
      <c r="G182" s="82">
        <f t="shared" si="11"/>
        <v>1.9424460431654675E-2</v>
      </c>
      <c r="H182" s="82">
        <f t="shared" si="11"/>
        <v>4.1841004184100415E-3</v>
      </c>
      <c r="I182" s="82">
        <f t="shared" si="11"/>
        <v>0</v>
      </c>
      <c r="J182" s="82">
        <f t="shared" si="11"/>
        <v>2.1012416427889206E-2</v>
      </c>
      <c r="K182" s="82">
        <f t="shared" si="11"/>
        <v>0</v>
      </c>
      <c r="L182" s="82">
        <f t="shared" si="11"/>
        <v>0</v>
      </c>
      <c r="M182" s="82">
        <f t="shared" si="11"/>
        <v>0</v>
      </c>
      <c r="N182" s="82">
        <f t="shared" si="11"/>
        <v>0</v>
      </c>
      <c r="O182" s="82">
        <f t="shared" si="11"/>
        <v>0</v>
      </c>
      <c r="P182" s="82">
        <f t="shared" si="11"/>
        <v>0</v>
      </c>
      <c r="Q182" s="82">
        <f t="shared" si="11"/>
        <v>0</v>
      </c>
      <c r="R182" s="82">
        <f t="shared" si="11"/>
        <v>0</v>
      </c>
      <c r="S182" s="82">
        <f t="shared" si="11"/>
        <v>0</v>
      </c>
      <c r="T182" s="82">
        <f t="shared" si="11"/>
        <v>0</v>
      </c>
      <c r="U182" s="82">
        <f t="shared" si="11"/>
        <v>0</v>
      </c>
      <c r="V182" s="82">
        <f t="shared" si="11"/>
        <v>0</v>
      </c>
      <c r="W182" s="82">
        <f t="shared" si="15"/>
        <v>0</v>
      </c>
      <c r="X182" s="79">
        <f t="shared" si="13"/>
        <v>2.4789431821085513E-3</v>
      </c>
    </row>
    <row r="183" spans="5:24" x14ac:dyDescent="0.2">
      <c r="E183" s="13">
        <v>112</v>
      </c>
      <c r="F183" s="82">
        <f t="shared" si="12"/>
        <v>0</v>
      </c>
      <c r="G183" s="82">
        <f t="shared" si="11"/>
        <v>0</v>
      </c>
      <c r="H183" s="82">
        <f t="shared" si="11"/>
        <v>0</v>
      </c>
      <c r="I183" s="82">
        <f t="shared" si="11"/>
        <v>1.090909090909091E-2</v>
      </c>
      <c r="J183" s="82">
        <f t="shared" si="11"/>
        <v>0</v>
      </c>
      <c r="K183" s="82">
        <f t="shared" si="11"/>
        <v>7.0422535211267607E-3</v>
      </c>
      <c r="L183" s="82">
        <f t="shared" si="11"/>
        <v>0</v>
      </c>
      <c r="M183" s="82">
        <f t="shared" si="11"/>
        <v>0</v>
      </c>
      <c r="N183" s="82">
        <f t="shared" si="11"/>
        <v>0</v>
      </c>
      <c r="O183" s="82">
        <f t="shared" si="11"/>
        <v>0</v>
      </c>
      <c r="P183" s="82">
        <f t="shared" si="11"/>
        <v>0</v>
      </c>
      <c r="Q183" s="82">
        <f t="shared" si="11"/>
        <v>2.7700831024930748E-3</v>
      </c>
      <c r="R183" s="82">
        <f t="shared" si="11"/>
        <v>0</v>
      </c>
      <c r="S183" s="82">
        <f t="shared" si="11"/>
        <v>0</v>
      </c>
      <c r="T183" s="82">
        <f t="shared" si="11"/>
        <v>0</v>
      </c>
      <c r="U183" s="82">
        <f t="shared" si="11"/>
        <v>0</v>
      </c>
      <c r="V183" s="82">
        <f t="shared" si="11"/>
        <v>0</v>
      </c>
      <c r="W183" s="82">
        <f t="shared" si="15"/>
        <v>0</v>
      </c>
      <c r="X183" s="79">
        <f t="shared" si="13"/>
        <v>1.1511904184839305E-3</v>
      </c>
    </row>
    <row r="184" spans="5:24" x14ac:dyDescent="0.2">
      <c r="E184" s="13">
        <v>113</v>
      </c>
      <c r="F184" s="82">
        <f t="shared" si="12"/>
        <v>0</v>
      </c>
      <c r="G184" s="82">
        <f t="shared" si="11"/>
        <v>1.0791366906474821E-2</v>
      </c>
      <c r="H184" s="82">
        <f t="shared" si="11"/>
        <v>0</v>
      </c>
      <c r="I184" s="82">
        <f t="shared" si="11"/>
        <v>0</v>
      </c>
      <c r="J184" s="82">
        <f t="shared" si="11"/>
        <v>0</v>
      </c>
      <c r="K184" s="82">
        <f t="shared" si="11"/>
        <v>0</v>
      </c>
      <c r="L184" s="82">
        <f t="shared" si="11"/>
        <v>0</v>
      </c>
      <c r="M184" s="82">
        <f t="shared" si="11"/>
        <v>0</v>
      </c>
      <c r="N184" s="82">
        <f t="shared" si="11"/>
        <v>0</v>
      </c>
      <c r="O184" s="82">
        <f t="shared" si="11"/>
        <v>0</v>
      </c>
      <c r="P184" s="82">
        <f t="shared" si="11"/>
        <v>0</v>
      </c>
      <c r="Q184" s="82">
        <f t="shared" si="11"/>
        <v>0</v>
      </c>
      <c r="R184" s="82">
        <f t="shared" si="11"/>
        <v>0</v>
      </c>
      <c r="S184" s="82">
        <f t="shared" si="11"/>
        <v>0</v>
      </c>
      <c r="T184" s="82">
        <f t="shared" si="11"/>
        <v>0</v>
      </c>
      <c r="U184" s="82">
        <f t="shared" si="11"/>
        <v>0</v>
      </c>
      <c r="V184" s="82">
        <f t="shared" si="11"/>
        <v>3.2292787944025836E-3</v>
      </c>
      <c r="W184" s="82">
        <f t="shared" si="15"/>
        <v>0</v>
      </c>
      <c r="X184" s="79">
        <f t="shared" si="13"/>
        <v>7.7892476115985581E-4</v>
      </c>
    </row>
    <row r="185" spans="5:24" x14ac:dyDescent="0.2">
      <c r="E185" s="13">
        <v>114</v>
      </c>
      <c r="F185" s="82">
        <f t="shared" si="12"/>
        <v>0</v>
      </c>
      <c r="G185" s="82">
        <f t="shared" ref="G185:V190" si="16">G159/G$165</f>
        <v>0</v>
      </c>
      <c r="H185" s="82">
        <f t="shared" si="16"/>
        <v>0</v>
      </c>
      <c r="I185" s="82">
        <f t="shared" si="16"/>
        <v>0</v>
      </c>
      <c r="J185" s="82">
        <f t="shared" si="16"/>
        <v>1.9102196752626551E-3</v>
      </c>
      <c r="K185" s="82">
        <f t="shared" si="16"/>
        <v>0</v>
      </c>
      <c r="L185" s="82">
        <f t="shared" si="16"/>
        <v>4.9751243781094526E-3</v>
      </c>
      <c r="M185" s="82">
        <f t="shared" si="16"/>
        <v>0</v>
      </c>
      <c r="N185" s="82">
        <f t="shared" si="16"/>
        <v>0</v>
      </c>
      <c r="O185" s="82">
        <f t="shared" si="16"/>
        <v>0</v>
      </c>
      <c r="P185" s="82">
        <f t="shared" si="16"/>
        <v>0</v>
      </c>
      <c r="Q185" s="82">
        <f t="shared" si="16"/>
        <v>0</v>
      </c>
      <c r="R185" s="82">
        <f t="shared" si="16"/>
        <v>0</v>
      </c>
      <c r="S185" s="82">
        <f t="shared" si="16"/>
        <v>0</v>
      </c>
      <c r="T185" s="82">
        <f t="shared" si="16"/>
        <v>0</v>
      </c>
      <c r="U185" s="82">
        <f t="shared" si="16"/>
        <v>0</v>
      </c>
      <c r="V185" s="82">
        <f t="shared" si="16"/>
        <v>0</v>
      </c>
      <c r="W185" s="82">
        <f t="shared" si="15"/>
        <v>0</v>
      </c>
      <c r="X185" s="79">
        <f t="shared" si="13"/>
        <v>3.8251911407622823E-4</v>
      </c>
    </row>
    <row r="186" spans="5:24" x14ac:dyDescent="0.2">
      <c r="E186" s="13">
        <v>115</v>
      </c>
      <c r="F186" s="82">
        <f t="shared" si="12"/>
        <v>0</v>
      </c>
      <c r="G186" s="82">
        <f t="shared" si="16"/>
        <v>0</v>
      </c>
      <c r="H186" s="82">
        <f t="shared" si="16"/>
        <v>0</v>
      </c>
      <c r="I186" s="82">
        <f t="shared" si="16"/>
        <v>0</v>
      </c>
      <c r="J186" s="82">
        <f t="shared" si="16"/>
        <v>0</v>
      </c>
      <c r="K186" s="82">
        <f t="shared" si="16"/>
        <v>0</v>
      </c>
      <c r="L186" s="82">
        <f t="shared" si="16"/>
        <v>0</v>
      </c>
      <c r="M186" s="82">
        <f t="shared" si="16"/>
        <v>0</v>
      </c>
      <c r="N186" s="82">
        <f t="shared" si="16"/>
        <v>0</v>
      </c>
      <c r="O186" s="82">
        <f t="shared" si="16"/>
        <v>0</v>
      </c>
      <c r="P186" s="82">
        <f t="shared" si="16"/>
        <v>0</v>
      </c>
      <c r="Q186" s="82">
        <f t="shared" si="16"/>
        <v>0</v>
      </c>
      <c r="R186" s="82">
        <f t="shared" si="16"/>
        <v>0</v>
      </c>
      <c r="S186" s="82">
        <f t="shared" si="16"/>
        <v>0</v>
      </c>
      <c r="T186" s="82">
        <f t="shared" si="16"/>
        <v>0</v>
      </c>
      <c r="U186" s="82">
        <f t="shared" si="16"/>
        <v>0</v>
      </c>
      <c r="V186" s="82">
        <f t="shared" si="16"/>
        <v>0</v>
      </c>
      <c r="W186" s="82">
        <f t="shared" si="15"/>
        <v>0</v>
      </c>
      <c r="X186" s="79">
        <f t="shared" si="13"/>
        <v>0</v>
      </c>
    </row>
    <row r="187" spans="5:24" x14ac:dyDescent="0.2">
      <c r="E187" s="13">
        <v>121</v>
      </c>
      <c r="F187" s="82">
        <f t="shared" si="12"/>
        <v>0</v>
      </c>
      <c r="G187" s="82">
        <f t="shared" si="16"/>
        <v>0</v>
      </c>
      <c r="H187" s="82">
        <f t="shared" si="16"/>
        <v>0</v>
      </c>
      <c r="I187" s="82">
        <f t="shared" si="16"/>
        <v>0</v>
      </c>
      <c r="J187" s="82">
        <f t="shared" si="16"/>
        <v>0</v>
      </c>
      <c r="K187" s="82">
        <f t="shared" si="16"/>
        <v>0</v>
      </c>
      <c r="L187" s="82">
        <f t="shared" si="16"/>
        <v>0</v>
      </c>
      <c r="M187" s="82">
        <f t="shared" si="16"/>
        <v>0</v>
      </c>
      <c r="N187" s="82">
        <f t="shared" si="16"/>
        <v>0</v>
      </c>
      <c r="O187" s="82">
        <f t="shared" si="16"/>
        <v>0</v>
      </c>
      <c r="P187" s="82">
        <f t="shared" si="16"/>
        <v>6.6445182724252493E-3</v>
      </c>
      <c r="Q187" s="82">
        <f t="shared" si="16"/>
        <v>0</v>
      </c>
      <c r="R187" s="82">
        <f t="shared" si="16"/>
        <v>0</v>
      </c>
      <c r="S187" s="82">
        <f t="shared" si="16"/>
        <v>0</v>
      </c>
      <c r="T187" s="82">
        <f t="shared" si="16"/>
        <v>0</v>
      </c>
      <c r="U187" s="82">
        <f t="shared" si="16"/>
        <v>0</v>
      </c>
      <c r="V187" s="82">
        <f t="shared" si="16"/>
        <v>0</v>
      </c>
      <c r="W187" s="82">
        <f t="shared" si="15"/>
        <v>0</v>
      </c>
      <c r="X187" s="79">
        <f t="shared" si="13"/>
        <v>3.6913990402362494E-4</v>
      </c>
    </row>
    <row r="188" spans="5:24" x14ac:dyDescent="0.2">
      <c r="E188" s="13">
        <v>122</v>
      </c>
      <c r="F188" s="82">
        <f t="shared" si="12"/>
        <v>0</v>
      </c>
      <c r="G188" s="82">
        <f t="shared" si="16"/>
        <v>0</v>
      </c>
      <c r="H188" s="82">
        <f t="shared" si="16"/>
        <v>0</v>
      </c>
      <c r="I188" s="82">
        <f t="shared" si="16"/>
        <v>0</v>
      </c>
      <c r="J188" s="82">
        <f t="shared" si="16"/>
        <v>0</v>
      </c>
      <c r="K188" s="82">
        <f t="shared" si="16"/>
        <v>0</v>
      </c>
      <c r="L188" s="82">
        <f t="shared" si="16"/>
        <v>0</v>
      </c>
      <c r="M188" s="82">
        <f t="shared" si="16"/>
        <v>0</v>
      </c>
      <c r="N188" s="82">
        <f t="shared" si="16"/>
        <v>0</v>
      </c>
      <c r="O188" s="82">
        <f t="shared" si="16"/>
        <v>0</v>
      </c>
      <c r="P188" s="82">
        <f t="shared" si="16"/>
        <v>0</v>
      </c>
      <c r="Q188" s="82">
        <f t="shared" si="16"/>
        <v>0</v>
      </c>
      <c r="R188" s="82">
        <f t="shared" si="16"/>
        <v>0</v>
      </c>
      <c r="S188" s="82">
        <f t="shared" si="16"/>
        <v>0</v>
      </c>
      <c r="T188" s="82">
        <f t="shared" si="16"/>
        <v>0</v>
      </c>
      <c r="U188" s="82">
        <f t="shared" si="16"/>
        <v>0</v>
      </c>
      <c r="V188" s="82">
        <f t="shared" si="16"/>
        <v>0</v>
      </c>
      <c r="W188" s="82">
        <f t="shared" si="15"/>
        <v>0</v>
      </c>
      <c r="X188" s="79">
        <f t="shared" si="13"/>
        <v>0</v>
      </c>
    </row>
    <row r="189" spans="5:24" x14ac:dyDescent="0.2">
      <c r="E189" s="13">
        <v>123</v>
      </c>
      <c r="F189" s="82">
        <f t="shared" si="12"/>
        <v>0</v>
      </c>
      <c r="G189" s="82">
        <f t="shared" si="16"/>
        <v>0</v>
      </c>
      <c r="H189" s="82">
        <f t="shared" si="16"/>
        <v>0</v>
      </c>
      <c r="I189" s="82">
        <f t="shared" si="16"/>
        <v>0</v>
      </c>
      <c r="J189" s="82">
        <f t="shared" si="16"/>
        <v>0</v>
      </c>
      <c r="K189" s="82">
        <f t="shared" si="16"/>
        <v>0</v>
      </c>
      <c r="L189" s="82">
        <f t="shared" si="16"/>
        <v>0</v>
      </c>
      <c r="M189" s="82">
        <f t="shared" si="16"/>
        <v>0</v>
      </c>
      <c r="N189" s="82">
        <f t="shared" si="16"/>
        <v>0</v>
      </c>
      <c r="O189" s="82">
        <f t="shared" si="16"/>
        <v>0</v>
      </c>
      <c r="P189" s="82">
        <f t="shared" si="16"/>
        <v>0</v>
      </c>
      <c r="Q189" s="82">
        <f t="shared" si="16"/>
        <v>0</v>
      </c>
      <c r="R189" s="82">
        <f t="shared" si="16"/>
        <v>0</v>
      </c>
      <c r="S189" s="82">
        <f t="shared" si="16"/>
        <v>0</v>
      </c>
      <c r="T189" s="82">
        <f t="shared" si="16"/>
        <v>0</v>
      </c>
      <c r="U189" s="82">
        <f t="shared" si="16"/>
        <v>0</v>
      </c>
      <c r="V189" s="82">
        <f t="shared" si="16"/>
        <v>0</v>
      </c>
      <c r="W189" s="82">
        <f t="shared" si="15"/>
        <v>0</v>
      </c>
      <c r="X189" s="79">
        <f t="shared" si="13"/>
        <v>0</v>
      </c>
    </row>
    <row r="190" spans="5:24" x14ac:dyDescent="0.2">
      <c r="E190" s="13">
        <v>124</v>
      </c>
      <c r="F190" s="82">
        <f t="shared" si="12"/>
        <v>0</v>
      </c>
      <c r="G190" s="82">
        <f t="shared" si="16"/>
        <v>0</v>
      </c>
      <c r="H190" s="82">
        <f t="shared" si="16"/>
        <v>0</v>
      </c>
      <c r="I190" s="82">
        <f t="shared" si="16"/>
        <v>0</v>
      </c>
      <c r="J190" s="82">
        <f t="shared" si="16"/>
        <v>0</v>
      </c>
      <c r="K190" s="82">
        <f t="shared" si="16"/>
        <v>0</v>
      </c>
      <c r="L190" s="82">
        <f t="shared" si="16"/>
        <v>0</v>
      </c>
      <c r="M190" s="82">
        <f t="shared" si="16"/>
        <v>0</v>
      </c>
      <c r="N190" s="82">
        <f t="shared" si="16"/>
        <v>0</v>
      </c>
      <c r="O190" s="82">
        <f t="shared" si="16"/>
        <v>0</v>
      </c>
      <c r="P190" s="82">
        <f t="shared" si="16"/>
        <v>0</v>
      </c>
      <c r="Q190" s="82">
        <f t="shared" si="16"/>
        <v>0</v>
      </c>
      <c r="R190" s="82">
        <f t="shared" si="16"/>
        <v>0</v>
      </c>
      <c r="S190" s="82">
        <f t="shared" si="16"/>
        <v>0</v>
      </c>
      <c r="T190" s="82">
        <f t="shared" si="16"/>
        <v>0</v>
      </c>
      <c r="U190" s="82">
        <f t="shared" si="16"/>
        <v>0</v>
      </c>
      <c r="V190" s="82">
        <f t="shared" si="16"/>
        <v>0</v>
      </c>
      <c r="W190" s="82">
        <f t="shared" si="15"/>
        <v>0</v>
      </c>
      <c r="X190" s="79">
        <f t="shared" si="13"/>
        <v>0</v>
      </c>
    </row>
    <row r="192" spans="5:24" x14ac:dyDescent="0.2">
      <c r="E192" s="2" t="s">
        <v>65</v>
      </c>
    </row>
    <row r="194" spans="5:24" x14ac:dyDescent="0.2">
      <c r="F194" s="1">
        <v>1995</v>
      </c>
      <c r="G194" s="1">
        <v>1996</v>
      </c>
      <c r="H194" s="1">
        <v>1997</v>
      </c>
      <c r="I194" s="1">
        <v>1998</v>
      </c>
      <c r="J194" s="1">
        <v>1999</v>
      </c>
      <c r="K194" s="1">
        <v>2000</v>
      </c>
      <c r="L194" s="1">
        <v>2001</v>
      </c>
      <c r="M194" s="1">
        <v>2002</v>
      </c>
      <c r="N194" s="1">
        <v>2003</v>
      </c>
      <c r="O194" s="1">
        <v>2004</v>
      </c>
      <c r="P194" s="1">
        <v>2005</v>
      </c>
      <c r="Q194" s="1">
        <v>2006</v>
      </c>
      <c r="R194" s="1">
        <v>2007</v>
      </c>
      <c r="S194" s="13">
        <v>2008</v>
      </c>
      <c r="T194" s="13">
        <v>2009</v>
      </c>
      <c r="U194" s="13">
        <v>2010</v>
      </c>
      <c r="V194" s="13">
        <v>2011</v>
      </c>
      <c r="W194" s="2" t="s">
        <v>61</v>
      </c>
    </row>
    <row r="195" spans="5:24" x14ac:dyDescent="0.2">
      <c r="E195" s="80" t="s">
        <v>66</v>
      </c>
      <c r="F195" s="2">
        <f>F169</f>
        <v>0</v>
      </c>
      <c r="G195" s="2">
        <f t="shared" ref="G195:V195" si="17">G169</f>
        <v>0</v>
      </c>
      <c r="H195" s="2">
        <f t="shared" si="17"/>
        <v>0</v>
      </c>
      <c r="I195" s="2">
        <f t="shared" si="17"/>
        <v>0</v>
      </c>
      <c r="J195" s="2">
        <f t="shared" si="17"/>
        <v>0</v>
      </c>
      <c r="K195" s="2">
        <f t="shared" si="17"/>
        <v>0</v>
      </c>
      <c r="L195" s="2">
        <f t="shared" si="17"/>
        <v>0</v>
      </c>
      <c r="M195" s="2">
        <f t="shared" si="17"/>
        <v>0</v>
      </c>
      <c r="N195" s="2">
        <f t="shared" si="17"/>
        <v>0</v>
      </c>
      <c r="O195" s="2">
        <f t="shared" si="17"/>
        <v>0</v>
      </c>
      <c r="P195" s="2">
        <f t="shared" si="17"/>
        <v>0</v>
      </c>
      <c r="Q195" s="2">
        <f t="shared" si="17"/>
        <v>0</v>
      </c>
      <c r="R195" s="2">
        <f t="shared" si="17"/>
        <v>0</v>
      </c>
      <c r="S195" s="2">
        <f t="shared" si="17"/>
        <v>0</v>
      </c>
      <c r="T195" s="2">
        <f t="shared" si="17"/>
        <v>0</v>
      </c>
      <c r="U195" s="2">
        <f t="shared" si="17"/>
        <v>0</v>
      </c>
      <c r="V195" s="2">
        <f t="shared" si="17"/>
        <v>0</v>
      </c>
      <c r="W195" s="2">
        <f>AVERAGE(F195:V195)</f>
        <v>0</v>
      </c>
    </row>
    <row r="196" spans="5:24" x14ac:dyDescent="0.2">
      <c r="E196" s="80" t="s">
        <v>67</v>
      </c>
      <c r="F196" s="6">
        <f>F195+F170</f>
        <v>0</v>
      </c>
      <c r="G196" s="6">
        <f t="shared" ref="G196:V196" si="18">G195+G170</f>
        <v>0</v>
      </c>
      <c r="H196" s="6">
        <f t="shared" si="18"/>
        <v>0</v>
      </c>
      <c r="I196" s="6">
        <f t="shared" si="18"/>
        <v>0</v>
      </c>
      <c r="J196" s="6">
        <f t="shared" si="18"/>
        <v>0</v>
      </c>
      <c r="K196" s="6">
        <f t="shared" si="18"/>
        <v>0</v>
      </c>
      <c r="L196" s="6">
        <f t="shared" si="18"/>
        <v>0</v>
      </c>
      <c r="M196" s="6">
        <f t="shared" si="18"/>
        <v>0</v>
      </c>
      <c r="N196" s="6">
        <f t="shared" si="18"/>
        <v>0</v>
      </c>
      <c r="O196" s="6">
        <f t="shared" si="18"/>
        <v>0</v>
      </c>
      <c r="P196" s="6">
        <f t="shared" si="18"/>
        <v>0</v>
      </c>
      <c r="Q196" s="6">
        <f t="shared" si="18"/>
        <v>0</v>
      </c>
      <c r="R196" s="6">
        <f t="shared" si="18"/>
        <v>0</v>
      </c>
      <c r="S196" s="6">
        <f t="shared" si="18"/>
        <v>0</v>
      </c>
      <c r="T196" s="6">
        <f t="shared" si="18"/>
        <v>0</v>
      </c>
      <c r="U196" s="6">
        <f t="shared" si="18"/>
        <v>0</v>
      </c>
      <c r="V196" s="6">
        <f t="shared" si="18"/>
        <v>0</v>
      </c>
      <c r="W196" s="2">
        <f t="shared" ref="W196:W216" si="19">AVERAGE(F196:V196)</f>
        <v>0</v>
      </c>
    </row>
    <row r="197" spans="5:24" x14ac:dyDescent="0.2">
      <c r="E197" s="80" t="s">
        <v>68</v>
      </c>
      <c r="F197" s="6">
        <f t="shared" ref="F197:F216" si="20">F196+F171</f>
        <v>0</v>
      </c>
      <c r="G197" s="6">
        <f t="shared" ref="G197:G216" si="21">G196+G171</f>
        <v>0</v>
      </c>
      <c r="H197" s="6">
        <f t="shared" ref="H197:H216" si="22">H196+H171</f>
        <v>0</v>
      </c>
      <c r="I197" s="6">
        <f t="shared" ref="I197:I216" si="23">I196+I171</f>
        <v>0</v>
      </c>
      <c r="J197" s="6">
        <f t="shared" ref="J197:J216" si="24">J196+J171</f>
        <v>0</v>
      </c>
      <c r="K197" s="6">
        <f t="shared" ref="K197:K216" si="25">K196+K171</f>
        <v>0</v>
      </c>
      <c r="L197" s="6">
        <f t="shared" ref="L197:L216" si="26">L196+L171</f>
        <v>0</v>
      </c>
      <c r="M197" s="6">
        <f t="shared" ref="M197:M216" si="27">M196+M171</f>
        <v>0</v>
      </c>
      <c r="N197" s="6">
        <f t="shared" ref="N197:N216" si="28">N196+N171</f>
        <v>0</v>
      </c>
      <c r="O197" s="6">
        <f t="shared" ref="O197:O216" si="29">O196+O171</f>
        <v>0</v>
      </c>
      <c r="P197" s="6">
        <f t="shared" ref="P197:P216" si="30">P196+P171</f>
        <v>0</v>
      </c>
      <c r="Q197" s="6">
        <f t="shared" ref="Q197:Q216" si="31">Q196+Q171</f>
        <v>0</v>
      </c>
      <c r="R197" s="6">
        <f t="shared" ref="R197:R216" si="32">R196+R171</f>
        <v>0</v>
      </c>
      <c r="S197" s="6">
        <f t="shared" ref="S197:S216" si="33">S196+S171</f>
        <v>0</v>
      </c>
      <c r="T197" s="6">
        <f t="shared" ref="T197:T216" si="34">T196+T171</f>
        <v>0</v>
      </c>
      <c r="U197" s="6">
        <f t="shared" ref="U197:U216" si="35">U196+U171</f>
        <v>0</v>
      </c>
      <c r="V197" s="6">
        <f t="shared" ref="V197:V216" si="36">V196+V171</f>
        <v>0</v>
      </c>
      <c r="W197" s="2">
        <f t="shared" si="19"/>
        <v>0</v>
      </c>
    </row>
    <row r="198" spans="5:24" x14ac:dyDescent="0.2">
      <c r="E198" s="80" t="s">
        <v>69</v>
      </c>
      <c r="F198" s="6">
        <f t="shared" si="20"/>
        <v>0</v>
      </c>
      <c r="G198" s="6">
        <f t="shared" si="21"/>
        <v>0</v>
      </c>
      <c r="H198" s="6">
        <f t="shared" si="22"/>
        <v>0</v>
      </c>
      <c r="I198" s="6">
        <f t="shared" si="23"/>
        <v>0</v>
      </c>
      <c r="J198" s="6">
        <f t="shared" si="24"/>
        <v>0</v>
      </c>
      <c r="K198" s="6">
        <f t="shared" si="25"/>
        <v>0</v>
      </c>
      <c r="L198" s="6">
        <f t="shared" si="26"/>
        <v>0</v>
      </c>
      <c r="M198" s="6">
        <f t="shared" si="27"/>
        <v>0</v>
      </c>
      <c r="N198" s="6">
        <f t="shared" si="28"/>
        <v>0.21372031662269128</v>
      </c>
      <c r="O198" s="6">
        <f t="shared" si="29"/>
        <v>0</v>
      </c>
      <c r="P198" s="6">
        <f t="shared" si="30"/>
        <v>0</v>
      </c>
      <c r="Q198" s="6">
        <f t="shared" si="31"/>
        <v>0</v>
      </c>
      <c r="R198" s="6">
        <f t="shared" si="32"/>
        <v>0.16901408450704225</v>
      </c>
      <c r="S198" s="6">
        <f t="shared" si="33"/>
        <v>0</v>
      </c>
      <c r="T198" s="6">
        <f t="shared" si="34"/>
        <v>0</v>
      </c>
      <c r="U198" s="6">
        <f t="shared" si="35"/>
        <v>0</v>
      </c>
      <c r="V198" s="6">
        <f t="shared" si="36"/>
        <v>0</v>
      </c>
      <c r="W198" s="2">
        <f t="shared" si="19"/>
        <v>2.2513788301749032E-2</v>
      </c>
      <c r="X198" s="2">
        <f>W198</f>
        <v>2.2513788301749032E-2</v>
      </c>
    </row>
    <row r="199" spans="5:24" x14ac:dyDescent="0.2">
      <c r="E199" s="80" t="s">
        <v>70</v>
      </c>
      <c r="F199" s="6">
        <f t="shared" si="20"/>
        <v>0</v>
      </c>
      <c r="G199" s="6">
        <f t="shared" si="21"/>
        <v>1.2949640287769784E-2</v>
      </c>
      <c r="H199" s="6">
        <f t="shared" si="22"/>
        <v>0.14853556485355648</v>
      </c>
      <c r="I199" s="6">
        <f t="shared" si="23"/>
        <v>0</v>
      </c>
      <c r="J199" s="6">
        <f t="shared" si="24"/>
        <v>0</v>
      </c>
      <c r="K199" s="6">
        <f t="shared" si="25"/>
        <v>0</v>
      </c>
      <c r="L199" s="6">
        <f t="shared" si="26"/>
        <v>0</v>
      </c>
      <c r="M199" s="6">
        <f t="shared" si="27"/>
        <v>0</v>
      </c>
      <c r="N199" s="6">
        <f t="shared" si="28"/>
        <v>0.21372031662269128</v>
      </c>
      <c r="O199" s="6">
        <f t="shared" si="29"/>
        <v>0</v>
      </c>
      <c r="P199" s="6">
        <f t="shared" si="30"/>
        <v>0</v>
      </c>
      <c r="Q199" s="6">
        <f t="shared" si="31"/>
        <v>0</v>
      </c>
      <c r="R199" s="6">
        <f t="shared" si="32"/>
        <v>0.16901408450704225</v>
      </c>
      <c r="S199" s="6">
        <f t="shared" si="33"/>
        <v>0.14386792452830188</v>
      </c>
      <c r="T199" s="6">
        <f t="shared" si="34"/>
        <v>0</v>
      </c>
      <c r="U199" s="6">
        <f t="shared" si="35"/>
        <v>0</v>
      </c>
      <c r="V199" s="6">
        <f t="shared" si="36"/>
        <v>0</v>
      </c>
      <c r="W199" s="2">
        <f t="shared" si="19"/>
        <v>4.0475737105844803E-2</v>
      </c>
      <c r="X199" s="2">
        <f>W199-W198</f>
        <v>1.7961948804095771E-2</v>
      </c>
    </row>
    <row r="200" spans="5:24" x14ac:dyDescent="0.2">
      <c r="E200" s="80" t="s">
        <v>71</v>
      </c>
      <c r="F200" s="6">
        <f t="shared" si="20"/>
        <v>0</v>
      </c>
      <c r="G200" s="6">
        <f t="shared" si="21"/>
        <v>1.2949640287769784E-2</v>
      </c>
      <c r="H200" s="6">
        <f t="shared" si="22"/>
        <v>0.14853556485355648</v>
      </c>
      <c r="I200" s="6">
        <f t="shared" si="23"/>
        <v>0</v>
      </c>
      <c r="J200" s="6">
        <f t="shared" si="24"/>
        <v>9.7421203438395415E-2</v>
      </c>
      <c r="K200" s="6">
        <f t="shared" si="25"/>
        <v>0</v>
      </c>
      <c r="L200" s="6">
        <f t="shared" si="26"/>
        <v>0.12189054726368159</v>
      </c>
      <c r="M200" s="6">
        <f t="shared" si="27"/>
        <v>0.39774983454665785</v>
      </c>
      <c r="N200" s="6">
        <f t="shared" si="28"/>
        <v>0.53298153034300788</v>
      </c>
      <c r="O200" s="6">
        <f t="shared" si="29"/>
        <v>0</v>
      </c>
      <c r="P200" s="6">
        <f t="shared" si="30"/>
        <v>0</v>
      </c>
      <c r="Q200" s="6">
        <f t="shared" si="31"/>
        <v>0</v>
      </c>
      <c r="R200" s="6">
        <f t="shared" si="32"/>
        <v>0.16901408450704225</v>
      </c>
      <c r="S200" s="6">
        <f t="shared" si="33"/>
        <v>0.14386792452830188</v>
      </c>
      <c r="T200" s="6">
        <f t="shared" si="34"/>
        <v>0.28027681660899656</v>
      </c>
      <c r="U200" s="6">
        <f t="shared" si="35"/>
        <v>1.5151515151515152E-2</v>
      </c>
      <c r="V200" s="6">
        <f t="shared" si="36"/>
        <v>5.4897739504843918E-2</v>
      </c>
      <c r="W200" s="2">
        <f t="shared" si="19"/>
        <v>0.11616096476669228</v>
      </c>
      <c r="X200" s="2">
        <f t="shared" ref="X200:X216" si="37">W200-W199</f>
        <v>7.5685227660847482E-2</v>
      </c>
    </row>
    <row r="201" spans="5:24" x14ac:dyDescent="0.2">
      <c r="E201" s="80" t="s">
        <v>72</v>
      </c>
      <c r="F201" s="6">
        <f t="shared" si="20"/>
        <v>0.1388888888888889</v>
      </c>
      <c r="G201" s="6">
        <f t="shared" si="21"/>
        <v>0.31366906474820144</v>
      </c>
      <c r="H201" s="6">
        <f t="shared" si="22"/>
        <v>0.97907949790794979</v>
      </c>
      <c r="I201" s="6">
        <f t="shared" si="23"/>
        <v>0</v>
      </c>
      <c r="J201" s="6">
        <f t="shared" si="24"/>
        <v>9.7421203438395415E-2</v>
      </c>
      <c r="K201" s="6">
        <f t="shared" si="25"/>
        <v>0.42957746478873238</v>
      </c>
      <c r="L201" s="6">
        <f t="shared" si="26"/>
        <v>0.12189054726368159</v>
      </c>
      <c r="M201" s="6">
        <f t="shared" si="27"/>
        <v>0.96955658504301789</v>
      </c>
      <c r="N201" s="6">
        <f t="shared" si="28"/>
        <v>0.53298153034300788</v>
      </c>
      <c r="O201" s="6">
        <f t="shared" si="29"/>
        <v>0.46701846965699206</v>
      </c>
      <c r="P201" s="6">
        <f t="shared" si="30"/>
        <v>9.9667774086378731E-3</v>
      </c>
      <c r="Q201" s="6">
        <f t="shared" si="31"/>
        <v>0.22714681440443213</v>
      </c>
      <c r="R201" s="6">
        <f t="shared" si="32"/>
        <v>0.16901408450704225</v>
      </c>
      <c r="S201" s="6">
        <f t="shared" si="33"/>
        <v>0.14386792452830188</v>
      </c>
      <c r="T201" s="6">
        <f t="shared" si="34"/>
        <v>0.28027681660899656</v>
      </c>
      <c r="U201" s="6">
        <f t="shared" si="35"/>
        <v>1.5151515151515152E-2</v>
      </c>
      <c r="V201" s="6">
        <f t="shared" si="36"/>
        <v>0.35199138858988155</v>
      </c>
      <c r="W201" s="2">
        <f t="shared" si="19"/>
        <v>0.30867638666339259</v>
      </c>
      <c r="X201" s="2">
        <f t="shared" si="37"/>
        <v>0.19251542189670029</v>
      </c>
    </row>
    <row r="202" spans="5:24" x14ac:dyDescent="0.2">
      <c r="E202" s="80" t="s">
        <v>73</v>
      </c>
      <c r="F202" s="6">
        <f t="shared" si="20"/>
        <v>0.1388888888888889</v>
      </c>
      <c r="G202" s="6">
        <f t="shared" si="21"/>
        <v>0.54244604316546763</v>
      </c>
      <c r="H202" s="6">
        <f t="shared" si="22"/>
        <v>0.97907949790794979</v>
      </c>
      <c r="I202" s="6">
        <f t="shared" si="23"/>
        <v>0</v>
      </c>
      <c r="J202" s="6">
        <f t="shared" si="24"/>
        <v>9.7421203438395415E-2</v>
      </c>
      <c r="K202" s="6">
        <f t="shared" si="25"/>
        <v>0.42957746478873238</v>
      </c>
      <c r="L202" s="6">
        <f t="shared" si="26"/>
        <v>0.12189054726368159</v>
      </c>
      <c r="M202" s="6">
        <f t="shared" si="27"/>
        <v>0.96955658504301789</v>
      </c>
      <c r="N202" s="6">
        <f t="shared" si="28"/>
        <v>0.53298153034300788</v>
      </c>
      <c r="O202" s="6">
        <f t="shared" si="29"/>
        <v>0.46701846965699206</v>
      </c>
      <c r="P202" s="6">
        <f t="shared" si="30"/>
        <v>9.9667774086378731E-3</v>
      </c>
      <c r="Q202" s="6">
        <f t="shared" si="31"/>
        <v>0.54847645429362879</v>
      </c>
      <c r="R202" s="6">
        <f t="shared" si="32"/>
        <v>0.86854460093896713</v>
      </c>
      <c r="S202" s="6">
        <f t="shared" si="33"/>
        <v>0.43396226415094341</v>
      </c>
      <c r="T202" s="6">
        <f t="shared" si="34"/>
        <v>0.67560553633218001</v>
      </c>
      <c r="U202" s="6">
        <f t="shared" si="35"/>
        <v>0.41515151515151516</v>
      </c>
      <c r="V202" s="6">
        <f t="shared" si="36"/>
        <v>0.62970936490850371</v>
      </c>
      <c r="W202" s="2">
        <f t="shared" si="19"/>
        <v>0.46236922021650051</v>
      </c>
      <c r="X202" s="2">
        <f t="shared" si="37"/>
        <v>0.15369283355310792</v>
      </c>
    </row>
    <row r="203" spans="5:24" x14ac:dyDescent="0.2">
      <c r="E203" s="80" t="s">
        <v>74</v>
      </c>
      <c r="F203" s="6">
        <f t="shared" si="20"/>
        <v>0.90972222222222232</v>
      </c>
      <c r="G203" s="6">
        <f t="shared" si="21"/>
        <v>0.75827338129496402</v>
      </c>
      <c r="H203" s="6">
        <f t="shared" si="22"/>
        <v>0.97907949790794979</v>
      </c>
      <c r="I203" s="6">
        <f t="shared" si="23"/>
        <v>7.636363636363637E-2</v>
      </c>
      <c r="J203" s="6">
        <f t="shared" si="24"/>
        <v>0.5482330468003821</v>
      </c>
      <c r="K203" s="6">
        <f t="shared" si="25"/>
        <v>0.42957746478873238</v>
      </c>
      <c r="L203" s="6">
        <f t="shared" si="26"/>
        <v>0.99502487562189046</v>
      </c>
      <c r="M203" s="6">
        <f t="shared" si="27"/>
        <v>0.96955658504301789</v>
      </c>
      <c r="N203" s="6">
        <f t="shared" si="28"/>
        <v>0.99472295514511866</v>
      </c>
      <c r="O203" s="6">
        <f t="shared" si="29"/>
        <v>0.88742304309586628</v>
      </c>
      <c r="P203" s="6">
        <f t="shared" si="30"/>
        <v>9.9667774086378731E-3</v>
      </c>
      <c r="Q203" s="6">
        <f t="shared" si="31"/>
        <v>0.76177285318559551</v>
      </c>
      <c r="R203" s="6">
        <f t="shared" si="32"/>
        <v>0.86854460093896713</v>
      </c>
      <c r="S203" s="6">
        <f t="shared" si="33"/>
        <v>0.90330188679245282</v>
      </c>
      <c r="T203" s="6">
        <f t="shared" si="34"/>
        <v>0.96107266435986172</v>
      </c>
      <c r="U203" s="6">
        <f t="shared" si="35"/>
        <v>0.71363636363636362</v>
      </c>
      <c r="V203" s="6">
        <f t="shared" si="36"/>
        <v>0.84499461786867591</v>
      </c>
      <c r="W203" s="2">
        <f t="shared" si="19"/>
        <v>0.74183920426319616</v>
      </c>
      <c r="X203" s="2">
        <f t="shared" si="37"/>
        <v>0.27946998404669565</v>
      </c>
    </row>
    <row r="204" spans="5:24" x14ac:dyDescent="0.2">
      <c r="E204" s="80" t="s">
        <v>75</v>
      </c>
      <c r="F204" s="6">
        <f t="shared" si="20"/>
        <v>0.90972222222222232</v>
      </c>
      <c r="G204" s="6">
        <f t="shared" si="21"/>
        <v>0.9050359712230216</v>
      </c>
      <c r="H204" s="6">
        <f t="shared" si="22"/>
        <v>0.97907949790794979</v>
      </c>
      <c r="I204" s="6">
        <f t="shared" si="23"/>
        <v>0.92727272727272736</v>
      </c>
      <c r="J204" s="6">
        <f t="shared" si="24"/>
        <v>0.71060171919770776</v>
      </c>
      <c r="K204" s="6">
        <f t="shared" si="25"/>
        <v>0.94366197183098588</v>
      </c>
      <c r="L204" s="6">
        <f t="shared" si="26"/>
        <v>0.99502487562189046</v>
      </c>
      <c r="M204" s="6">
        <f t="shared" si="27"/>
        <v>0.99867637326273995</v>
      </c>
      <c r="N204" s="6">
        <f t="shared" si="28"/>
        <v>0.99472295514511866</v>
      </c>
      <c r="O204" s="6">
        <f t="shared" si="29"/>
        <v>0.88742304309586628</v>
      </c>
      <c r="P204" s="6">
        <f t="shared" si="30"/>
        <v>0.98006644518272423</v>
      </c>
      <c r="Q204" s="6">
        <f t="shared" si="31"/>
        <v>0.83102493074792239</v>
      </c>
      <c r="R204" s="6">
        <f t="shared" si="32"/>
        <v>0.92957746478873238</v>
      </c>
      <c r="S204" s="6">
        <f t="shared" si="33"/>
        <v>0.90330188679245282</v>
      </c>
      <c r="T204" s="6">
        <f t="shared" si="34"/>
        <v>0.96107266435986172</v>
      </c>
      <c r="U204" s="6">
        <f t="shared" si="35"/>
        <v>0.97121212121212119</v>
      </c>
      <c r="V204" s="6">
        <f t="shared" si="36"/>
        <v>0.98062432723358439</v>
      </c>
      <c r="W204" s="2">
        <f t="shared" si="19"/>
        <v>0.92988830571162517</v>
      </c>
      <c r="X204" s="2">
        <f t="shared" si="37"/>
        <v>0.18804910144842901</v>
      </c>
    </row>
    <row r="205" spans="5:24" x14ac:dyDescent="0.2">
      <c r="E205" s="80" t="s">
        <v>76</v>
      </c>
      <c r="F205" s="6">
        <f t="shared" si="20"/>
        <v>0.9965277777777779</v>
      </c>
      <c r="G205" s="6">
        <f t="shared" si="21"/>
        <v>0.9050359712230216</v>
      </c>
      <c r="H205" s="6">
        <f t="shared" si="22"/>
        <v>0.9853556485355649</v>
      </c>
      <c r="I205" s="6">
        <f t="shared" si="23"/>
        <v>0.92727272727272736</v>
      </c>
      <c r="J205" s="6">
        <f t="shared" si="24"/>
        <v>0.92932187201528182</v>
      </c>
      <c r="K205" s="6">
        <f t="shared" si="25"/>
        <v>0.94366197183098588</v>
      </c>
      <c r="L205" s="6">
        <f t="shared" si="26"/>
        <v>0.99502487562189046</v>
      </c>
      <c r="M205" s="6">
        <f t="shared" si="27"/>
        <v>0.99867637326273995</v>
      </c>
      <c r="N205" s="6">
        <f t="shared" si="28"/>
        <v>0.99472295514511866</v>
      </c>
      <c r="O205" s="6">
        <f t="shared" si="29"/>
        <v>0.99648197009674577</v>
      </c>
      <c r="P205" s="6">
        <f t="shared" si="30"/>
        <v>0.98006644518272423</v>
      </c>
      <c r="Q205" s="6">
        <f t="shared" si="31"/>
        <v>0.92797783933517997</v>
      </c>
      <c r="R205" s="6">
        <f t="shared" si="32"/>
        <v>0.97652582159624413</v>
      </c>
      <c r="S205" s="6">
        <f t="shared" si="33"/>
        <v>0.97169811320754718</v>
      </c>
      <c r="T205" s="6">
        <f t="shared" si="34"/>
        <v>0.96107266435986172</v>
      </c>
      <c r="U205" s="6">
        <f t="shared" si="35"/>
        <v>0.99696969696969695</v>
      </c>
      <c r="V205" s="6">
        <f t="shared" si="36"/>
        <v>0.99569429494079642</v>
      </c>
      <c r="W205" s="2">
        <f t="shared" si="19"/>
        <v>0.96953453049258231</v>
      </c>
      <c r="X205" s="2">
        <f t="shared" si="37"/>
        <v>3.964622478095714E-2</v>
      </c>
    </row>
    <row r="206" spans="5:24" x14ac:dyDescent="0.2">
      <c r="E206" s="80" t="s">
        <v>77</v>
      </c>
      <c r="F206" s="6">
        <f t="shared" si="20"/>
        <v>0.9965277777777779</v>
      </c>
      <c r="G206" s="6">
        <f t="shared" si="21"/>
        <v>0.94100719424460433</v>
      </c>
      <c r="H206" s="6">
        <f t="shared" si="22"/>
        <v>0.99581589958159</v>
      </c>
      <c r="I206" s="6">
        <f t="shared" si="23"/>
        <v>0.98909090909090913</v>
      </c>
      <c r="J206" s="6">
        <f t="shared" si="24"/>
        <v>0.97707736389684818</v>
      </c>
      <c r="K206" s="6">
        <f t="shared" si="25"/>
        <v>0.94366197183098588</v>
      </c>
      <c r="L206" s="6">
        <f t="shared" si="26"/>
        <v>0.99502487562189046</v>
      </c>
      <c r="M206" s="6">
        <f t="shared" si="27"/>
        <v>0.99867637326273995</v>
      </c>
      <c r="N206" s="6">
        <f t="shared" si="28"/>
        <v>0.99472295514511866</v>
      </c>
      <c r="O206" s="6">
        <f t="shared" si="29"/>
        <v>0.99648197009674577</v>
      </c>
      <c r="P206" s="6">
        <f t="shared" si="30"/>
        <v>0.99335548172757471</v>
      </c>
      <c r="Q206" s="6">
        <f t="shared" si="31"/>
        <v>0.98337950138504149</v>
      </c>
      <c r="R206" s="6">
        <f t="shared" si="32"/>
        <v>1</v>
      </c>
      <c r="S206" s="6">
        <f t="shared" si="33"/>
        <v>1</v>
      </c>
      <c r="T206" s="6">
        <f t="shared" si="34"/>
        <v>0.99826989619377171</v>
      </c>
      <c r="U206" s="6">
        <f t="shared" si="35"/>
        <v>0.99696969696969695</v>
      </c>
      <c r="V206" s="6">
        <f t="shared" si="36"/>
        <v>0.99569429494079642</v>
      </c>
      <c r="W206" s="2">
        <f t="shared" si="19"/>
        <v>0.98798565657447579</v>
      </c>
      <c r="X206" s="2">
        <f t="shared" si="37"/>
        <v>1.8451126081893476E-2</v>
      </c>
    </row>
    <row r="207" spans="5:24" x14ac:dyDescent="0.2">
      <c r="E207" s="80" t="s">
        <v>78</v>
      </c>
      <c r="F207" s="6">
        <f t="shared" si="20"/>
        <v>1.0000000000000002</v>
      </c>
      <c r="G207" s="6">
        <f t="shared" si="21"/>
        <v>0.96978417266187056</v>
      </c>
      <c r="H207" s="6">
        <f t="shared" si="22"/>
        <v>0.99581589958159</v>
      </c>
      <c r="I207" s="6">
        <f t="shared" si="23"/>
        <v>0.98909090909090913</v>
      </c>
      <c r="J207" s="6">
        <f t="shared" si="24"/>
        <v>0.97707736389684818</v>
      </c>
      <c r="K207" s="6">
        <f t="shared" si="25"/>
        <v>0.99295774647887325</v>
      </c>
      <c r="L207" s="6">
        <f t="shared" si="26"/>
        <v>0.99502487562189046</v>
      </c>
      <c r="M207" s="6">
        <f t="shared" si="27"/>
        <v>1</v>
      </c>
      <c r="N207" s="6">
        <f t="shared" si="28"/>
        <v>0.99999999999999989</v>
      </c>
      <c r="O207" s="6">
        <f t="shared" si="29"/>
        <v>1</v>
      </c>
      <c r="P207" s="6">
        <f t="shared" si="30"/>
        <v>0.99335548172757471</v>
      </c>
      <c r="Q207" s="6">
        <f t="shared" si="31"/>
        <v>0.99722991689750684</v>
      </c>
      <c r="R207" s="6">
        <f t="shared" si="32"/>
        <v>1</v>
      </c>
      <c r="S207" s="6">
        <f t="shared" si="33"/>
        <v>1</v>
      </c>
      <c r="T207" s="6">
        <f t="shared" si="34"/>
        <v>1</v>
      </c>
      <c r="U207" s="6">
        <f t="shared" si="35"/>
        <v>1</v>
      </c>
      <c r="V207" s="6">
        <f t="shared" si="36"/>
        <v>0.99677072120559729</v>
      </c>
      <c r="W207" s="2">
        <f t="shared" si="19"/>
        <v>0.99453571100956806</v>
      </c>
      <c r="X207" s="2">
        <f t="shared" si="37"/>
        <v>6.5500544350922674E-3</v>
      </c>
    </row>
    <row r="208" spans="5:24" x14ac:dyDescent="0.2">
      <c r="E208" s="80" t="s">
        <v>79</v>
      </c>
      <c r="F208" s="6">
        <f t="shared" si="20"/>
        <v>1.0000000000000002</v>
      </c>
      <c r="G208" s="6">
        <f t="shared" si="21"/>
        <v>0.98920863309352525</v>
      </c>
      <c r="H208" s="6">
        <f t="shared" si="22"/>
        <v>1</v>
      </c>
      <c r="I208" s="6">
        <f t="shared" si="23"/>
        <v>0.98909090909090913</v>
      </c>
      <c r="J208" s="6">
        <f t="shared" si="24"/>
        <v>0.99808978032473739</v>
      </c>
      <c r="K208" s="6">
        <f t="shared" si="25"/>
        <v>0.99295774647887325</v>
      </c>
      <c r="L208" s="6">
        <f t="shared" si="26"/>
        <v>0.99502487562189046</v>
      </c>
      <c r="M208" s="6">
        <f t="shared" si="27"/>
        <v>1</v>
      </c>
      <c r="N208" s="6">
        <f t="shared" si="28"/>
        <v>0.99999999999999989</v>
      </c>
      <c r="O208" s="6">
        <f t="shared" si="29"/>
        <v>1</v>
      </c>
      <c r="P208" s="6">
        <f t="shared" si="30"/>
        <v>0.99335548172757471</v>
      </c>
      <c r="Q208" s="6">
        <f t="shared" si="31"/>
        <v>0.99722991689750684</v>
      </c>
      <c r="R208" s="6">
        <f t="shared" si="32"/>
        <v>1</v>
      </c>
      <c r="S208" s="6">
        <f t="shared" si="33"/>
        <v>1</v>
      </c>
      <c r="T208" s="6">
        <f t="shared" si="34"/>
        <v>1</v>
      </c>
      <c r="U208" s="6">
        <f t="shared" si="35"/>
        <v>1</v>
      </c>
      <c r="V208" s="6">
        <f t="shared" si="36"/>
        <v>0.99677072120559729</v>
      </c>
      <c r="W208" s="2">
        <f t="shared" si="19"/>
        <v>0.99716047437885957</v>
      </c>
      <c r="X208" s="2">
        <f t="shared" si="37"/>
        <v>2.6247633692915162E-3</v>
      </c>
    </row>
    <row r="209" spans="5:24" x14ac:dyDescent="0.2">
      <c r="E209" s="80" t="s">
        <v>80</v>
      </c>
      <c r="F209" s="6">
        <f t="shared" si="20"/>
        <v>1.0000000000000002</v>
      </c>
      <c r="G209" s="6">
        <f t="shared" si="21"/>
        <v>0.98920863309352525</v>
      </c>
      <c r="H209" s="6">
        <f t="shared" si="22"/>
        <v>1</v>
      </c>
      <c r="I209" s="6">
        <f t="shared" si="23"/>
        <v>1</v>
      </c>
      <c r="J209" s="6">
        <f t="shared" si="24"/>
        <v>0.99808978032473739</v>
      </c>
      <c r="K209" s="6">
        <f t="shared" si="25"/>
        <v>1</v>
      </c>
      <c r="L209" s="6">
        <f t="shared" si="26"/>
        <v>0.99502487562189046</v>
      </c>
      <c r="M209" s="6">
        <f t="shared" si="27"/>
        <v>1</v>
      </c>
      <c r="N209" s="6">
        <f t="shared" si="28"/>
        <v>0.99999999999999989</v>
      </c>
      <c r="O209" s="6">
        <f t="shared" si="29"/>
        <v>1</v>
      </c>
      <c r="P209" s="6">
        <f t="shared" si="30"/>
        <v>0.99335548172757471</v>
      </c>
      <c r="Q209" s="6">
        <f t="shared" si="31"/>
        <v>0.99999999999999989</v>
      </c>
      <c r="R209" s="6">
        <f t="shared" si="32"/>
        <v>1</v>
      </c>
      <c r="S209" s="6">
        <f t="shared" si="33"/>
        <v>1</v>
      </c>
      <c r="T209" s="6">
        <f t="shared" si="34"/>
        <v>1</v>
      </c>
      <c r="U209" s="6">
        <f t="shared" si="35"/>
        <v>1</v>
      </c>
      <c r="V209" s="6">
        <f t="shared" si="36"/>
        <v>0.99677072120559729</v>
      </c>
      <c r="W209" s="2">
        <f t="shared" si="19"/>
        <v>0.99837938188078379</v>
      </c>
      <c r="X209" s="2">
        <f t="shared" si="37"/>
        <v>1.2189075019242157E-3</v>
      </c>
    </row>
    <row r="210" spans="5:24" x14ac:dyDescent="0.2">
      <c r="E210" s="80" t="s">
        <v>81</v>
      </c>
      <c r="F210" s="6">
        <f t="shared" si="20"/>
        <v>1.0000000000000002</v>
      </c>
      <c r="G210" s="6">
        <f t="shared" si="21"/>
        <v>1</v>
      </c>
      <c r="H210" s="6">
        <f t="shared" si="22"/>
        <v>1</v>
      </c>
      <c r="I210" s="6">
        <f t="shared" si="23"/>
        <v>1</v>
      </c>
      <c r="J210" s="6">
        <f t="shared" si="24"/>
        <v>0.99808978032473739</v>
      </c>
      <c r="K210" s="6">
        <f t="shared" si="25"/>
        <v>1</v>
      </c>
      <c r="L210" s="6">
        <f t="shared" si="26"/>
        <v>0.99502487562189046</v>
      </c>
      <c r="M210" s="6">
        <f t="shared" si="27"/>
        <v>1</v>
      </c>
      <c r="N210" s="6">
        <f t="shared" si="28"/>
        <v>0.99999999999999989</v>
      </c>
      <c r="O210" s="6">
        <f t="shared" si="29"/>
        <v>1</v>
      </c>
      <c r="P210" s="6">
        <f t="shared" si="30"/>
        <v>0.99335548172757471</v>
      </c>
      <c r="Q210" s="6">
        <f t="shared" si="31"/>
        <v>0.99999999999999989</v>
      </c>
      <c r="R210" s="6">
        <f t="shared" si="32"/>
        <v>1</v>
      </c>
      <c r="S210" s="6">
        <f t="shared" si="33"/>
        <v>1</v>
      </c>
      <c r="T210" s="6">
        <f t="shared" si="34"/>
        <v>1</v>
      </c>
      <c r="U210" s="6">
        <f t="shared" si="35"/>
        <v>1</v>
      </c>
      <c r="V210" s="6">
        <f t="shared" si="36"/>
        <v>0.99999999999999989</v>
      </c>
      <c r="W210" s="2">
        <f t="shared" si="19"/>
        <v>0.99920412574554118</v>
      </c>
      <c r="X210" s="2">
        <f t="shared" si="37"/>
        <v>8.2474386475739347E-4</v>
      </c>
    </row>
    <row r="211" spans="5:24" x14ac:dyDescent="0.2">
      <c r="E211" s="80" t="s">
        <v>82</v>
      </c>
      <c r="F211" s="6">
        <f t="shared" si="20"/>
        <v>1.0000000000000002</v>
      </c>
      <c r="G211" s="6">
        <f t="shared" si="21"/>
        <v>1</v>
      </c>
      <c r="H211" s="6">
        <f t="shared" si="22"/>
        <v>1</v>
      </c>
      <c r="I211" s="6">
        <f t="shared" si="23"/>
        <v>1</v>
      </c>
      <c r="J211" s="6">
        <f t="shared" si="24"/>
        <v>1</v>
      </c>
      <c r="K211" s="6">
        <f t="shared" si="25"/>
        <v>1</v>
      </c>
      <c r="L211" s="6">
        <f t="shared" si="26"/>
        <v>0.99999999999999989</v>
      </c>
      <c r="M211" s="6">
        <f t="shared" si="27"/>
        <v>1</v>
      </c>
      <c r="N211" s="6">
        <f t="shared" si="28"/>
        <v>0.99999999999999989</v>
      </c>
      <c r="O211" s="6">
        <f t="shared" si="29"/>
        <v>1</v>
      </c>
      <c r="P211" s="6">
        <f t="shared" si="30"/>
        <v>0.99335548172757471</v>
      </c>
      <c r="Q211" s="6">
        <f t="shared" si="31"/>
        <v>0.99999999999999989</v>
      </c>
      <c r="R211" s="6">
        <f t="shared" si="32"/>
        <v>1</v>
      </c>
      <c r="S211" s="6">
        <f t="shared" si="33"/>
        <v>1</v>
      </c>
      <c r="T211" s="6">
        <f t="shared" si="34"/>
        <v>1</v>
      </c>
      <c r="U211" s="6">
        <f t="shared" si="35"/>
        <v>1</v>
      </c>
      <c r="V211" s="6">
        <f t="shared" si="36"/>
        <v>0.99999999999999989</v>
      </c>
      <c r="W211" s="2">
        <f t="shared" si="19"/>
        <v>0.99960914598397488</v>
      </c>
      <c r="X211" s="2">
        <f t="shared" si="37"/>
        <v>4.0502023843369539E-4</v>
      </c>
    </row>
    <row r="212" spans="5:24" x14ac:dyDescent="0.2">
      <c r="E212" s="80" t="s">
        <v>83</v>
      </c>
      <c r="F212" s="6">
        <f t="shared" si="20"/>
        <v>1.0000000000000002</v>
      </c>
      <c r="G212" s="6">
        <f t="shared" si="21"/>
        <v>1</v>
      </c>
      <c r="H212" s="6">
        <f t="shared" si="22"/>
        <v>1</v>
      </c>
      <c r="I212" s="6">
        <f t="shared" si="23"/>
        <v>1</v>
      </c>
      <c r="J212" s="6">
        <f t="shared" si="24"/>
        <v>1</v>
      </c>
      <c r="K212" s="6">
        <f t="shared" si="25"/>
        <v>1</v>
      </c>
      <c r="L212" s="6">
        <f t="shared" si="26"/>
        <v>0.99999999999999989</v>
      </c>
      <c r="M212" s="6">
        <f t="shared" si="27"/>
        <v>1</v>
      </c>
      <c r="N212" s="6">
        <f t="shared" si="28"/>
        <v>0.99999999999999989</v>
      </c>
      <c r="O212" s="6">
        <f t="shared" si="29"/>
        <v>1</v>
      </c>
      <c r="P212" s="6">
        <f t="shared" si="30"/>
        <v>0.99335548172757471</v>
      </c>
      <c r="Q212" s="6">
        <f t="shared" si="31"/>
        <v>0.99999999999999989</v>
      </c>
      <c r="R212" s="6">
        <f t="shared" si="32"/>
        <v>1</v>
      </c>
      <c r="S212" s="6">
        <f t="shared" si="33"/>
        <v>1</v>
      </c>
      <c r="T212" s="6">
        <f t="shared" si="34"/>
        <v>1</v>
      </c>
      <c r="U212" s="6">
        <f t="shared" si="35"/>
        <v>1</v>
      </c>
      <c r="V212" s="6">
        <f t="shared" si="36"/>
        <v>0.99999999999999989</v>
      </c>
      <c r="W212" s="2">
        <f t="shared" si="19"/>
        <v>0.99960914598397488</v>
      </c>
      <c r="X212" s="2">
        <f t="shared" si="37"/>
        <v>0</v>
      </c>
    </row>
    <row r="213" spans="5:24" x14ac:dyDescent="0.2">
      <c r="E213" s="80" t="s">
        <v>84</v>
      </c>
      <c r="F213" s="6">
        <f t="shared" si="20"/>
        <v>1.0000000000000002</v>
      </c>
      <c r="G213" s="6">
        <f t="shared" si="21"/>
        <v>1</v>
      </c>
      <c r="H213" s="6">
        <f t="shared" si="22"/>
        <v>1</v>
      </c>
      <c r="I213" s="6">
        <f t="shared" si="23"/>
        <v>1</v>
      </c>
      <c r="J213" s="6">
        <f t="shared" si="24"/>
        <v>1</v>
      </c>
      <c r="K213" s="6">
        <f t="shared" si="25"/>
        <v>1</v>
      </c>
      <c r="L213" s="6">
        <f t="shared" si="26"/>
        <v>0.99999999999999989</v>
      </c>
      <c r="M213" s="6">
        <f t="shared" si="27"/>
        <v>1</v>
      </c>
      <c r="N213" s="6">
        <f t="shared" si="28"/>
        <v>0.99999999999999989</v>
      </c>
      <c r="O213" s="6">
        <f t="shared" si="29"/>
        <v>1</v>
      </c>
      <c r="P213" s="6">
        <f t="shared" si="30"/>
        <v>1</v>
      </c>
      <c r="Q213" s="6">
        <f t="shared" si="31"/>
        <v>0.99999999999999989</v>
      </c>
      <c r="R213" s="6">
        <f t="shared" si="32"/>
        <v>1</v>
      </c>
      <c r="S213" s="6">
        <f t="shared" si="33"/>
        <v>1</v>
      </c>
      <c r="T213" s="6">
        <f t="shared" si="34"/>
        <v>1</v>
      </c>
      <c r="U213" s="6">
        <f t="shared" si="35"/>
        <v>1</v>
      </c>
      <c r="V213" s="6">
        <f t="shared" si="36"/>
        <v>0.99999999999999989</v>
      </c>
      <c r="W213" s="2">
        <f t="shared" si="19"/>
        <v>1</v>
      </c>
      <c r="X213" s="2">
        <f t="shared" si="37"/>
        <v>3.9085401602512171E-4</v>
      </c>
    </row>
    <row r="214" spans="5:24" x14ac:dyDescent="0.2">
      <c r="E214" s="80" t="s">
        <v>85</v>
      </c>
      <c r="F214" s="6">
        <f t="shared" si="20"/>
        <v>1.0000000000000002</v>
      </c>
      <c r="G214" s="6">
        <f t="shared" si="21"/>
        <v>1</v>
      </c>
      <c r="H214" s="6">
        <f t="shared" si="22"/>
        <v>1</v>
      </c>
      <c r="I214" s="6">
        <f t="shared" si="23"/>
        <v>1</v>
      </c>
      <c r="J214" s="6">
        <f t="shared" si="24"/>
        <v>1</v>
      </c>
      <c r="K214" s="6">
        <f t="shared" si="25"/>
        <v>1</v>
      </c>
      <c r="L214" s="6">
        <f t="shared" si="26"/>
        <v>0.99999999999999989</v>
      </c>
      <c r="M214" s="6">
        <f t="shared" si="27"/>
        <v>1</v>
      </c>
      <c r="N214" s="6">
        <f t="shared" si="28"/>
        <v>0.99999999999999989</v>
      </c>
      <c r="O214" s="6">
        <f t="shared" si="29"/>
        <v>1</v>
      </c>
      <c r="P214" s="6">
        <f t="shared" si="30"/>
        <v>1</v>
      </c>
      <c r="Q214" s="6">
        <f t="shared" si="31"/>
        <v>0.99999999999999989</v>
      </c>
      <c r="R214" s="6">
        <f t="shared" si="32"/>
        <v>1</v>
      </c>
      <c r="S214" s="6">
        <f t="shared" si="33"/>
        <v>1</v>
      </c>
      <c r="T214" s="6">
        <f t="shared" si="34"/>
        <v>1</v>
      </c>
      <c r="U214" s="6">
        <f t="shared" si="35"/>
        <v>1</v>
      </c>
      <c r="V214" s="6">
        <f t="shared" si="36"/>
        <v>0.99999999999999989</v>
      </c>
      <c r="W214" s="2">
        <f t="shared" si="19"/>
        <v>1</v>
      </c>
      <c r="X214" s="2">
        <f t="shared" si="37"/>
        <v>0</v>
      </c>
    </row>
    <row r="215" spans="5:24" x14ac:dyDescent="0.2">
      <c r="E215" s="80" t="s">
        <v>86</v>
      </c>
      <c r="F215" s="6">
        <f t="shared" si="20"/>
        <v>1.0000000000000002</v>
      </c>
      <c r="G215" s="6">
        <f t="shared" si="21"/>
        <v>1</v>
      </c>
      <c r="H215" s="6">
        <f t="shared" si="22"/>
        <v>1</v>
      </c>
      <c r="I215" s="6">
        <f t="shared" si="23"/>
        <v>1</v>
      </c>
      <c r="J215" s="6">
        <f t="shared" si="24"/>
        <v>1</v>
      </c>
      <c r="K215" s="6">
        <f t="shared" si="25"/>
        <v>1</v>
      </c>
      <c r="L215" s="6">
        <f t="shared" si="26"/>
        <v>0.99999999999999989</v>
      </c>
      <c r="M215" s="6">
        <f t="shared" si="27"/>
        <v>1</v>
      </c>
      <c r="N215" s="6">
        <f t="shared" si="28"/>
        <v>0.99999999999999989</v>
      </c>
      <c r="O215" s="6">
        <f t="shared" si="29"/>
        <v>1</v>
      </c>
      <c r="P215" s="6">
        <f t="shared" si="30"/>
        <v>1</v>
      </c>
      <c r="Q215" s="6">
        <f t="shared" si="31"/>
        <v>0.99999999999999989</v>
      </c>
      <c r="R215" s="6">
        <f t="shared" si="32"/>
        <v>1</v>
      </c>
      <c r="S215" s="6">
        <f t="shared" si="33"/>
        <v>1</v>
      </c>
      <c r="T215" s="6">
        <f t="shared" si="34"/>
        <v>1</v>
      </c>
      <c r="U215" s="6">
        <f t="shared" si="35"/>
        <v>1</v>
      </c>
      <c r="V215" s="6">
        <f t="shared" si="36"/>
        <v>0.99999999999999989</v>
      </c>
      <c r="W215" s="2">
        <f t="shared" si="19"/>
        <v>1</v>
      </c>
      <c r="X215" s="2">
        <f t="shared" si="37"/>
        <v>0</v>
      </c>
    </row>
    <row r="216" spans="5:24" x14ac:dyDescent="0.2">
      <c r="E216" s="80" t="s">
        <v>87</v>
      </c>
      <c r="F216" s="6">
        <f t="shared" si="20"/>
        <v>1.0000000000000002</v>
      </c>
      <c r="G216" s="6">
        <f t="shared" si="21"/>
        <v>1</v>
      </c>
      <c r="H216" s="6">
        <f t="shared" si="22"/>
        <v>1</v>
      </c>
      <c r="I216" s="6">
        <f t="shared" si="23"/>
        <v>1</v>
      </c>
      <c r="J216" s="6">
        <f t="shared" si="24"/>
        <v>1</v>
      </c>
      <c r="K216" s="6">
        <f t="shared" si="25"/>
        <v>1</v>
      </c>
      <c r="L216" s="6">
        <f t="shared" si="26"/>
        <v>0.99999999999999989</v>
      </c>
      <c r="M216" s="6">
        <f t="shared" si="27"/>
        <v>1</v>
      </c>
      <c r="N216" s="6">
        <f t="shared" si="28"/>
        <v>0.99999999999999989</v>
      </c>
      <c r="O216" s="6">
        <f t="shared" si="29"/>
        <v>1</v>
      </c>
      <c r="P216" s="6">
        <f t="shared" si="30"/>
        <v>1</v>
      </c>
      <c r="Q216" s="6">
        <f t="shared" si="31"/>
        <v>0.99999999999999989</v>
      </c>
      <c r="R216" s="6">
        <f t="shared" si="32"/>
        <v>1</v>
      </c>
      <c r="S216" s="6">
        <f t="shared" si="33"/>
        <v>1</v>
      </c>
      <c r="T216" s="6">
        <f t="shared" si="34"/>
        <v>1</v>
      </c>
      <c r="U216" s="6">
        <f t="shared" si="35"/>
        <v>1</v>
      </c>
      <c r="V216" s="6">
        <f t="shared" si="36"/>
        <v>0.99999999999999989</v>
      </c>
      <c r="W216" s="2">
        <f t="shared" si="19"/>
        <v>1</v>
      </c>
      <c r="X216" s="2">
        <f t="shared" si="37"/>
        <v>0</v>
      </c>
    </row>
    <row r="218" spans="5:24" x14ac:dyDescent="0.2">
      <c r="E218" s="2" t="s">
        <v>89</v>
      </c>
      <c r="F218" s="2">
        <v>135</v>
      </c>
    </row>
    <row r="219" spans="5:24" x14ac:dyDescent="0.2">
      <c r="E219" s="2" t="s">
        <v>88</v>
      </c>
      <c r="F219" s="2" t="s">
        <v>90</v>
      </c>
      <c r="H219" s="2" t="s">
        <v>91</v>
      </c>
      <c r="J219" s="2" t="s">
        <v>92</v>
      </c>
    </row>
    <row r="220" spans="5:24" x14ac:dyDescent="0.2">
      <c r="E220" s="80" t="s">
        <v>66</v>
      </c>
      <c r="F220" s="2">
        <f>$F$218*F195</f>
        <v>0</v>
      </c>
      <c r="H220" s="2">
        <f t="shared" ref="H220:H241" si="38">$F$218*X169</f>
        <v>0</v>
      </c>
      <c r="J220" s="2">
        <f>$F$218*X195</f>
        <v>0</v>
      </c>
    </row>
    <row r="221" spans="5:24" x14ac:dyDescent="0.2">
      <c r="E221" s="80" t="s">
        <v>67</v>
      </c>
      <c r="F221" s="2">
        <f t="shared" ref="F221:F241" si="39">$F$218*F196</f>
        <v>0</v>
      </c>
      <c r="H221" s="2">
        <f t="shared" si="38"/>
        <v>0</v>
      </c>
      <c r="J221" s="2">
        <f t="shared" ref="J221:J241" si="40">$F$218*X196</f>
        <v>0</v>
      </c>
    </row>
    <row r="222" spans="5:24" x14ac:dyDescent="0.2">
      <c r="E222" s="80" t="s">
        <v>68</v>
      </c>
      <c r="F222" s="2">
        <f t="shared" si="39"/>
        <v>0</v>
      </c>
      <c r="H222" s="2">
        <f t="shared" si="38"/>
        <v>0</v>
      </c>
      <c r="J222" s="2">
        <f t="shared" si="40"/>
        <v>0</v>
      </c>
    </row>
    <row r="223" spans="5:24" x14ac:dyDescent="0.2">
      <c r="E223" s="80" t="s">
        <v>69</v>
      </c>
      <c r="F223" s="2">
        <f t="shared" si="39"/>
        <v>0</v>
      </c>
      <c r="H223" s="2">
        <f t="shared" si="38"/>
        <v>2.8705080084730019</v>
      </c>
      <c r="J223" s="2">
        <f t="shared" si="40"/>
        <v>3.0393614207361193</v>
      </c>
    </row>
    <row r="224" spans="5:24" x14ac:dyDescent="0.2">
      <c r="E224" s="80" t="s">
        <v>70</v>
      </c>
      <c r="F224" s="2">
        <f t="shared" si="39"/>
        <v>0</v>
      </c>
      <c r="H224" s="2">
        <f t="shared" si="38"/>
        <v>2.5570830305015448</v>
      </c>
      <c r="J224" s="2">
        <f t="shared" si="40"/>
        <v>2.4248630885529292</v>
      </c>
    </row>
    <row r="225" spans="5:10" x14ac:dyDescent="0.2">
      <c r="E225" s="80" t="s">
        <v>71</v>
      </c>
      <c r="F225" s="2">
        <f t="shared" si="39"/>
        <v>0</v>
      </c>
      <c r="H225" s="2">
        <f t="shared" si="38"/>
        <v>10.734826343061155</v>
      </c>
      <c r="J225" s="2">
        <f t="shared" si="40"/>
        <v>10.217505734214409</v>
      </c>
    </row>
    <row r="226" spans="5:10" x14ac:dyDescent="0.2">
      <c r="E226" s="80" t="s">
        <v>72</v>
      </c>
      <c r="F226" s="2">
        <f t="shared" si="39"/>
        <v>18.75</v>
      </c>
      <c r="H226" s="2">
        <f t="shared" si="38"/>
        <v>25.777059575411382</v>
      </c>
      <c r="J226" s="2">
        <f t="shared" si="40"/>
        <v>25.98958195605454</v>
      </c>
    </row>
    <row r="227" spans="5:10" x14ac:dyDescent="0.2">
      <c r="E227" s="80" t="s">
        <v>73</v>
      </c>
      <c r="F227" s="2">
        <f t="shared" si="39"/>
        <v>18.75</v>
      </c>
      <c r="H227" s="2">
        <f t="shared" si="38"/>
        <v>21.309383924404724</v>
      </c>
      <c r="J227" s="2">
        <f t="shared" si="40"/>
        <v>20.748532529669568</v>
      </c>
    </row>
    <row r="228" spans="5:10" x14ac:dyDescent="0.2">
      <c r="E228" s="80" t="s">
        <v>74</v>
      </c>
      <c r="F228" s="2">
        <f t="shared" si="39"/>
        <v>122.81250000000001</v>
      </c>
      <c r="H228" s="2">
        <f t="shared" si="38"/>
        <v>38.620367856883654</v>
      </c>
      <c r="J228" s="2">
        <f t="shared" si="40"/>
        <v>37.728447846303915</v>
      </c>
    </row>
    <row r="229" spans="5:10" x14ac:dyDescent="0.2">
      <c r="E229" s="80" t="s">
        <v>75</v>
      </c>
      <c r="F229" s="2">
        <f t="shared" si="39"/>
        <v>122.81250000000001</v>
      </c>
      <c r="H229" s="2">
        <f t="shared" si="38"/>
        <v>23.976260434674707</v>
      </c>
      <c r="J229" s="2">
        <f t="shared" si="40"/>
        <v>25.386628695537915</v>
      </c>
    </row>
    <row r="230" spans="5:10" x14ac:dyDescent="0.2">
      <c r="E230" s="80" t="s">
        <v>76</v>
      </c>
      <c r="F230" s="2">
        <f t="shared" si="39"/>
        <v>134.53125000000003</v>
      </c>
      <c r="H230" s="2">
        <f t="shared" si="38"/>
        <v>5.054893659572067</v>
      </c>
      <c r="J230" s="2">
        <f t="shared" si="40"/>
        <v>5.3522403454292142</v>
      </c>
    </row>
    <row r="231" spans="5:10" x14ac:dyDescent="0.2">
      <c r="E231" s="80" t="s">
        <v>77</v>
      </c>
      <c r="F231" s="2">
        <f t="shared" si="39"/>
        <v>134.53125000000003</v>
      </c>
      <c r="H231" s="2">
        <f t="shared" si="38"/>
        <v>2.5677883802634449</v>
      </c>
      <c r="J231" s="2">
        <f t="shared" si="40"/>
        <v>2.4909020210556192</v>
      </c>
    </row>
    <row r="232" spans="5:10" x14ac:dyDescent="0.2">
      <c r="E232" s="80" t="s">
        <v>78</v>
      </c>
      <c r="F232" s="2">
        <f t="shared" si="39"/>
        <v>135.00000000000003</v>
      </c>
      <c r="H232" s="2">
        <f t="shared" si="38"/>
        <v>0.83513194047426687</v>
      </c>
      <c r="J232" s="2">
        <f t="shared" si="40"/>
        <v>0.88425734873745609</v>
      </c>
    </row>
    <row r="233" spans="5:10" x14ac:dyDescent="0.2">
      <c r="E233" s="80" t="s">
        <v>79</v>
      </c>
      <c r="F233" s="2">
        <f t="shared" si="39"/>
        <v>135.00000000000003</v>
      </c>
      <c r="H233" s="2">
        <f t="shared" si="38"/>
        <v>0.33465732958465444</v>
      </c>
      <c r="J233" s="2">
        <f t="shared" si="40"/>
        <v>0.35434305485435469</v>
      </c>
    </row>
    <row r="234" spans="5:10" x14ac:dyDescent="0.2">
      <c r="E234" s="80" t="s">
        <v>80</v>
      </c>
      <c r="F234" s="2">
        <f t="shared" si="39"/>
        <v>135.00000000000003</v>
      </c>
      <c r="H234" s="2">
        <f t="shared" si="38"/>
        <v>0.15541070649533062</v>
      </c>
      <c r="J234" s="2">
        <f t="shared" si="40"/>
        <v>0.16455251275976912</v>
      </c>
    </row>
    <row r="235" spans="5:10" x14ac:dyDescent="0.2">
      <c r="E235" s="80" t="s">
        <v>81</v>
      </c>
      <c r="F235" s="2">
        <f t="shared" si="39"/>
        <v>135.00000000000003</v>
      </c>
      <c r="H235" s="2">
        <f t="shared" si="38"/>
        <v>0.10515484275658053</v>
      </c>
      <c r="J235" s="2">
        <f t="shared" si="40"/>
        <v>0.11134042174224812</v>
      </c>
    </row>
    <row r="236" spans="5:10" x14ac:dyDescent="0.2">
      <c r="E236" s="80" t="s">
        <v>82</v>
      </c>
      <c r="F236" s="2">
        <f t="shared" si="39"/>
        <v>135.00000000000003</v>
      </c>
      <c r="H236" s="2">
        <f t="shared" si="38"/>
        <v>5.1640080400290812E-2</v>
      </c>
      <c r="J236" s="2">
        <f t="shared" si="40"/>
        <v>5.4677732188548878E-2</v>
      </c>
    </row>
    <row r="237" spans="5:10" x14ac:dyDescent="0.2">
      <c r="E237" s="80" t="s">
        <v>83</v>
      </c>
      <c r="F237" s="2">
        <f t="shared" si="39"/>
        <v>135.00000000000003</v>
      </c>
      <c r="H237" s="2">
        <f t="shared" si="38"/>
        <v>0</v>
      </c>
      <c r="J237" s="2">
        <f t="shared" si="40"/>
        <v>0</v>
      </c>
    </row>
    <row r="238" spans="5:10" x14ac:dyDescent="0.2">
      <c r="E238" s="80" t="s">
        <v>84</v>
      </c>
      <c r="F238" s="2">
        <f t="shared" si="39"/>
        <v>135.00000000000003</v>
      </c>
      <c r="H238" s="2">
        <f t="shared" si="38"/>
        <v>4.9833887043189369E-2</v>
      </c>
      <c r="J238" s="2">
        <f t="shared" si="40"/>
        <v>5.2765292163391431E-2</v>
      </c>
    </row>
    <row r="239" spans="5:10" x14ac:dyDescent="0.2">
      <c r="E239" s="80" t="s">
        <v>85</v>
      </c>
      <c r="F239" s="2">
        <f t="shared" si="39"/>
        <v>135.00000000000003</v>
      </c>
      <c r="H239" s="2">
        <f t="shared" si="38"/>
        <v>0</v>
      </c>
      <c r="J239" s="2">
        <f t="shared" si="40"/>
        <v>0</v>
      </c>
    </row>
    <row r="240" spans="5:10" x14ac:dyDescent="0.2">
      <c r="E240" s="80" t="s">
        <v>86</v>
      </c>
      <c r="F240" s="2">
        <f t="shared" si="39"/>
        <v>135.00000000000003</v>
      </c>
      <c r="H240" s="2">
        <f t="shared" si="38"/>
        <v>0</v>
      </c>
      <c r="J240" s="2">
        <f t="shared" si="40"/>
        <v>0</v>
      </c>
    </row>
    <row r="241" spans="5:10" x14ac:dyDescent="0.2">
      <c r="E241" s="80" t="s">
        <v>87</v>
      </c>
      <c r="F241" s="2">
        <f t="shared" si="39"/>
        <v>135.00000000000003</v>
      </c>
      <c r="H241" s="2">
        <f t="shared" si="38"/>
        <v>0</v>
      </c>
      <c r="J241" s="2">
        <f t="shared" si="40"/>
        <v>0</v>
      </c>
    </row>
  </sheetData>
  <mergeCells count="24">
    <mergeCell ref="A1:I1"/>
    <mergeCell ref="B3:W3"/>
    <mergeCell ref="X3:X4"/>
    <mergeCell ref="A36:I36"/>
    <mergeCell ref="A3:A4"/>
    <mergeCell ref="Z3:Z4"/>
    <mergeCell ref="Y38:Y39"/>
    <mergeCell ref="Z38:Z39"/>
    <mergeCell ref="A38:A39"/>
    <mergeCell ref="B38:W38"/>
    <mergeCell ref="X38:X39"/>
    <mergeCell ref="Y3:Y4"/>
    <mergeCell ref="Z109:Z110"/>
    <mergeCell ref="Z73:Z74"/>
    <mergeCell ref="Y73:Y74"/>
    <mergeCell ref="A71:I71"/>
    <mergeCell ref="A73:A74"/>
    <mergeCell ref="B73:W73"/>
    <mergeCell ref="X73:X74"/>
    <mergeCell ref="A107:I107"/>
    <mergeCell ref="A109:A110"/>
    <mergeCell ref="B109:W109"/>
    <mergeCell ref="X109:X110"/>
    <mergeCell ref="Y109:Y110"/>
  </mergeCells>
  <phoneticPr fontId="4" type="noConversion"/>
  <conditionalFormatting sqref="F169:F190">
    <cfRule type="colorScale" priority="18">
      <colorScale>
        <cfvo type="min"/>
        <cfvo type="max"/>
        <color rgb="FFFCFCFF"/>
        <color rgb="FF63BE7B"/>
      </colorScale>
    </cfRule>
  </conditionalFormatting>
  <conditionalFormatting sqref="G169:G190">
    <cfRule type="colorScale" priority="17">
      <colorScale>
        <cfvo type="min"/>
        <cfvo type="max"/>
        <color rgb="FFFCFCFF"/>
        <color rgb="FF63BE7B"/>
      </colorScale>
    </cfRule>
  </conditionalFormatting>
  <conditionalFormatting sqref="H169:H190">
    <cfRule type="colorScale" priority="16">
      <colorScale>
        <cfvo type="min"/>
        <cfvo type="max"/>
        <color rgb="FFFCFCFF"/>
        <color rgb="FF63BE7B"/>
      </colorScale>
    </cfRule>
  </conditionalFormatting>
  <conditionalFormatting sqref="I169:I190">
    <cfRule type="colorScale" priority="15">
      <colorScale>
        <cfvo type="min"/>
        <cfvo type="max"/>
        <color rgb="FFFCFCFF"/>
        <color rgb="FF63BE7B"/>
      </colorScale>
    </cfRule>
  </conditionalFormatting>
  <conditionalFormatting sqref="J169:J190">
    <cfRule type="colorScale" priority="14">
      <colorScale>
        <cfvo type="min"/>
        <cfvo type="max"/>
        <color rgb="FFFCFCFF"/>
        <color rgb="FF63BE7B"/>
      </colorScale>
    </cfRule>
  </conditionalFormatting>
  <conditionalFormatting sqref="K169:K190">
    <cfRule type="colorScale" priority="13">
      <colorScale>
        <cfvo type="min"/>
        <cfvo type="max"/>
        <color rgb="FFFCFCFF"/>
        <color rgb="FF63BE7B"/>
      </colorScale>
    </cfRule>
  </conditionalFormatting>
  <conditionalFormatting sqref="L169:L190">
    <cfRule type="colorScale" priority="12">
      <colorScale>
        <cfvo type="min"/>
        <cfvo type="max"/>
        <color rgb="FFFCFCFF"/>
        <color rgb="FF63BE7B"/>
      </colorScale>
    </cfRule>
  </conditionalFormatting>
  <conditionalFormatting sqref="M169:M190">
    <cfRule type="colorScale" priority="11">
      <colorScale>
        <cfvo type="min"/>
        <cfvo type="max"/>
        <color rgb="FFFCFCFF"/>
        <color rgb="FF63BE7B"/>
      </colorScale>
    </cfRule>
  </conditionalFormatting>
  <conditionalFormatting sqref="N169:N190">
    <cfRule type="colorScale" priority="10">
      <colorScale>
        <cfvo type="min"/>
        <cfvo type="max"/>
        <color rgb="FFFCFCFF"/>
        <color rgb="FF63BE7B"/>
      </colorScale>
    </cfRule>
  </conditionalFormatting>
  <conditionalFormatting sqref="O169:O190">
    <cfRule type="colorScale" priority="9">
      <colorScale>
        <cfvo type="min"/>
        <cfvo type="max"/>
        <color rgb="FFFCFCFF"/>
        <color rgb="FF63BE7B"/>
      </colorScale>
    </cfRule>
  </conditionalFormatting>
  <conditionalFormatting sqref="P169:P190">
    <cfRule type="colorScale" priority="8">
      <colorScale>
        <cfvo type="min"/>
        <cfvo type="max"/>
        <color rgb="FFFCFCFF"/>
        <color rgb="FF63BE7B"/>
      </colorScale>
    </cfRule>
  </conditionalFormatting>
  <conditionalFormatting sqref="Q169:Q190">
    <cfRule type="colorScale" priority="7">
      <colorScale>
        <cfvo type="min"/>
        <cfvo type="max"/>
        <color rgb="FFFCFCFF"/>
        <color rgb="FF63BE7B"/>
      </colorScale>
    </cfRule>
  </conditionalFormatting>
  <conditionalFormatting sqref="R169:R190">
    <cfRule type="colorScale" priority="6">
      <colorScale>
        <cfvo type="min"/>
        <cfvo type="max"/>
        <color rgb="FFFCFCFF"/>
        <color rgb="FF63BE7B"/>
      </colorScale>
    </cfRule>
  </conditionalFormatting>
  <conditionalFormatting sqref="S169:S190">
    <cfRule type="colorScale" priority="5">
      <colorScale>
        <cfvo type="min"/>
        <cfvo type="max"/>
        <color rgb="FFFCFCFF"/>
        <color rgb="FF63BE7B"/>
      </colorScale>
    </cfRule>
  </conditionalFormatting>
  <conditionalFormatting sqref="T169:T190">
    <cfRule type="colorScale" priority="4">
      <colorScale>
        <cfvo type="min"/>
        <cfvo type="max"/>
        <color rgb="FFFCFCFF"/>
        <color rgb="FF63BE7B"/>
      </colorScale>
    </cfRule>
  </conditionalFormatting>
  <conditionalFormatting sqref="U169:U190">
    <cfRule type="colorScale" priority="3">
      <colorScale>
        <cfvo type="min"/>
        <cfvo type="max"/>
        <color rgb="FFFCFCFF"/>
        <color rgb="FF63BE7B"/>
      </colorScale>
    </cfRule>
  </conditionalFormatting>
  <conditionalFormatting sqref="V169:W190">
    <cfRule type="colorScale" priority="2">
      <colorScale>
        <cfvo type="min"/>
        <cfvo type="max"/>
        <color rgb="FFFCFCFF"/>
        <color rgb="FF63BE7B"/>
      </colorScale>
    </cfRule>
  </conditionalFormatting>
  <conditionalFormatting sqref="X169:X19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AU164"/>
  <sheetViews>
    <sheetView zoomScale="70" zoomScaleNormal="70" workbookViewId="0">
      <selection activeCell="AE31" sqref="AE31"/>
    </sheetView>
  </sheetViews>
  <sheetFormatPr defaultColWidth="9.140625" defaultRowHeight="12.75" x14ac:dyDescent="0.2"/>
  <cols>
    <col min="1" max="1" width="10.28515625" style="2" customWidth="1"/>
    <col min="2" max="23" width="6.5703125" style="2" customWidth="1"/>
    <col min="24" max="25" width="9.140625" style="2"/>
    <col min="26" max="26" width="11.7109375" style="56" customWidth="1"/>
    <col min="27" max="30" width="9.140625" style="2"/>
    <col min="31" max="31" width="14.42578125" style="2" bestFit="1" customWidth="1"/>
    <col min="32" max="16384" width="9.140625" style="2"/>
  </cols>
  <sheetData>
    <row r="1" spans="1:47" ht="18" customHeight="1" x14ac:dyDescent="0.2">
      <c r="A1" s="1002" t="s">
        <v>628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8" customHeight="1" thickTop="1" x14ac:dyDescent="0.2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8" customHeight="1" x14ac:dyDescent="0.2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68" t="s">
        <v>44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s="8" customFormat="1" ht="18" customHeight="1" x14ac:dyDescent="0.2">
      <c r="A5" s="1">
        <v>1995</v>
      </c>
      <c r="B5" s="6"/>
      <c r="C5" s="6"/>
      <c r="D5" s="6"/>
      <c r="E5" s="6"/>
      <c r="F5" s="6"/>
      <c r="G5" s="6">
        <v>86</v>
      </c>
      <c r="H5" s="6"/>
      <c r="I5" s="6"/>
      <c r="J5" s="6">
        <v>57</v>
      </c>
      <c r="K5" s="6"/>
      <c r="L5" s="6"/>
      <c r="M5" s="6">
        <v>0</v>
      </c>
      <c r="N5" s="6"/>
      <c r="O5" s="6"/>
      <c r="P5" s="6"/>
      <c r="Q5" s="6"/>
      <c r="R5" s="6"/>
      <c r="S5" s="6"/>
      <c r="T5" s="1"/>
      <c r="U5" s="1"/>
      <c r="V5" s="1"/>
      <c r="W5" s="1"/>
      <c r="X5" s="7">
        <v>157</v>
      </c>
      <c r="Y5" s="7" t="s">
        <v>5</v>
      </c>
      <c r="Z5" s="10">
        <v>15</v>
      </c>
      <c r="AA5" s="73">
        <f>MAX(B5:W5)</f>
        <v>86</v>
      </c>
      <c r="AB5" s="72">
        <f>X5/AA5</f>
        <v>1.8255813953488371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s="8" customFormat="1" ht="18" customHeight="1" x14ac:dyDescent="0.2">
      <c r="A6" s="1">
        <v>1996</v>
      </c>
      <c r="B6" s="6"/>
      <c r="C6" s="6"/>
      <c r="D6" s="6"/>
      <c r="E6" s="6">
        <v>23</v>
      </c>
      <c r="F6" s="6">
        <v>26</v>
      </c>
      <c r="G6" s="6">
        <v>115</v>
      </c>
      <c r="H6" s="6">
        <v>192</v>
      </c>
      <c r="I6" s="6">
        <v>245</v>
      </c>
      <c r="J6" s="6">
        <v>250</v>
      </c>
      <c r="K6" s="6">
        <v>141</v>
      </c>
      <c r="L6" s="6"/>
      <c r="M6" s="6"/>
      <c r="N6" s="6"/>
      <c r="O6" s="6">
        <v>14</v>
      </c>
      <c r="P6" s="6"/>
      <c r="Q6" s="6">
        <v>7</v>
      </c>
      <c r="R6" s="6"/>
      <c r="S6" s="6"/>
      <c r="T6" s="1"/>
      <c r="U6" s="1"/>
      <c r="V6" s="1"/>
      <c r="W6" s="1"/>
      <c r="X6" s="7">
        <v>346</v>
      </c>
      <c r="Y6" s="7" t="s">
        <v>5</v>
      </c>
      <c r="Z6" s="10">
        <v>30</v>
      </c>
      <c r="AA6" s="73">
        <f>MAX(B6:W6)</f>
        <v>250</v>
      </c>
      <c r="AB6" s="72">
        <f>X6/AA6</f>
        <v>1.3839999999999999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s="8" customFormat="1" ht="18" customHeight="1" x14ac:dyDescent="0.2">
      <c r="A7" s="1">
        <v>1997</v>
      </c>
      <c r="B7" s="6"/>
      <c r="C7" s="6">
        <v>2</v>
      </c>
      <c r="D7" s="6"/>
      <c r="E7" s="6"/>
      <c r="F7" s="6"/>
      <c r="G7" s="6">
        <v>40</v>
      </c>
      <c r="H7" s="6">
        <v>26</v>
      </c>
      <c r="I7" s="6">
        <v>283</v>
      </c>
      <c r="J7" s="6"/>
      <c r="K7" s="6">
        <v>540</v>
      </c>
      <c r="L7" s="6"/>
      <c r="M7" s="6">
        <v>66</v>
      </c>
      <c r="N7" s="6">
        <v>15</v>
      </c>
      <c r="O7" s="6"/>
      <c r="P7" s="6"/>
      <c r="Q7" s="6"/>
      <c r="R7" s="6"/>
      <c r="S7" s="6"/>
      <c r="T7" s="1"/>
      <c r="U7" s="1"/>
      <c r="V7" s="1"/>
      <c r="W7" s="1"/>
      <c r="X7" s="7">
        <v>862</v>
      </c>
      <c r="Y7" s="7" t="s">
        <v>5</v>
      </c>
      <c r="Z7" s="61">
        <v>20</v>
      </c>
      <c r="AA7" s="73">
        <f>MAX(B7:W7)</f>
        <v>540</v>
      </c>
      <c r="AB7" s="72">
        <f>X7/AA7</f>
        <v>1.5962962962962963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8" customFormat="1" ht="18" customHeight="1" x14ac:dyDescent="0.2">
      <c r="A8" s="1">
        <v>1998</v>
      </c>
      <c r="B8" s="6"/>
      <c r="C8" s="6"/>
      <c r="D8" s="6"/>
      <c r="E8" s="6"/>
      <c r="F8" s="6"/>
      <c r="G8" s="6">
        <v>30</v>
      </c>
      <c r="H8" s="6"/>
      <c r="I8" s="6">
        <v>242</v>
      </c>
      <c r="J8" s="6">
        <v>432</v>
      </c>
      <c r="K8" s="6">
        <v>348</v>
      </c>
      <c r="L8" s="6">
        <v>118</v>
      </c>
      <c r="M8" s="6"/>
      <c r="N8" s="6">
        <v>56</v>
      </c>
      <c r="O8" s="6">
        <v>3</v>
      </c>
      <c r="P8" s="6"/>
      <c r="Q8" s="6">
        <v>2</v>
      </c>
      <c r="R8" s="6"/>
      <c r="S8" s="6"/>
      <c r="T8" s="1"/>
      <c r="U8" s="1"/>
      <c r="V8" s="1"/>
      <c r="W8" s="1"/>
      <c r="X8" s="7">
        <v>674</v>
      </c>
      <c r="Y8" s="7" t="s">
        <v>5</v>
      </c>
      <c r="Z8" s="61">
        <v>20</v>
      </c>
      <c r="AA8" s="73">
        <f>MAX(B8:W8)</f>
        <v>432</v>
      </c>
      <c r="AB8" s="72">
        <f>X8/AA8</f>
        <v>1.5601851851851851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8" customFormat="1" ht="18" customHeight="1" x14ac:dyDescent="0.2">
      <c r="A9" s="1">
        <v>1999</v>
      </c>
      <c r="B9" s="6"/>
      <c r="C9" s="6"/>
      <c r="D9" s="6"/>
      <c r="E9" s="6"/>
      <c r="F9" s="6">
        <v>32</v>
      </c>
      <c r="G9" s="6">
        <v>58</v>
      </c>
      <c r="H9" s="6"/>
      <c r="I9" s="6">
        <v>380</v>
      </c>
      <c r="J9" s="6"/>
      <c r="K9" s="6">
        <v>190</v>
      </c>
      <c r="L9" s="6"/>
      <c r="M9" s="6">
        <v>64</v>
      </c>
      <c r="N9" s="6"/>
      <c r="O9" s="6">
        <v>0</v>
      </c>
      <c r="P9" s="6"/>
      <c r="Q9" s="6"/>
      <c r="R9" s="6"/>
      <c r="S9" s="6"/>
      <c r="T9" s="1"/>
      <c r="U9" s="1"/>
      <c r="V9" s="1"/>
      <c r="W9" s="1"/>
      <c r="X9" s="9">
        <v>686</v>
      </c>
      <c r="Y9" s="7" t="s">
        <v>5</v>
      </c>
      <c r="Z9" s="62">
        <v>15</v>
      </c>
      <c r="AA9" s="73">
        <f>MAX(B9:W9)</f>
        <v>380</v>
      </c>
      <c r="AB9" s="72">
        <f>X9/AA9</f>
        <v>1.8052631578947369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8" customFormat="1" ht="18" customHeight="1" x14ac:dyDescent="0.2">
      <c r="A10" s="1">
        <v>2000</v>
      </c>
      <c r="B10" s="6"/>
      <c r="C10" s="6"/>
      <c r="D10" s="6"/>
      <c r="E10" s="6"/>
      <c r="F10" s="6">
        <v>15</v>
      </c>
      <c r="G10" s="6"/>
      <c r="H10" s="6"/>
      <c r="I10" s="6">
        <v>45</v>
      </c>
      <c r="J10" s="6"/>
      <c r="K10" s="6">
        <v>29</v>
      </c>
      <c r="L10" s="6"/>
      <c r="M10" s="6"/>
      <c r="N10" s="6"/>
      <c r="O10" s="6"/>
      <c r="P10" s="6"/>
      <c r="Q10" s="6"/>
      <c r="R10" s="6"/>
      <c r="S10" s="6"/>
      <c r="T10" s="1"/>
      <c r="U10" s="1"/>
      <c r="V10" s="1"/>
      <c r="W10" s="1"/>
      <c r="X10" s="10">
        <v>200</v>
      </c>
      <c r="Y10" s="7" t="s">
        <v>7</v>
      </c>
      <c r="Z10" s="62"/>
      <c r="AA10" s="71"/>
      <c r="AB10" s="72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8" customFormat="1" ht="18" customHeight="1" x14ac:dyDescent="0.2">
      <c r="A11" s="1">
        <v>2001</v>
      </c>
      <c r="B11" s="6"/>
      <c r="C11" s="6"/>
      <c r="D11" s="6"/>
      <c r="E11" s="6"/>
      <c r="F11" s="6">
        <v>30</v>
      </c>
      <c r="G11" s="6"/>
      <c r="H11" s="6"/>
      <c r="I11" s="6">
        <v>42</v>
      </c>
      <c r="J11" s="6"/>
      <c r="K11" s="6"/>
      <c r="L11" s="6"/>
      <c r="M11" s="6"/>
      <c r="N11" s="6">
        <v>16</v>
      </c>
      <c r="O11" s="6"/>
      <c r="P11" s="6"/>
      <c r="Q11" s="6"/>
      <c r="R11" s="6">
        <v>0</v>
      </c>
      <c r="S11" s="6"/>
      <c r="T11" s="1"/>
      <c r="U11" s="1"/>
      <c r="V11" s="1"/>
      <c r="W11" s="1"/>
      <c r="X11" s="7">
        <v>100</v>
      </c>
      <c r="Y11" s="7" t="s">
        <v>5</v>
      </c>
      <c r="Z11" s="62">
        <v>20</v>
      </c>
      <c r="AA11" s="73">
        <f>MAX(B11:W11)</f>
        <v>42</v>
      </c>
      <c r="AB11" s="72">
        <f>X11/AA11</f>
        <v>2.3809523809523809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8" customFormat="1" ht="18" customHeight="1" x14ac:dyDescent="0.2">
      <c r="A12" s="1">
        <v>2002</v>
      </c>
      <c r="B12" s="6"/>
      <c r="C12" s="6"/>
      <c r="D12" s="6"/>
      <c r="E12" s="6"/>
      <c r="F12" s="6"/>
      <c r="G12" s="6"/>
      <c r="H12" s="6"/>
      <c r="I12" s="6">
        <v>66</v>
      </c>
      <c r="J12" s="6"/>
      <c r="K12" s="6">
        <v>105</v>
      </c>
      <c r="L12" s="6"/>
      <c r="M12" s="6">
        <v>17</v>
      </c>
      <c r="N12" s="6"/>
      <c r="O12" s="6"/>
      <c r="P12" s="6"/>
      <c r="Q12" s="6">
        <v>0</v>
      </c>
      <c r="R12" s="6"/>
      <c r="S12" s="6"/>
      <c r="T12" s="1"/>
      <c r="U12" s="1"/>
      <c r="V12" s="1"/>
      <c r="W12" s="1"/>
      <c r="X12" s="7">
        <v>148</v>
      </c>
      <c r="Y12" s="7" t="s">
        <v>5</v>
      </c>
      <c r="Z12" s="62">
        <v>21</v>
      </c>
      <c r="AA12" s="73">
        <f>MAX(B12:W12)</f>
        <v>105</v>
      </c>
      <c r="AB12" s="72">
        <f>X12/AA12</f>
        <v>1.4095238095238096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s="8" customFormat="1" ht="18" customHeight="1" x14ac:dyDescent="0.2">
      <c r="A13" s="1">
        <v>2003</v>
      </c>
      <c r="B13" s="6"/>
      <c r="C13" s="6"/>
      <c r="D13" s="6"/>
      <c r="E13" s="6"/>
      <c r="F13" s="6"/>
      <c r="G13" s="6"/>
      <c r="H13" s="6"/>
      <c r="I13" s="6">
        <v>69</v>
      </c>
      <c r="J13" s="6"/>
      <c r="K13" s="6"/>
      <c r="L13" s="6"/>
      <c r="M13" s="6"/>
      <c r="N13" s="6">
        <v>15</v>
      </c>
      <c r="O13" s="6"/>
      <c r="P13" s="6"/>
      <c r="Q13" s="6"/>
      <c r="R13" s="6"/>
      <c r="S13" s="6"/>
      <c r="T13" s="1"/>
      <c r="U13" s="1"/>
      <c r="V13" s="1"/>
      <c r="W13" s="1"/>
      <c r="X13" s="7">
        <v>69</v>
      </c>
      <c r="Y13" s="7" t="s">
        <v>9</v>
      </c>
      <c r="Z13" s="62"/>
      <c r="AA13" s="73"/>
      <c r="AB13" s="72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6"/>
      <c r="I14" s="6"/>
      <c r="J14" s="6">
        <v>385</v>
      </c>
      <c r="K14" s="6"/>
      <c r="L14" s="6"/>
      <c r="M14" s="6">
        <v>50</v>
      </c>
      <c r="N14" s="6"/>
      <c r="O14" s="6">
        <v>4</v>
      </c>
      <c r="P14" s="6"/>
      <c r="Q14" s="6"/>
      <c r="R14" s="6"/>
      <c r="S14" s="6"/>
      <c r="T14" s="1"/>
      <c r="U14" s="1"/>
      <c r="V14" s="1"/>
      <c r="W14" s="1"/>
      <c r="X14" s="11">
        <v>393</v>
      </c>
      <c r="Y14" s="7" t="s">
        <v>9</v>
      </c>
      <c r="Z14" s="62"/>
      <c r="AA14" s="73"/>
      <c r="AB14" s="72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8" customFormat="1" ht="18" customHeight="1" x14ac:dyDescent="0.2">
      <c r="A15" s="1">
        <v>2005</v>
      </c>
      <c r="B15" s="6"/>
      <c r="C15" s="6"/>
      <c r="D15" s="6"/>
      <c r="E15" s="6"/>
      <c r="F15" s="6">
        <v>26</v>
      </c>
      <c r="G15" s="6"/>
      <c r="H15" s="6"/>
      <c r="I15" s="6"/>
      <c r="J15" s="6"/>
      <c r="K15" s="6"/>
      <c r="L15" s="6"/>
      <c r="M15" s="6">
        <v>30</v>
      </c>
      <c r="N15" s="6"/>
      <c r="O15" s="6"/>
      <c r="P15" s="6"/>
      <c r="Q15" s="6"/>
      <c r="R15" s="6"/>
      <c r="S15" s="6"/>
      <c r="T15" s="1"/>
      <c r="U15" s="1"/>
      <c r="V15" s="1"/>
      <c r="W15" s="1"/>
      <c r="X15" s="11">
        <v>88</v>
      </c>
      <c r="Y15" s="7" t="s">
        <v>9</v>
      </c>
      <c r="Z15" s="52"/>
      <c r="AA15" s="73"/>
      <c r="AB15" s="72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6"/>
      <c r="I16" s="6">
        <v>384</v>
      </c>
      <c r="J16" s="6"/>
      <c r="K16" s="6">
        <v>418</v>
      </c>
      <c r="L16" s="6"/>
      <c r="M16" s="6"/>
      <c r="N16" s="6">
        <v>12</v>
      </c>
      <c r="O16" s="6"/>
      <c r="P16" s="6"/>
      <c r="Q16" s="6"/>
      <c r="R16" s="6"/>
      <c r="S16" s="6"/>
      <c r="T16" s="1"/>
      <c r="U16" s="1"/>
      <c r="V16" s="1"/>
      <c r="W16" s="1"/>
      <c r="X16" s="12">
        <v>454</v>
      </c>
      <c r="Y16" s="7" t="s">
        <v>5</v>
      </c>
      <c r="Z16" s="54">
        <v>28</v>
      </c>
      <c r="AA16" s="73">
        <f>MAX(B16:W16)</f>
        <v>418</v>
      </c>
      <c r="AB16" s="72">
        <f>X16/AA16</f>
        <v>1.0861244019138756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8" customFormat="1" ht="18" customHeight="1" x14ac:dyDescent="0.2">
      <c r="A17" s="1">
        <v>2007</v>
      </c>
      <c r="B17" s="6"/>
      <c r="C17" s="6"/>
      <c r="D17" s="6"/>
      <c r="E17" s="6"/>
      <c r="F17" s="6"/>
      <c r="G17" s="6"/>
      <c r="H17" s="6"/>
      <c r="I17" s="6">
        <v>396</v>
      </c>
      <c r="J17" s="6"/>
      <c r="K17" s="6">
        <v>44</v>
      </c>
      <c r="L17" s="6"/>
      <c r="M17" s="6">
        <v>5</v>
      </c>
      <c r="N17" s="6"/>
      <c r="O17" s="6">
        <v>0</v>
      </c>
      <c r="P17" s="6"/>
      <c r="Q17" s="6"/>
      <c r="R17" s="6"/>
      <c r="S17" s="6"/>
      <c r="T17" s="1"/>
      <c r="U17" s="1"/>
      <c r="V17" s="1"/>
      <c r="W17" s="1"/>
      <c r="X17" s="12">
        <v>441</v>
      </c>
      <c r="Y17" s="7" t="s">
        <v>5</v>
      </c>
      <c r="Z17" s="54">
        <v>20</v>
      </c>
      <c r="AA17" s="73">
        <f>MAX(B17:W17)</f>
        <v>396</v>
      </c>
      <c r="AB17" s="72">
        <f>X17/AA17</f>
        <v>1.1136363636363635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8" customFormat="1" ht="18" customHeight="1" x14ac:dyDescent="0.2">
      <c r="A18" s="1">
        <v>2008</v>
      </c>
      <c r="B18" s="1"/>
      <c r="C18" s="1"/>
      <c r="D18" s="1"/>
      <c r="E18" s="1"/>
      <c r="F18" s="1"/>
      <c r="G18" s="1"/>
      <c r="H18" s="1"/>
      <c r="I18" s="1">
        <v>370</v>
      </c>
      <c r="J18" s="1">
        <v>393</v>
      </c>
      <c r="K18" s="1">
        <v>24</v>
      </c>
      <c r="L18" s="1">
        <v>24</v>
      </c>
      <c r="M18" s="1">
        <v>5</v>
      </c>
      <c r="N18" s="1"/>
      <c r="O18" s="1">
        <v>0</v>
      </c>
      <c r="P18" s="1"/>
      <c r="Q18" s="1"/>
      <c r="R18" s="1"/>
      <c r="S18" s="1"/>
      <c r="T18" s="1"/>
      <c r="U18" s="1"/>
      <c r="V18" s="1"/>
      <c r="W18" s="1"/>
      <c r="X18" s="1">
        <v>472</v>
      </c>
      <c r="Y18" s="7" t="s">
        <v>5</v>
      </c>
      <c r="Z18" s="62">
        <v>20</v>
      </c>
      <c r="AA18" s="73">
        <f>MAX(B18:W18)</f>
        <v>393</v>
      </c>
      <c r="AB18" s="72">
        <f>X18/AA18</f>
        <v>1.2010178117048347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8" customFormat="1" ht="18" customHeight="1" x14ac:dyDescent="0.2">
      <c r="A19" s="1">
        <v>2009</v>
      </c>
      <c r="B19" s="1"/>
      <c r="C19" s="1"/>
      <c r="D19" s="1"/>
      <c r="E19" s="1"/>
      <c r="F19" s="1"/>
      <c r="G19" s="1"/>
      <c r="H19" s="1"/>
      <c r="I19" s="1">
        <v>40</v>
      </c>
      <c r="J19" s="1"/>
      <c r="K19" s="1">
        <v>91</v>
      </c>
      <c r="L19" s="1">
        <v>18</v>
      </c>
      <c r="M19" s="1"/>
      <c r="N19" s="1">
        <v>0</v>
      </c>
      <c r="O19" s="1"/>
      <c r="P19" s="1">
        <v>0</v>
      </c>
      <c r="Q19" s="1"/>
      <c r="R19" s="1"/>
      <c r="S19" s="1"/>
      <c r="T19" s="1"/>
      <c r="U19" s="1"/>
      <c r="V19" s="1"/>
      <c r="W19" s="1"/>
      <c r="X19" s="1">
        <v>135</v>
      </c>
      <c r="Y19" s="7" t="s">
        <v>5</v>
      </c>
      <c r="Z19" s="62">
        <v>20</v>
      </c>
      <c r="AA19" s="73">
        <f>MAX(B19:W19)</f>
        <v>91</v>
      </c>
      <c r="AB19" s="72">
        <f>X19/AA19</f>
        <v>1.4835164835164836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8" customFormat="1" ht="18" customHeight="1" x14ac:dyDescent="0.2">
      <c r="A20" s="1">
        <v>2010</v>
      </c>
      <c r="B20" s="1"/>
      <c r="C20" s="1"/>
      <c r="D20" s="1"/>
      <c r="E20" s="1"/>
      <c r="F20" s="1"/>
      <c r="G20" s="1"/>
      <c r="H20" s="1"/>
      <c r="I20" s="1"/>
      <c r="J20" s="1">
        <v>24</v>
      </c>
      <c r="K20" s="1"/>
      <c r="L20" s="1"/>
      <c r="M20" s="1"/>
      <c r="N20" s="1">
        <v>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7"/>
      <c r="Z20" s="62"/>
      <c r="AA20" s="8">
        <v>2</v>
      </c>
      <c r="AB20"/>
      <c r="AC20" t="s">
        <v>59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8" customFormat="1" ht="18" customHeight="1" x14ac:dyDescent="0.2">
      <c r="A21" s="1">
        <v>2011</v>
      </c>
      <c r="B21" s="1"/>
      <c r="C21" s="1"/>
      <c r="D21" s="1"/>
      <c r="E21" s="1"/>
      <c r="F21" s="1"/>
      <c r="G21" s="1"/>
      <c r="H21" s="1">
        <v>44</v>
      </c>
      <c r="I21" s="1"/>
      <c r="J21" s="1"/>
      <c r="K21" s="1">
        <v>106</v>
      </c>
      <c r="L21" s="1"/>
      <c r="M21" s="1">
        <v>10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>
        <v>106</v>
      </c>
      <c r="Y21" s="7" t="s">
        <v>6</v>
      </c>
      <c r="Z21" s="62"/>
      <c r="AA21" s="73">
        <f>MAX(B21:W21)</f>
        <v>106</v>
      </c>
      <c r="AB21" s="72">
        <f>X21/AA21</f>
        <v>1</v>
      </c>
      <c r="AC21" s="72">
        <f>MAX(B21:W21)*AB21</f>
        <v>106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8" customFormat="1" ht="18" customHeight="1" x14ac:dyDescent="0.2">
      <c r="A22" s="1">
        <v>2012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58</v>
      </c>
      <c r="N22" s="1">
        <v>5</v>
      </c>
      <c r="O22" s="1"/>
      <c r="P22" s="1"/>
      <c r="Q22" s="1"/>
      <c r="R22" s="1"/>
      <c r="S22" s="1"/>
      <c r="T22" s="1"/>
      <c r="U22" s="1"/>
      <c r="V22" s="1"/>
      <c r="W22" s="1"/>
      <c r="X22" s="1">
        <v>59</v>
      </c>
      <c r="Y22" s="7" t="s">
        <v>9</v>
      </c>
      <c r="Z22" s="62"/>
      <c r="AA22" s="73">
        <f>MAX(B22:W22)</f>
        <v>58</v>
      </c>
      <c r="AB22" s="72">
        <f>X22/AA22</f>
        <v>1.0172413793103448</v>
      </c>
      <c r="AC22" s="7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8" customFormat="1" ht="18" customHeight="1" x14ac:dyDescent="0.2">
      <c r="A23" s="1">
        <v>2013</v>
      </c>
      <c r="B23" s="1"/>
      <c r="C23" s="1"/>
      <c r="D23" s="1"/>
      <c r="E23" s="1"/>
      <c r="F23" s="1"/>
      <c r="G23" s="1"/>
      <c r="H23" s="1">
        <v>150</v>
      </c>
      <c r="I23" s="1">
        <v>275</v>
      </c>
      <c r="J23" s="1"/>
      <c r="K23" s="1">
        <v>27</v>
      </c>
      <c r="L23" s="1"/>
      <c r="M23" s="1">
        <v>16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>
        <v>284</v>
      </c>
      <c r="Y23" s="7" t="s">
        <v>5</v>
      </c>
      <c r="Z23" s="62">
        <v>20</v>
      </c>
      <c r="AA23" s="73">
        <f>MAX(B23:W23)</f>
        <v>275</v>
      </c>
      <c r="AB23" s="72">
        <f>X23/AA23</f>
        <v>1.0327272727272727</v>
      </c>
      <c r="AC23" s="72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8" customFormat="1" ht="18" customHeight="1" x14ac:dyDescent="0.2">
      <c r="A24" s="1">
        <v>2014</v>
      </c>
      <c r="B24" s="1"/>
      <c r="C24" s="1"/>
      <c r="D24" s="1"/>
      <c r="E24" s="1"/>
      <c r="F24" s="1"/>
      <c r="G24" s="1">
        <v>16</v>
      </c>
      <c r="H24" s="1"/>
      <c r="I24" s="1"/>
      <c r="J24" s="1"/>
      <c r="K24" s="1">
        <v>51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>
        <v>64</v>
      </c>
      <c r="Y24" s="7" t="s">
        <v>9</v>
      </c>
      <c r="Z24" s="62"/>
      <c r="AA24" s="73">
        <f>MAX(B24:W24)</f>
        <v>51</v>
      </c>
      <c r="AB24" s="72">
        <f>X24/AA24</f>
        <v>1.2549019607843137</v>
      </c>
      <c r="AC24" s="72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s="8" customFormat="1" ht="18" customHeight="1" x14ac:dyDescent="0.2">
      <c r="A25" s="1">
        <v>2015</v>
      </c>
      <c r="B25" s="1"/>
      <c r="C25" s="1"/>
      <c r="D25" s="1"/>
      <c r="E25" s="1"/>
      <c r="F25" s="1"/>
      <c r="G25" s="1"/>
      <c r="H25" s="194">
        <v>165</v>
      </c>
      <c r="I25" s="236">
        <v>0</v>
      </c>
      <c r="J25" s="1"/>
      <c r="K25" s="1"/>
      <c r="L25" s="194">
        <v>75</v>
      </c>
      <c r="M25" s="1"/>
      <c r="N25" s="194">
        <v>235</v>
      </c>
      <c r="O25" s="1"/>
      <c r="P25" s="1"/>
      <c r="Q25" s="1"/>
      <c r="R25" s="1"/>
      <c r="S25" s="1"/>
      <c r="T25" s="1"/>
      <c r="U25" s="1"/>
      <c r="V25" s="1"/>
      <c r="W25" s="1"/>
      <c r="X25" s="1">
        <v>266</v>
      </c>
      <c r="Y25" s="7" t="s">
        <v>9</v>
      </c>
      <c r="Z25" s="62">
        <v>20</v>
      </c>
      <c r="AA25" s="73">
        <f>MAX(B25:W25)</f>
        <v>235</v>
      </c>
      <c r="AB25" s="72">
        <f>X25/AA25</f>
        <v>1.1319148936170214</v>
      </c>
      <c r="AC25" s="72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s="8" customFormat="1" ht="18" customHeight="1" x14ac:dyDescent="0.2">
      <c r="A26" s="1">
        <v>2016</v>
      </c>
      <c r="B26" s="1"/>
      <c r="C26" s="1"/>
      <c r="D26" s="1"/>
      <c r="E26" s="1"/>
      <c r="F26" s="1"/>
      <c r="G26" s="1"/>
      <c r="H26" s="99">
        <v>1</v>
      </c>
      <c r="I26" s="194">
        <v>253</v>
      </c>
      <c r="J26" s="194">
        <v>152</v>
      </c>
      <c r="K26" s="13"/>
      <c r="L26" s="316"/>
      <c r="M26" s="236">
        <v>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>
        <v>376</v>
      </c>
      <c r="Y26" s="7"/>
      <c r="Z26" s="62"/>
      <c r="AA26" s="62"/>
      <c r="AB26" s="62"/>
      <c r="AC26" s="62"/>
      <c r="AD26" s="62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s="8" customFormat="1" ht="18" customHeight="1" x14ac:dyDescent="0.2">
      <c r="A27" s="1">
        <v>2017</v>
      </c>
      <c r="B27" s="1"/>
      <c r="C27" s="1"/>
      <c r="D27" s="1"/>
      <c r="E27" s="1"/>
      <c r="F27" s="1"/>
      <c r="G27" s="1"/>
      <c r="H27" s="106">
        <v>14</v>
      </c>
      <c r="I27" s="106">
        <v>45</v>
      </c>
      <c r="J27" s="1"/>
      <c r="K27" s="440"/>
      <c r="L27" s="440"/>
      <c r="M27" s="156">
        <v>315</v>
      </c>
      <c r="N27" s="156">
        <v>93</v>
      </c>
      <c r="O27" s="1"/>
      <c r="P27" s="1"/>
      <c r="Q27" s="1"/>
      <c r="R27" s="1"/>
      <c r="S27" s="1"/>
      <c r="T27" s="1"/>
      <c r="U27" s="1"/>
      <c r="V27" s="1"/>
      <c r="W27" s="1"/>
      <c r="X27" s="1">
        <v>500</v>
      </c>
      <c r="Y27" s="7"/>
      <c r="Z27" s="62"/>
      <c r="AA27" s="62"/>
      <c r="AB27" s="62"/>
      <c r="AC27" s="62"/>
      <c r="AD27" s="62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8" customFormat="1" ht="18" customHeight="1" x14ac:dyDescent="0.2">
      <c r="A28" s="1">
        <v>2018</v>
      </c>
      <c r="B28" s="1"/>
      <c r="C28" s="1"/>
      <c r="D28" s="1"/>
      <c r="E28" s="1"/>
      <c r="F28" s="1"/>
      <c r="G28" s="1"/>
      <c r="H28" s="1"/>
      <c r="I28" s="1"/>
      <c r="J28" s="1"/>
      <c r="K28" s="109">
        <v>440</v>
      </c>
      <c r="L28" s="109">
        <v>26</v>
      </c>
      <c r="M28" s="1"/>
      <c r="N28" s="1"/>
      <c r="O28" s="109">
        <v>0</v>
      </c>
      <c r="P28" s="1"/>
      <c r="Q28" s="1"/>
      <c r="R28" s="1"/>
      <c r="S28" s="1"/>
      <c r="T28" s="1"/>
      <c r="U28" s="1"/>
      <c r="V28" s="1"/>
      <c r="W28" s="1"/>
      <c r="X28" s="1">
        <v>567</v>
      </c>
      <c r="Y28" s="7"/>
      <c r="Z28" s="62"/>
      <c r="AA28" s="62"/>
      <c r="AB28" s="62"/>
      <c r="AC28" s="62"/>
      <c r="AD28" s="62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8" customFormat="1" ht="18" customHeight="1" x14ac:dyDescent="0.2">
      <c r="A29" s="1">
        <v>2019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09">
        <v>15</v>
      </c>
      <c r="N29" s="109">
        <v>1</v>
      </c>
      <c r="O29" s="1"/>
      <c r="P29" s="1"/>
      <c r="Q29" s="1"/>
      <c r="R29" s="1"/>
      <c r="S29" s="1"/>
      <c r="T29" s="1"/>
      <c r="U29" s="1"/>
      <c r="V29" s="1"/>
      <c r="W29" s="1"/>
      <c r="X29" s="1">
        <v>17</v>
      </c>
      <c r="Y29" s="7" t="s">
        <v>336</v>
      </c>
      <c r="Z29" s="62"/>
      <c r="AA29" s="62"/>
      <c r="AB29" s="62"/>
      <c r="AC29" s="62"/>
      <c r="AD29" s="62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8" customFormat="1" ht="18" customHeight="1" x14ac:dyDescent="0.2">
      <c r="A30" s="1">
        <v>2020</v>
      </c>
      <c r="B30" s="1"/>
      <c r="C30" s="1"/>
      <c r="D30" s="1"/>
      <c r="E30" s="1"/>
      <c r="F30" s="1"/>
      <c r="G30" s="1"/>
      <c r="H30" s="1"/>
      <c r="I30" s="1"/>
      <c r="J30" s="156">
        <v>85</v>
      </c>
      <c r="K30" s="536">
        <v>183</v>
      </c>
      <c r="L30" s="1"/>
      <c r="M30" s="156">
        <v>114</v>
      </c>
      <c r="N30" s="536">
        <v>38</v>
      </c>
      <c r="O30" s="1"/>
      <c r="P30" s="156">
        <v>6</v>
      </c>
      <c r="Q30" s="1"/>
      <c r="R30" s="1"/>
      <c r="S30" s="1"/>
      <c r="T30" s="1"/>
      <c r="U30" s="1"/>
      <c r="V30" s="1"/>
      <c r="W30" s="1"/>
      <c r="X30" s="1">
        <v>206</v>
      </c>
      <c r="Y30" s="7" t="s">
        <v>9</v>
      </c>
      <c r="Z30" s="62"/>
      <c r="AA30" s="62"/>
      <c r="AB30" s="62"/>
      <c r="AC30" s="62"/>
      <c r="AD30" s="62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94" customFormat="1" ht="18" customHeight="1" x14ac:dyDescent="0.2">
      <c r="A31" s="227">
        <v>2021</v>
      </c>
      <c r="B31" s="227"/>
      <c r="C31" s="227"/>
      <c r="D31" s="227"/>
      <c r="E31" s="227"/>
      <c r="F31" s="227"/>
      <c r="G31" s="227"/>
      <c r="H31" s="227"/>
      <c r="I31" s="227"/>
      <c r="J31" s="948">
        <v>67</v>
      </c>
      <c r="K31" s="949"/>
      <c r="L31" s="950"/>
      <c r="M31" s="951">
        <f>57+1</f>
        <v>58</v>
      </c>
      <c r="N31" s="952">
        <v>42</v>
      </c>
      <c r="O31" s="896"/>
      <c r="P31" s="953"/>
      <c r="Q31" s="806"/>
      <c r="R31" s="227"/>
      <c r="S31" s="227"/>
      <c r="T31" s="227"/>
      <c r="U31" s="227"/>
      <c r="V31" s="227"/>
      <c r="W31" s="227"/>
      <c r="X31" s="227">
        <v>210</v>
      </c>
      <c r="Y31" s="11"/>
      <c r="Z31" s="750"/>
      <c r="AA31" s="750"/>
      <c r="AB31" s="750"/>
      <c r="AC31" s="750"/>
      <c r="AD31" s="750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</row>
    <row r="32" spans="1:47" s="94" customFormat="1" ht="18" customHeight="1" x14ac:dyDescent="0.2">
      <c r="A32" s="227">
        <v>2022</v>
      </c>
      <c r="B32" s="227"/>
      <c r="C32" s="227"/>
      <c r="D32" s="227"/>
      <c r="E32" s="227"/>
      <c r="F32" s="227"/>
      <c r="G32" s="227"/>
      <c r="H32" s="227"/>
      <c r="I32" s="227"/>
      <c r="J32" s="943"/>
      <c r="K32" s="944"/>
      <c r="L32" s="200">
        <v>0</v>
      </c>
      <c r="M32" s="945"/>
      <c r="N32" s="946">
        <v>0</v>
      </c>
      <c r="O32" s="187"/>
      <c r="P32" s="947"/>
      <c r="Q32" s="799"/>
      <c r="R32" s="227"/>
      <c r="S32" s="227"/>
      <c r="T32" s="227"/>
      <c r="U32" s="227"/>
      <c r="V32" s="227"/>
      <c r="W32" s="227"/>
      <c r="X32" s="227"/>
      <c r="Y32" s="11"/>
      <c r="Z32" s="750"/>
      <c r="AA32" s="750"/>
      <c r="AB32" s="750"/>
      <c r="AC32" s="750"/>
      <c r="AD32" s="750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</row>
    <row r="33" spans="1:47" s="94" customFormat="1" ht="18" customHeight="1" x14ac:dyDescent="0.2">
      <c r="A33" s="227">
        <v>2023</v>
      </c>
      <c r="B33" s="227"/>
      <c r="C33" s="227"/>
      <c r="D33" s="227"/>
      <c r="E33" s="227"/>
      <c r="F33" s="227"/>
      <c r="G33" s="227"/>
      <c r="H33" s="227"/>
      <c r="I33" s="227"/>
      <c r="J33" s="227"/>
      <c r="K33" s="106">
        <v>67</v>
      </c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11"/>
      <c r="Z33" s="750"/>
      <c r="AA33" s="750"/>
      <c r="AB33" s="750"/>
      <c r="AC33" s="750"/>
      <c r="AD33" s="750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</row>
    <row r="34" spans="1:47" s="8" customFormat="1" ht="18" customHeight="1" x14ac:dyDescent="0.2">
      <c r="A34" s="64" t="s">
        <v>17</v>
      </c>
      <c r="B34" s="16"/>
      <c r="C34" s="16">
        <f>AVERAGE(C5:C19)</f>
        <v>2</v>
      </c>
      <c r="D34" s="16"/>
      <c r="E34" s="16">
        <f t="shared" ref="E34:R34" si="0">AVERAGE(E5:E19)</f>
        <v>23</v>
      </c>
      <c r="F34" s="16">
        <f t="shared" si="0"/>
        <v>25.8</v>
      </c>
      <c r="G34" s="16">
        <f t="shared" si="0"/>
        <v>65.8</v>
      </c>
      <c r="H34" s="16">
        <f t="shared" si="0"/>
        <v>109</v>
      </c>
      <c r="I34" s="16">
        <f t="shared" si="0"/>
        <v>213.5</v>
      </c>
      <c r="J34" s="16">
        <f t="shared" si="0"/>
        <v>303.39999999999998</v>
      </c>
      <c r="K34" s="16">
        <f t="shared" si="0"/>
        <v>193</v>
      </c>
      <c r="L34" s="16">
        <f t="shared" si="0"/>
        <v>53.333333333333336</v>
      </c>
      <c r="M34" s="16">
        <f t="shared" si="0"/>
        <v>29.625</v>
      </c>
      <c r="N34" s="16">
        <f t="shared" si="0"/>
        <v>19</v>
      </c>
      <c r="O34" s="16">
        <f t="shared" si="0"/>
        <v>3.5</v>
      </c>
      <c r="P34" s="16">
        <f t="shared" si="0"/>
        <v>0</v>
      </c>
      <c r="Q34" s="16">
        <f t="shared" si="0"/>
        <v>3</v>
      </c>
      <c r="R34" s="16">
        <f t="shared" si="0"/>
        <v>0</v>
      </c>
      <c r="S34" s="16"/>
      <c r="T34" s="16"/>
      <c r="U34" s="16"/>
      <c r="V34" s="16"/>
      <c r="W34" s="16"/>
      <c r="X34" s="16">
        <f>AVERAGE(X5:X19)</f>
        <v>348.33333333333331</v>
      </c>
      <c r="Y34" s="16"/>
      <c r="Z34" s="16">
        <f>AVERAGE(Z5:Z19)</f>
        <v>20.818181818181817</v>
      </c>
      <c r="AB34"/>
      <c r="AC34" s="7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ht="18" customHeight="1" x14ac:dyDescent="0.2">
      <c r="A36" s="1002" t="s">
        <v>604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AA36" s="8"/>
      <c r="AB36"/>
      <c r="AC36" s="74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ht="18" customHeight="1" x14ac:dyDescent="0.2">
      <c r="A40" s="1">
        <v>1995</v>
      </c>
      <c r="B40" s="6"/>
      <c r="C40" s="6"/>
      <c r="D40" s="6"/>
      <c r="E40" s="6"/>
      <c r="F40" s="6"/>
      <c r="G40" s="6">
        <v>121</v>
      </c>
      <c r="H40" s="6"/>
      <c r="I40" s="6"/>
      <c r="J40" s="6">
        <v>10</v>
      </c>
      <c r="K40" s="6"/>
      <c r="L40" s="6"/>
      <c r="M40" s="6">
        <v>0</v>
      </c>
      <c r="N40" s="6"/>
      <c r="O40" s="6"/>
      <c r="P40" s="6"/>
      <c r="Q40" s="6"/>
      <c r="R40" s="6"/>
      <c r="S40" s="6"/>
      <c r="T40" s="13"/>
      <c r="U40" s="13"/>
      <c r="V40" s="13"/>
      <c r="W40" s="13"/>
      <c r="X40" s="29">
        <v>121</v>
      </c>
      <c r="Y40" s="7" t="s">
        <v>7</v>
      </c>
      <c r="Z40" s="58"/>
      <c r="AA40" s="73">
        <f>MAX(B40:W40)</f>
        <v>121</v>
      </c>
      <c r="AB40" s="72">
        <f>X40/AA40</f>
        <v>1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ht="18" customHeight="1" x14ac:dyDescent="0.2">
      <c r="A41" s="1">
        <v>1996</v>
      </c>
      <c r="B41" s="6"/>
      <c r="C41" s="6"/>
      <c r="D41" s="6"/>
      <c r="E41" s="6">
        <v>80</v>
      </c>
      <c r="F41" s="6">
        <v>107</v>
      </c>
      <c r="G41" s="6">
        <v>89</v>
      </c>
      <c r="H41" s="6">
        <v>100</v>
      </c>
      <c r="I41" s="6">
        <v>95</v>
      </c>
      <c r="J41" s="6">
        <v>135</v>
      </c>
      <c r="K41" s="6">
        <v>77</v>
      </c>
      <c r="L41" s="6"/>
      <c r="M41" s="6"/>
      <c r="N41" s="6"/>
      <c r="O41" s="6">
        <v>60</v>
      </c>
      <c r="P41" s="6"/>
      <c r="Q41" s="6">
        <v>70</v>
      </c>
      <c r="R41" s="6"/>
      <c r="S41" s="6"/>
      <c r="T41" s="13"/>
      <c r="U41" s="13"/>
      <c r="V41" s="13"/>
      <c r="W41" s="13"/>
      <c r="X41" s="29">
        <v>170</v>
      </c>
      <c r="Y41" s="7" t="s">
        <v>5</v>
      </c>
      <c r="Z41" s="60">
        <v>65</v>
      </c>
      <c r="AA41" s="73">
        <f t="shared" ref="AA41:AA54" si="1">MAX(B41:W41)</f>
        <v>135</v>
      </c>
      <c r="AB41" s="72">
        <f t="shared" ref="AB41:AB54" si="2">X41/AA41</f>
        <v>1.2592592592592593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ht="18" customHeight="1" x14ac:dyDescent="0.2">
      <c r="A42" s="1">
        <v>1997</v>
      </c>
      <c r="B42" s="6"/>
      <c r="C42" s="6">
        <v>2</v>
      </c>
      <c r="D42" s="6"/>
      <c r="E42" s="6"/>
      <c r="F42" s="6"/>
      <c r="G42" s="6">
        <v>12</v>
      </c>
      <c r="H42" s="6">
        <v>8</v>
      </c>
      <c r="I42" s="6">
        <v>410</v>
      </c>
      <c r="J42" s="6"/>
      <c r="K42" s="6">
        <v>155</v>
      </c>
      <c r="L42" s="6"/>
      <c r="M42" s="6">
        <v>22</v>
      </c>
      <c r="N42" s="6">
        <v>6</v>
      </c>
      <c r="O42" s="6"/>
      <c r="P42" s="6"/>
      <c r="Q42" s="6"/>
      <c r="R42" s="6"/>
      <c r="S42" s="6"/>
      <c r="T42" s="13"/>
      <c r="U42" s="13"/>
      <c r="V42" s="13"/>
      <c r="W42" s="13"/>
      <c r="X42" s="29">
        <v>555</v>
      </c>
      <c r="Y42" s="7" t="s">
        <v>5</v>
      </c>
      <c r="Z42" s="58">
        <v>20</v>
      </c>
      <c r="AA42" s="73">
        <f t="shared" si="1"/>
        <v>410</v>
      </c>
      <c r="AB42" s="72">
        <f t="shared" si="2"/>
        <v>1.3536585365853659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ht="18" customHeight="1" x14ac:dyDescent="0.2">
      <c r="A43" s="1">
        <v>1998</v>
      </c>
      <c r="B43" s="6"/>
      <c r="C43" s="6"/>
      <c r="D43" s="6"/>
      <c r="E43" s="6"/>
      <c r="F43" s="6"/>
      <c r="G43" s="6">
        <v>38</v>
      </c>
      <c r="H43" s="6"/>
      <c r="I43" s="6">
        <v>315</v>
      </c>
      <c r="J43" s="6">
        <v>283</v>
      </c>
      <c r="K43" s="6">
        <v>295</v>
      </c>
      <c r="L43" s="6">
        <v>135</v>
      </c>
      <c r="M43" s="6"/>
      <c r="N43" s="6">
        <v>200</v>
      </c>
      <c r="O43" s="6">
        <v>9</v>
      </c>
      <c r="P43" s="6"/>
      <c r="Q43" s="6">
        <v>3</v>
      </c>
      <c r="R43" s="6"/>
      <c r="S43" s="6"/>
      <c r="T43" s="13"/>
      <c r="U43" s="13"/>
      <c r="V43" s="13"/>
      <c r="W43" s="13"/>
      <c r="X43" s="29">
        <v>578</v>
      </c>
      <c r="Y43" s="7" t="s">
        <v>5</v>
      </c>
      <c r="Z43" s="58">
        <v>30</v>
      </c>
      <c r="AA43" s="73">
        <f t="shared" si="1"/>
        <v>315</v>
      </c>
      <c r="AB43" s="72">
        <f t="shared" si="2"/>
        <v>1.8349206349206348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ht="18" customHeight="1" x14ac:dyDescent="0.2">
      <c r="A44" s="1">
        <v>1999</v>
      </c>
      <c r="B44" s="6"/>
      <c r="C44" s="6"/>
      <c r="D44" s="6"/>
      <c r="E44" s="6"/>
      <c r="F44" s="6">
        <v>17</v>
      </c>
      <c r="G44" s="6">
        <v>87</v>
      </c>
      <c r="H44" s="6"/>
      <c r="I44" s="6">
        <v>80</v>
      </c>
      <c r="J44" s="6"/>
      <c r="K44" s="6">
        <v>85</v>
      </c>
      <c r="L44" s="6"/>
      <c r="M44" s="6">
        <v>470</v>
      </c>
      <c r="N44" s="6"/>
      <c r="O44" s="6">
        <v>217</v>
      </c>
      <c r="P44" s="6"/>
      <c r="Q44" s="6"/>
      <c r="R44" s="6"/>
      <c r="S44" s="6"/>
      <c r="T44" s="13"/>
      <c r="U44" s="13"/>
      <c r="V44" s="13"/>
      <c r="W44" s="13"/>
      <c r="X44" s="29">
        <v>522</v>
      </c>
      <c r="Y44" s="7" t="s">
        <v>7</v>
      </c>
      <c r="Z44" s="58"/>
      <c r="AA44" s="73">
        <f t="shared" si="1"/>
        <v>470</v>
      </c>
      <c r="AB44" s="72">
        <f t="shared" si="2"/>
        <v>1.1106382978723404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ht="18" customHeight="1" x14ac:dyDescent="0.2">
      <c r="A45" s="1">
        <v>2000</v>
      </c>
      <c r="B45" s="6"/>
      <c r="C45" s="6"/>
      <c r="D45" s="6"/>
      <c r="E45" s="6"/>
      <c r="F45" s="6">
        <v>15</v>
      </c>
      <c r="G45" s="6"/>
      <c r="H45" s="6"/>
      <c r="I45" s="6">
        <v>21</v>
      </c>
      <c r="J45" s="6"/>
      <c r="K45" s="6">
        <v>21</v>
      </c>
      <c r="L45" s="6"/>
      <c r="M45" s="6"/>
      <c r="N45" s="6"/>
      <c r="O45" s="6"/>
      <c r="P45" s="6"/>
      <c r="Q45" s="6">
        <v>55</v>
      </c>
      <c r="R45" s="6"/>
      <c r="S45" s="6"/>
      <c r="T45" s="13"/>
      <c r="U45" s="13"/>
      <c r="V45" s="13"/>
      <c r="W45" s="13"/>
      <c r="X45" s="29">
        <v>75</v>
      </c>
      <c r="Y45" s="7" t="s">
        <v>7</v>
      </c>
      <c r="Z45" s="58"/>
      <c r="AA45" s="73">
        <f t="shared" si="1"/>
        <v>55</v>
      </c>
      <c r="AB45" s="72">
        <f t="shared" si="2"/>
        <v>1.3636363636363635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ht="18" customHeight="1" x14ac:dyDescent="0.2">
      <c r="A46" s="1">
        <v>2001</v>
      </c>
      <c r="B46" s="6"/>
      <c r="C46" s="6"/>
      <c r="D46" s="6"/>
      <c r="E46" s="6"/>
      <c r="F46" s="6">
        <v>25</v>
      </c>
      <c r="G46" s="6"/>
      <c r="H46" s="6"/>
      <c r="I46" s="6">
        <v>60</v>
      </c>
      <c r="J46" s="6"/>
      <c r="K46" s="6"/>
      <c r="L46" s="6">
        <v>8</v>
      </c>
      <c r="M46" s="6"/>
      <c r="N46" s="6">
        <v>167</v>
      </c>
      <c r="O46" s="6"/>
      <c r="P46" s="6"/>
      <c r="Q46" s="6"/>
      <c r="R46" s="6">
        <v>135</v>
      </c>
      <c r="S46" s="6"/>
      <c r="T46" s="13"/>
      <c r="U46" s="13"/>
      <c r="V46" s="13"/>
      <c r="W46" s="13"/>
      <c r="X46" s="29">
        <v>200</v>
      </c>
      <c r="Y46" s="7" t="s">
        <v>7</v>
      </c>
      <c r="Z46" s="58"/>
      <c r="AA46" s="73">
        <f t="shared" si="1"/>
        <v>167</v>
      </c>
      <c r="AB46" s="72">
        <f t="shared" si="2"/>
        <v>1.1976047904191616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ht="18" customHeight="1" x14ac:dyDescent="0.2">
      <c r="A47" s="1">
        <v>2002</v>
      </c>
      <c r="B47" s="6"/>
      <c r="C47" s="6"/>
      <c r="D47" s="6"/>
      <c r="E47" s="6"/>
      <c r="F47" s="6"/>
      <c r="G47" s="6"/>
      <c r="H47" s="6"/>
      <c r="I47" s="6">
        <v>31</v>
      </c>
      <c r="J47" s="6"/>
      <c r="K47" s="6">
        <v>150</v>
      </c>
      <c r="L47" s="6"/>
      <c r="M47" s="6">
        <v>338</v>
      </c>
      <c r="N47" s="6"/>
      <c r="O47" s="6"/>
      <c r="P47" s="6"/>
      <c r="Q47" s="6">
        <v>150</v>
      </c>
      <c r="R47" s="6"/>
      <c r="S47" s="6"/>
      <c r="T47" s="13"/>
      <c r="U47" s="13"/>
      <c r="V47" s="13"/>
      <c r="W47" s="13"/>
      <c r="X47" s="29">
        <v>528</v>
      </c>
      <c r="Y47" s="7" t="s">
        <v>5</v>
      </c>
      <c r="Z47" s="60">
        <v>45</v>
      </c>
      <c r="AA47" s="73">
        <f t="shared" si="1"/>
        <v>338</v>
      </c>
      <c r="AB47" s="72">
        <f t="shared" si="2"/>
        <v>1.5621301775147929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ht="18" customHeight="1" x14ac:dyDescent="0.2">
      <c r="A48" s="1">
        <v>2003</v>
      </c>
      <c r="B48" s="6"/>
      <c r="C48" s="6"/>
      <c r="D48" s="6"/>
      <c r="E48" s="6"/>
      <c r="F48" s="6"/>
      <c r="G48" s="6"/>
      <c r="H48" s="6"/>
      <c r="I48" s="6">
        <v>78</v>
      </c>
      <c r="J48" s="6"/>
      <c r="K48" s="6"/>
      <c r="L48" s="6"/>
      <c r="M48" s="6"/>
      <c r="N48" s="6">
        <v>290</v>
      </c>
      <c r="O48" s="6"/>
      <c r="P48" s="6"/>
      <c r="Q48" s="6"/>
      <c r="R48" s="6"/>
      <c r="S48" s="6"/>
      <c r="T48" s="13"/>
      <c r="U48" s="13"/>
      <c r="V48" s="13"/>
      <c r="W48" s="13"/>
      <c r="X48" s="29">
        <v>310</v>
      </c>
      <c r="Y48" s="7" t="s">
        <v>9</v>
      </c>
      <c r="Z48" s="58"/>
      <c r="AA48" s="73">
        <f t="shared" si="1"/>
        <v>290</v>
      </c>
      <c r="AB48" s="72">
        <f t="shared" si="2"/>
        <v>1.0689655172413792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8" customHeight="1" x14ac:dyDescent="0.2">
      <c r="A49" s="1">
        <v>2004</v>
      </c>
      <c r="B49" s="6"/>
      <c r="C49" s="6"/>
      <c r="D49" s="6"/>
      <c r="E49" s="6"/>
      <c r="F49" s="6"/>
      <c r="G49" s="6"/>
      <c r="H49" s="6"/>
      <c r="I49" s="6"/>
      <c r="J49" s="6">
        <v>115</v>
      </c>
      <c r="K49" s="6"/>
      <c r="L49" s="6"/>
      <c r="M49" s="6">
        <v>420</v>
      </c>
      <c r="N49" s="6"/>
      <c r="O49" s="6">
        <v>400</v>
      </c>
      <c r="P49" s="6"/>
      <c r="Q49" s="6"/>
      <c r="R49" s="6"/>
      <c r="S49" s="6"/>
      <c r="T49" s="13"/>
      <c r="U49" s="13"/>
      <c r="V49" s="13"/>
      <c r="W49" s="13"/>
      <c r="X49" s="21">
        <v>130</v>
      </c>
      <c r="Y49" s="7" t="s">
        <v>5</v>
      </c>
      <c r="Z49" s="59">
        <v>45</v>
      </c>
      <c r="AA49" s="73">
        <f t="shared" si="1"/>
        <v>420</v>
      </c>
      <c r="AB49" s="72">
        <f t="shared" si="2"/>
        <v>0.30952380952380953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8" customHeight="1" x14ac:dyDescent="0.2">
      <c r="A50" s="1">
        <v>2005</v>
      </c>
      <c r="B50" s="6"/>
      <c r="C50" s="6"/>
      <c r="D50" s="6"/>
      <c r="E50" s="6"/>
      <c r="F50" s="6">
        <v>9</v>
      </c>
      <c r="G50" s="6"/>
      <c r="H50" s="6"/>
      <c r="I50" s="6"/>
      <c r="J50" s="6"/>
      <c r="K50" s="6"/>
      <c r="L50" s="6"/>
      <c r="M50" s="6">
        <v>68</v>
      </c>
      <c r="N50" s="6"/>
      <c r="O50" s="6"/>
      <c r="P50" s="6"/>
      <c r="Q50" s="6"/>
      <c r="R50" s="6"/>
      <c r="S50" s="6"/>
      <c r="T50" s="13"/>
      <c r="U50" s="13"/>
      <c r="V50" s="13"/>
      <c r="W50" s="13"/>
      <c r="X50" s="29">
        <v>75</v>
      </c>
      <c r="Y50" s="7" t="s">
        <v>9</v>
      </c>
      <c r="AA50" s="73">
        <f t="shared" si="1"/>
        <v>68</v>
      </c>
      <c r="AB50" s="72">
        <f t="shared" si="2"/>
        <v>1.1029411764705883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8" customHeight="1" x14ac:dyDescent="0.2">
      <c r="A51" s="1">
        <v>2006</v>
      </c>
      <c r="B51" s="6"/>
      <c r="C51" s="6"/>
      <c r="D51" s="6"/>
      <c r="E51" s="6"/>
      <c r="F51" s="6"/>
      <c r="G51" s="6"/>
      <c r="H51" s="6"/>
      <c r="I51" s="6">
        <v>107</v>
      </c>
      <c r="J51" s="6"/>
      <c r="K51" s="6">
        <v>166</v>
      </c>
      <c r="L51" s="6"/>
      <c r="M51" s="6"/>
      <c r="N51" s="6">
        <v>575</v>
      </c>
      <c r="O51" s="6"/>
      <c r="P51" s="6"/>
      <c r="Q51" s="6"/>
      <c r="R51" s="6"/>
      <c r="S51" s="6"/>
      <c r="T51" s="13"/>
      <c r="U51" s="13"/>
      <c r="V51" s="13"/>
      <c r="W51" s="13"/>
      <c r="X51" s="30">
        <v>722</v>
      </c>
      <c r="Y51" s="7" t="s">
        <v>5</v>
      </c>
      <c r="Z51" s="60">
        <v>37.5</v>
      </c>
      <c r="AA51" s="73">
        <f t="shared" si="1"/>
        <v>575</v>
      </c>
      <c r="AB51" s="72">
        <f t="shared" si="2"/>
        <v>1.2556521739130435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8" customHeight="1" x14ac:dyDescent="0.2">
      <c r="A52" s="1">
        <v>2007</v>
      </c>
      <c r="B52" s="6"/>
      <c r="C52" s="6"/>
      <c r="D52" s="6"/>
      <c r="E52" s="6"/>
      <c r="F52" s="6"/>
      <c r="G52" s="6"/>
      <c r="H52" s="6"/>
      <c r="I52" s="6">
        <v>45</v>
      </c>
      <c r="J52" s="6"/>
      <c r="K52" s="6">
        <v>88</v>
      </c>
      <c r="L52" s="6"/>
      <c r="M52" s="6">
        <v>66</v>
      </c>
      <c r="N52" s="6"/>
      <c r="O52" s="6">
        <v>90</v>
      </c>
      <c r="P52" s="6"/>
      <c r="Q52" s="6"/>
      <c r="R52" s="6"/>
      <c r="S52" s="6"/>
      <c r="T52" s="13"/>
      <c r="U52" s="13"/>
      <c r="V52" s="13"/>
      <c r="W52" s="13"/>
      <c r="X52" s="30">
        <v>133</v>
      </c>
      <c r="Y52" s="7" t="s">
        <v>5</v>
      </c>
      <c r="Z52" s="60">
        <v>45</v>
      </c>
      <c r="AA52" s="73">
        <f t="shared" si="1"/>
        <v>90</v>
      </c>
      <c r="AB52" s="72">
        <f t="shared" si="2"/>
        <v>1.4777777777777779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55" customFormat="1" ht="18" customHeight="1" x14ac:dyDescent="0.2">
      <c r="A53" s="13">
        <v>2008</v>
      </c>
      <c r="B53" s="13"/>
      <c r="C53" s="13"/>
      <c r="D53" s="13"/>
      <c r="E53" s="13"/>
      <c r="F53" s="13"/>
      <c r="G53" s="13"/>
      <c r="H53" s="13"/>
      <c r="I53" s="13">
        <v>101</v>
      </c>
      <c r="J53" s="13">
        <v>219</v>
      </c>
      <c r="K53" s="13"/>
      <c r="L53" s="13">
        <v>435</v>
      </c>
      <c r="M53" s="13">
        <v>219</v>
      </c>
      <c r="N53" s="13"/>
      <c r="O53" s="13">
        <v>130</v>
      </c>
      <c r="P53" s="13"/>
      <c r="Q53" s="13"/>
      <c r="R53" s="13"/>
      <c r="S53" s="13"/>
      <c r="T53" s="13"/>
      <c r="U53" s="13"/>
      <c r="V53" s="13"/>
      <c r="W53" s="13"/>
      <c r="X53" s="29">
        <v>670</v>
      </c>
      <c r="Y53" s="7" t="s">
        <v>5</v>
      </c>
      <c r="Z53" s="58"/>
      <c r="AA53" s="73">
        <f t="shared" si="1"/>
        <v>435</v>
      </c>
      <c r="AB53" s="72">
        <f t="shared" si="2"/>
        <v>1.5402298850574712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8" customHeight="1" x14ac:dyDescent="0.2">
      <c r="A54" s="13">
        <v>2009</v>
      </c>
      <c r="B54" s="13"/>
      <c r="C54" s="13"/>
      <c r="D54" s="13"/>
      <c r="E54" s="13"/>
      <c r="F54" s="13"/>
      <c r="G54" s="13"/>
      <c r="H54" s="13"/>
      <c r="I54" s="13">
        <v>25</v>
      </c>
      <c r="J54" s="13"/>
      <c r="K54" s="13">
        <v>162</v>
      </c>
      <c r="L54" s="13">
        <v>80</v>
      </c>
      <c r="M54" s="13"/>
      <c r="N54" s="13">
        <v>226</v>
      </c>
      <c r="O54" s="13"/>
      <c r="P54" s="13">
        <v>78</v>
      </c>
      <c r="Q54" s="13"/>
      <c r="R54" s="13"/>
      <c r="S54" s="13"/>
      <c r="T54" s="13"/>
      <c r="U54" s="13"/>
      <c r="V54" s="13"/>
      <c r="W54" s="13"/>
      <c r="X54" s="29">
        <v>485</v>
      </c>
      <c r="Y54" s="7" t="s">
        <v>5</v>
      </c>
      <c r="Z54" s="58">
        <v>30</v>
      </c>
      <c r="AA54" s="73">
        <f t="shared" si="1"/>
        <v>226</v>
      </c>
      <c r="AB54" s="72">
        <f t="shared" si="2"/>
        <v>2.1460176991150441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8" customHeight="1" x14ac:dyDescent="0.2">
      <c r="A55" s="13">
        <v>2010</v>
      </c>
      <c r="B55" s="13"/>
      <c r="C55" s="13"/>
      <c r="D55" s="13"/>
      <c r="E55" s="13"/>
      <c r="F55" s="13"/>
      <c r="G55" s="13"/>
      <c r="H55" s="13"/>
      <c r="I55" s="13"/>
      <c r="J55" s="1">
        <v>0</v>
      </c>
      <c r="K55" s="1"/>
      <c r="L55" s="1"/>
      <c r="M55" s="1"/>
      <c r="N55" s="1">
        <v>50</v>
      </c>
      <c r="O55" s="13"/>
      <c r="P55" s="13"/>
      <c r="Q55" s="13"/>
      <c r="R55" s="13"/>
      <c r="S55" s="13"/>
      <c r="T55" s="13"/>
      <c r="U55" s="13"/>
      <c r="V55" s="13"/>
      <c r="W55" s="13"/>
      <c r="X55" s="29"/>
      <c r="Y55" s="7"/>
      <c r="Z55" s="58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8" customHeight="1" x14ac:dyDescent="0.2">
      <c r="A56" s="13">
        <v>2011</v>
      </c>
      <c r="B56" s="13"/>
      <c r="C56" s="13"/>
      <c r="D56" s="13"/>
      <c r="E56" s="13"/>
      <c r="F56" s="13"/>
      <c r="G56" s="13"/>
      <c r="H56" s="13">
        <v>175</v>
      </c>
      <c r="I56" s="13"/>
      <c r="J56" s="13"/>
      <c r="K56" s="13">
        <v>44</v>
      </c>
      <c r="L56" s="13"/>
      <c r="M56" s="13">
        <v>185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29">
        <v>330</v>
      </c>
      <c r="Y56" s="7" t="s">
        <v>9</v>
      </c>
      <c r="Z56" s="58"/>
      <c r="AA56" s="91">
        <f t="shared" ref="AA56:AA61" si="3">MAX(B56:W56)</f>
        <v>185</v>
      </c>
      <c r="AB56" s="72">
        <f t="shared" ref="AB56:AB61" si="4">X56/AA56</f>
        <v>1.7837837837837838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8" customHeight="1" x14ac:dyDescent="0.2">
      <c r="A57" s="13">
        <v>2012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>
        <v>5</v>
      </c>
      <c r="N57" s="13">
        <v>74</v>
      </c>
      <c r="O57" s="13"/>
      <c r="P57" s="13"/>
      <c r="Q57" s="13"/>
      <c r="R57" s="13"/>
      <c r="S57" s="13"/>
      <c r="T57" s="13"/>
      <c r="U57" s="13"/>
      <c r="V57" s="13"/>
      <c r="W57" s="13"/>
      <c r="X57" s="29">
        <v>148</v>
      </c>
      <c r="Y57" s="7" t="s">
        <v>9</v>
      </c>
      <c r="Z57" s="58"/>
      <c r="AA57" s="91">
        <f t="shared" si="3"/>
        <v>74</v>
      </c>
      <c r="AB57" s="72">
        <f t="shared" si="4"/>
        <v>2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8" customHeight="1" x14ac:dyDescent="0.2">
      <c r="A58" s="13">
        <v>2013</v>
      </c>
      <c r="B58" s="13"/>
      <c r="C58" s="13"/>
      <c r="D58" s="13"/>
      <c r="E58" s="13"/>
      <c r="F58" s="13"/>
      <c r="G58" s="13"/>
      <c r="H58" s="13">
        <v>10</v>
      </c>
      <c r="I58" s="13">
        <v>50</v>
      </c>
      <c r="J58" s="13"/>
      <c r="K58" s="13">
        <v>102</v>
      </c>
      <c r="L58" s="13"/>
      <c r="M58" s="13">
        <v>509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29">
        <v>509</v>
      </c>
      <c r="Y58" s="7" t="s">
        <v>9</v>
      </c>
      <c r="Z58" s="58"/>
      <c r="AA58" s="91">
        <f t="shared" si="3"/>
        <v>509</v>
      </c>
      <c r="AB58" s="72">
        <f t="shared" si="4"/>
        <v>1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8" customHeight="1" x14ac:dyDescent="0.2">
      <c r="A59" s="13">
        <v>2014</v>
      </c>
      <c r="B59" s="13"/>
      <c r="C59" s="13"/>
      <c r="D59" s="13"/>
      <c r="E59" s="13"/>
      <c r="F59" s="13"/>
      <c r="G59" s="13">
        <v>168</v>
      </c>
      <c r="H59" s="13"/>
      <c r="I59" s="13"/>
      <c r="J59" s="13"/>
      <c r="K59" s="13">
        <v>92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29">
        <v>233</v>
      </c>
      <c r="Y59" s="7" t="s">
        <v>9</v>
      </c>
      <c r="Z59" s="58"/>
      <c r="AA59" s="91">
        <f t="shared" si="3"/>
        <v>168</v>
      </c>
      <c r="AB59" s="72">
        <f t="shared" si="4"/>
        <v>1.3869047619047619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8" customHeight="1" x14ac:dyDescent="0.2">
      <c r="A60" s="13">
        <v>2015</v>
      </c>
      <c r="B60" s="13"/>
      <c r="C60" s="13"/>
      <c r="D60" s="13"/>
      <c r="E60" s="13"/>
      <c r="F60" s="13"/>
      <c r="G60" s="13"/>
      <c r="H60" s="194">
        <v>105</v>
      </c>
      <c r="I60" s="236">
        <v>0</v>
      </c>
      <c r="J60" s="1"/>
      <c r="K60" s="1"/>
      <c r="L60" s="194">
        <v>91</v>
      </c>
      <c r="M60" s="1"/>
      <c r="N60" s="194">
        <v>427</v>
      </c>
      <c r="O60" s="13"/>
      <c r="P60" s="13"/>
      <c r="Q60" s="13"/>
      <c r="R60" s="13"/>
      <c r="S60" s="13"/>
      <c r="T60" s="13"/>
      <c r="U60" s="13"/>
      <c r="V60" s="13"/>
      <c r="W60" s="13"/>
      <c r="X60" s="29">
        <v>474</v>
      </c>
      <c r="Y60" s="7" t="s">
        <v>9</v>
      </c>
      <c r="Z60" s="58"/>
      <c r="AA60" s="91">
        <f t="shared" si="3"/>
        <v>427</v>
      </c>
      <c r="AB60" s="72">
        <f t="shared" si="4"/>
        <v>1.1100702576112411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8" customHeight="1" x14ac:dyDescent="0.2">
      <c r="A61" s="13">
        <v>2016</v>
      </c>
      <c r="B61" s="13"/>
      <c r="C61" s="13"/>
      <c r="D61" s="13"/>
      <c r="E61" s="13"/>
      <c r="F61" s="13"/>
      <c r="G61" s="13"/>
      <c r="H61" s="99">
        <v>0</v>
      </c>
      <c r="I61" s="194">
        <v>20</v>
      </c>
      <c r="J61" s="194">
        <v>152</v>
      </c>
      <c r="K61" s="13">
        <v>591</v>
      </c>
      <c r="L61" s="316"/>
      <c r="M61" s="236">
        <v>33</v>
      </c>
      <c r="N61" s="13"/>
      <c r="O61" s="13"/>
      <c r="P61" s="13"/>
      <c r="Q61" s="194">
        <v>0</v>
      </c>
      <c r="R61" s="13"/>
      <c r="S61" s="13"/>
      <c r="T61" s="13"/>
      <c r="U61" s="13"/>
      <c r="V61" s="13"/>
      <c r="W61" s="13"/>
      <c r="X61" s="29">
        <v>739</v>
      </c>
      <c r="Y61" s="7" t="s">
        <v>9</v>
      </c>
      <c r="Z61" s="58"/>
      <c r="AA61" s="91">
        <f t="shared" si="3"/>
        <v>591</v>
      </c>
      <c r="AB61" s="72">
        <f t="shared" si="4"/>
        <v>1.2504230118443316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8" customHeight="1" x14ac:dyDescent="0.2">
      <c r="A62" s="13">
        <v>2017</v>
      </c>
      <c r="B62" s="13"/>
      <c r="C62" s="13"/>
      <c r="D62" s="13"/>
      <c r="E62" s="13"/>
      <c r="F62" s="13"/>
      <c r="G62" s="13"/>
      <c r="H62" s="109">
        <v>174</v>
      </c>
      <c r="I62" s="109">
        <v>380</v>
      </c>
      <c r="J62" s="13"/>
      <c r="K62" s="439"/>
      <c r="L62" s="439"/>
      <c r="M62" s="13">
        <v>2</v>
      </c>
      <c r="N62" s="109">
        <v>113</v>
      </c>
      <c r="O62" s="13"/>
      <c r="P62" s="13"/>
      <c r="Q62" s="13"/>
      <c r="R62" s="13"/>
      <c r="S62" s="13"/>
      <c r="T62" s="13"/>
      <c r="U62" s="13"/>
      <c r="V62" s="13"/>
      <c r="W62" s="13"/>
      <c r="X62" s="29">
        <v>422</v>
      </c>
      <c r="Y62" s="7"/>
      <c r="Z62" s="58"/>
      <c r="AA62" s="91">
        <f>MAX(B62:W62)</f>
        <v>380</v>
      </c>
      <c r="AB62" s="72">
        <f>X62/AA62</f>
        <v>1.1105263157894736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ht="18" customHeight="1" x14ac:dyDescent="0.2">
      <c r="A63" s="13">
        <v>2018</v>
      </c>
      <c r="B63" s="13"/>
      <c r="C63" s="13"/>
      <c r="D63" s="13"/>
      <c r="E63" s="13"/>
      <c r="F63" s="13"/>
      <c r="G63" s="13"/>
      <c r="H63" s="13"/>
      <c r="I63" s="13"/>
      <c r="J63" s="13"/>
      <c r="K63" s="109">
        <v>380</v>
      </c>
      <c r="L63" s="109">
        <v>171</v>
      </c>
      <c r="M63" s="13"/>
      <c r="N63" s="13"/>
      <c r="O63" s="109">
        <v>76</v>
      </c>
      <c r="P63" s="13"/>
      <c r="Q63" s="13"/>
      <c r="R63" s="13"/>
      <c r="S63" s="13"/>
      <c r="T63" s="13"/>
      <c r="U63" s="13"/>
      <c r="V63" s="13"/>
      <c r="W63" s="13"/>
      <c r="X63" s="29">
        <v>484</v>
      </c>
      <c r="Y63" s="7" t="s">
        <v>9</v>
      </c>
      <c r="Z63" s="58"/>
      <c r="AA63" s="91">
        <f>MAX(B63:W63)</f>
        <v>380</v>
      </c>
      <c r="AB63" s="72">
        <f>X63/AA63</f>
        <v>1.2736842105263158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ht="18" customHeight="1" x14ac:dyDescent="0.2">
      <c r="A64" s="13">
        <v>2019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09">
        <v>67</v>
      </c>
      <c r="N64" s="109">
        <v>160</v>
      </c>
      <c r="O64" s="13"/>
      <c r="P64" s="13"/>
      <c r="Q64" s="13"/>
      <c r="R64" s="13"/>
      <c r="S64" s="13"/>
      <c r="T64" s="13"/>
      <c r="U64" s="13"/>
      <c r="V64" s="13"/>
      <c r="W64" s="13"/>
      <c r="X64" s="29">
        <v>200</v>
      </c>
      <c r="Y64" s="7" t="s">
        <v>9</v>
      </c>
      <c r="Z64" s="58"/>
      <c r="AA64" s="91">
        <f>MAX(B64:W64)</f>
        <v>160</v>
      </c>
      <c r="AB64" s="72">
        <f>X64/AA64</f>
        <v>1.25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ht="18" customHeight="1" x14ac:dyDescent="0.2">
      <c r="A65" s="13">
        <v>2020</v>
      </c>
      <c r="B65" s="13"/>
      <c r="C65" s="13"/>
      <c r="D65" s="13"/>
      <c r="E65" s="13"/>
      <c r="F65" s="13"/>
      <c r="G65" s="13"/>
      <c r="H65" s="13"/>
      <c r="I65" s="13"/>
      <c r="J65" s="155">
        <v>5</v>
      </c>
      <c r="K65" s="155">
        <v>159</v>
      </c>
      <c r="L65" s="13"/>
      <c r="M65" s="590">
        <v>46</v>
      </c>
      <c r="N65" s="109">
        <v>91</v>
      </c>
      <c r="O65" s="13"/>
      <c r="P65" s="155">
        <v>32</v>
      </c>
      <c r="Q65" s="13"/>
      <c r="R65" s="13"/>
      <c r="S65" s="13"/>
      <c r="T65" s="13"/>
      <c r="U65" s="13"/>
      <c r="V65" s="13"/>
      <c r="W65" s="13"/>
      <c r="X65" s="29">
        <v>177</v>
      </c>
      <c r="Y65" s="7" t="s">
        <v>9</v>
      </c>
      <c r="Z65" s="58"/>
      <c r="AA65" s="91">
        <f>MAX(B65:W65)</f>
        <v>159</v>
      </c>
      <c r="AB65" s="72">
        <f>X65/AA65</f>
        <v>1.1132075471698113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s="150" customFormat="1" ht="18" customHeight="1" x14ac:dyDescent="0.2">
      <c r="A66" s="89">
        <v>2021</v>
      </c>
      <c r="B66" s="89"/>
      <c r="C66" s="89"/>
      <c r="D66" s="89"/>
      <c r="E66" s="89"/>
      <c r="F66" s="89"/>
      <c r="G66" s="89"/>
      <c r="H66" s="89"/>
      <c r="I66" s="89"/>
      <c r="J66" s="951">
        <v>45</v>
      </c>
      <c r="K66" s="954"/>
      <c r="L66" s="950"/>
      <c r="M66" s="955">
        <v>43</v>
      </c>
      <c r="N66" s="946">
        <f>36+1</f>
        <v>37</v>
      </c>
      <c r="O66" s="896"/>
      <c r="P66" s="953"/>
      <c r="Q66" s="186">
        <v>3</v>
      </c>
      <c r="R66" s="89"/>
      <c r="S66" s="89"/>
      <c r="T66" s="89"/>
      <c r="U66" s="89"/>
      <c r="V66" s="89"/>
      <c r="W66" s="89"/>
      <c r="X66" s="21">
        <v>121</v>
      </c>
      <c r="Y66" s="11"/>
      <c r="Z66" s="92"/>
      <c r="AA66" s="7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</row>
    <row r="67" spans="1:47" s="150" customFormat="1" ht="18" customHeight="1" x14ac:dyDescent="0.2">
      <c r="A67" s="89">
        <v>2022</v>
      </c>
      <c r="B67" s="89"/>
      <c r="C67" s="89"/>
      <c r="D67" s="89"/>
      <c r="E67" s="89"/>
      <c r="F67" s="89"/>
      <c r="G67" s="89"/>
      <c r="H67" s="89"/>
      <c r="I67" s="89"/>
      <c r="J67" s="945"/>
      <c r="K67" s="812"/>
      <c r="L67" s="200">
        <v>0</v>
      </c>
      <c r="M67" s="956"/>
      <c r="N67" s="946">
        <v>3</v>
      </c>
      <c r="O67" s="187"/>
      <c r="P67" s="947"/>
      <c r="Q67" s="187"/>
      <c r="R67" s="89"/>
      <c r="S67" s="89"/>
      <c r="T67" s="89"/>
      <c r="U67" s="89"/>
      <c r="V67" s="89"/>
      <c r="W67" s="89"/>
      <c r="X67" s="21"/>
      <c r="Y67" s="11"/>
      <c r="Z67" s="92"/>
      <c r="AA67" s="7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</row>
    <row r="68" spans="1:47" s="150" customFormat="1" ht="18" customHeight="1" x14ac:dyDescent="0.2">
      <c r="A68" s="89">
        <v>2023</v>
      </c>
      <c r="B68" s="89"/>
      <c r="C68" s="89"/>
      <c r="D68" s="89"/>
      <c r="E68" s="89"/>
      <c r="F68" s="89"/>
      <c r="G68" s="89"/>
      <c r="H68" s="89"/>
      <c r="I68" s="89"/>
      <c r="J68" s="89"/>
      <c r="K68" s="109">
        <v>375</v>
      </c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21"/>
      <c r="Y68" s="11"/>
      <c r="Z68" s="92"/>
      <c r="AA68" s="7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</row>
    <row r="69" spans="1:47" ht="18" customHeight="1" x14ac:dyDescent="0.2">
      <c r="A69" s="64" t="s">
        <v>17</v>
      </c>
      <c r="B69" s="16"/>
      <c r="C69" s="16">
        <f>AVERAGE(C40:C54)</f>
        <v>2</v>
      </c>
      <c r="D69" s="16"/>
      <c r="E69" s="16">
        <f t="shared" ref="E69:R69" si="5">AVERAGE(E40:E54)</f>
        <v>80</v>
      </c>
      <c r="F69" s="16">
        <f t="shared" si="5"/>
        <v>34.6</v>
      </c>
      <c r="G69" s="16">
        <f t="shared" si="5"/>
        <v>69.400000000000006</v>
      </c>
      <c r="H69" s="16">
        <f t="shared" si="5"/>
        <v>54</v>
      </c>
      <c r="I69" s="16">
        <f t="shared" si="5"/>
        <v>114</v>
      </c>
      <c r="J69" s="16">
        <f t="shared" si="5"/>
        <v>152.4</v>
      </c>
      <c r="K69" s="16">
        <f t="shared" si="5"/>
        <v>133.22222222222223</v>
      </c>
      <c r="L69" s="16">
        <f t="shared" si="5"/>
        <v>164.5</v>
      </c>
      <c r="M69" s="16">
        <f t="shared" si="5"/>
        <v>200.375</v>
      </c>
      <c r="N69" s="16">
        <f t="shared" si="5"/>
        <v>244</v>
      </c>
      <c r="O69" s="16">
        <f t="shared" si="5"/>
        <v>151</v>
      </c>
      <c r="P69" s="16">
        <f t="shared" si="5"/>
        <v>78</v>
      </c>
      <c r="Q69" s="16">
        <f t="shared" si="5"/>
        <v>69.5</v>
      </c>
      <c r="R69" s="16">
        <f t="shared" si="5"/>
        <v>135</v>
      </c>
      <c r="S69" s="16"/>
      <c r="T69" s="16"/>
      <c r="U69" s="16"/>
      <c r="V69" s="16"/>
      <c r="W69" s="16"/>
      <c r="X69" s="16">
        <f>AVERAGE(X40:X54)</f>
        <v>351.6</v>
      </c>
      <c r="Y69" s="16"/>
      <c r="Z69" s="16">
        <f>AVERAGE(Z40:Z54)</f>
        <v>39.6875</v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ht="18" customHeight="1" x14ac:dyDescent="0.2">
      <c r="A71" s="1002" t="s">
        <v>605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ht="18" customHeight="1" thickTop="1" x14ac:dyDescent="0.2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ht="18" customHeight="1" x14ac:dyDescent="0.2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 ht="18" customHeight="1" x14ac:dyDescent="0.2">
      <c r="A75" s="1">
        <v>1995</v>
      </c>
      <c r="B75" s="6"/>
      <c r="C75" s="6"/>
      <c r="D75" s="6"/>
      <c r="E75" s="6"/>
      <c r="F75" s="6"/>
      <c r="G75" s="6">
        <v>0</v>
      </c>
      <c r="H75" s="6"/>
      <c r="I75" s="6"/>
      <c r="J75" s="6">
        <v>69</v>
      </c>
      <c r="K75" s="6"/>
      <c r="L75" s="6"/>
      <c r="M75" s="6">
        <v>2000</v>
      </c>
      <c r="N75" s="6"/>
      <c r="O75" s="6"/>
      <c r="P75" s="6"/>
      <c r="Q75" s="6"/>
      <c r="R75" s="6"/>
      <c r="S75" s="6"/>
      <c r="T75" s="13"/>
      <c r="U75" s="13"/>
      <c r="V75" s="13"/>
      <c r="W75" s="13"/>
      <c r="X75" s="7">
        <v>3000</v>
      </c>
      <c r="Y75" s="7"/>
      <c r="Z75" s="10"/>
      <c r="AA75" s="73">
        <f t="shared" ref="AA75:AA89" si="6">MAX(B75:W75)</f>
        <v>2000</v>
      </c>
      <c r="AB75" s="72">
        <f t="shared" ref="AB75:AB89" si="7">X75/AA75</f>
        <v>1.5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 ht="18" customHeight="1" x14ac:dyDescent="0.2">
      <c r="A76" s="1">
        <v>1996</v>
      </c>
      <c r="B76" s="6"/>
      <c r="C76" s="6"/>
      <c r="D76" s="6"/>
      <c r="E76" s="6">
        <v>5</v>
      </c>
      <c r="F76" s="6">
        <v>3</v>
      </c>
      <c r="G76" s="6">
        <v>8</v>
      </c>
      <c r="H76" s="6">
        <v>51</v>
      </c>
      <c r="I76" s="6">
        <v>118</v>
      </c>
      <c r="J76" s="6">
        <v>200</v>
      </c>
      <c r="K76" s="6">
        <v>585</v>
      </c>
      <c r="L76" s="6"/>
      <c r="M76" s="6">
        <v>8500</v>
      </c>
      <c r="N76" s="6"/>
      <c r="O76" s="6">
        <v>3510</v>
      </c>
      <c r="P76" s="6"/>
      <c r="Q76" s="6">
        <v>407</v>
      </c>
      <c r="R76" s="6"/>
      <c r="S76" s="6"/>
      <c r="T76" s="13"/>
      <c r="U76" s="13"/>
      <c r="V76" s="13"/>
      <c r="W76" s="13"/>
      <c r="X76" s="7">
        <v>8509</v>
      </c>
      <c r="Y76" s="7" t="s">
        <v>5</v>
      </c>
      <c r="Z76" s="10">
        <v>20</v>
      </c>
      <c r="AA76" s="73">
        <f t="shared" si="6"/>
        <v>8500</v>
      </c>
      <c r="AB76" s="72">
        <f t="shared" si="7"/>
        <v>1.0010588235294118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 ht="18" customHeight="1" x14ac:dyDescent="0.2">
      <c r="A77" s="1">
        <v>1997</v>
      </c>
      <c r="B77" s="6"/>
      <c r="C77" s="6">
        <v>3</v>
      </c>
      <c r="D77" s="6"/>
      <c r="E77" s="6"/>
      <c r="F77" s="6"/>
      <c r="G77" s="6">
        <v>2</v>
      </c>
      <c r="H77" s="6">
        <v>2</v>
      </c>
      <c r="I77" s="6">
        <v>130</v>
      </c>
      <c r="J77" s="6"/>
      <c r="K77" s="6">
        <v>2125</v>
      </c>
      <c r="L77" s="6"/>
      <c r="M77" s="6">
        <v>5800</v>
      </c>
      <c r="N77" s="6">
        <v>7800</v>
      </c>
      <c r="O77" s="6"/>
      <c r="P77" s="6"/>
      <c r="Q77" s="6"/>
      <c r="R77" s="6"/>
      <c r="S77" s="6"/>
      <c r="T77" s="13"/>
      <c r="U77" s="13"/>
      <c r="V77" s="13"/>
      <c r="W77" s="13"/>
      <c r="X77" s="7">
        <v>12296</v>
      </c>
      <c r="Y77" s="7" t="s">
        <v>5</v>
      </c>
      <c r="Z77" s="10">
        <v>25</v>
      </c>
      <c r="AA77" s="73">
        <f t="shared" si="6"/>
        <v>7800</v>
      </c>
      <c r="AB77" s="72">
        <f t="shared" si="7"/>
        <v>1.5764102564102564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 ht="18" customHeight="1" x14ac:dyDescent="0.2">
      <c r="A78" s="1">
        <v>1998</v>
      </c>
      <c r="B78" s="6"/>
      <c r="C78" s="6"/>
      <c r="D78" s="6"/>
      <c r="E78" s="6"/>
      <c r="F78" s="6"/>
      <c r="G78" s="6">
        <v>55</v>
      </c>
      <c r="H78" s="6"/>
      <c r="I78" s="6">
        <v>167</v>
      </c>
      <c r="J78" s="6">
        <v>524</v>
      </c>
      <c r="K78" s="6">
        <v>2331</v>
      </c>
      <c r="L78" s="6">
        <v>5000</v>
      </c>
      <c r="M78" s="6"/>
      <c r="N78" s="6">
        <v>9350</v>
      </c>
      <c r="O78" s="6">
        <v>4212</v>
      </c>
      <c r="P78" s="6"/>
      <c r="Q78" s="6">
        <v>200</v>
      </c>
      <c r="R78" s="6"/>
      <c r="S78" s="6"/>
      <c r="T78" s="13"/>
      <c r="U78" s="13"/>
      <c r="V78" s="13"/>
      <c r="W78" s="13"/>
      <c r="X78" s="7">
        <v>18634</v>
      </c>
      <c r="Y78" s="7" t="s">
        <v>5</v>
      </c>
      <c r="Z78" s="10">
        <v>15</v>
      </c>
      <c r="AA78" s="73">
        <f t="shared" si="6"/>
        <v>9350</v>
      </c>
      <c r="AB78" s="72">
        <f t="shared" si="7"/>
        <v>1.9929411764705882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 ht="18" customHeight="1" x14ac:dyDescent="0.2">
      <c r="A79" s="1">
        <v>1999</v>
      </c>
      <c r="B79" s="6"/>
      <c r="C79" s="6"/>
      <c r="D79" s="6"/>
      <c r="E79" s="6"/>
      <c r="F79" s="6">
        <v>71</v>
      </c>
      <c r="G79" s="6">
        <v>51</v>
      </c>
      <c r="H79" s="6"/>
      <c r="I79" s="6">
        <v>200</v>
      </c>
      <c r="J79" s="6"/>
      <c r="K79" s="6">
        <v>750</v>
      </c>
      <c r="L79" s="6">
        <v>3400</v>
      </c>
      <c r="M79" s="6">
        <v>4600</v>
      </c>
      <c r="N79" s="6"/>
      <c r="O79" s="6">
        <v>4300</v>
      </c>
      <c r="P79" s="6"/>
      <c r="Q79" s="6"/>
      <c r="R79" s="6"/>
      <c r="S79" s="6"/>
      <c r="T79" s="13"/>
      <c r="U79" s="13"/>
      <c r="V79" s="13"/>
      <c r="W79" s="13"/>
      <c r="X79" s="9">
        <v>10572</v>
      </c>
      <c r="Y79" s="7" t="s">
        <v>5</v>
      </c>
      <c r="Z79" s="60">
        <v>12.5</v>
      </c>
      <c r="AA79" s="73">
        <f t="shared" si="6"/>
        <v>4600</v>
      </c>
      <c r="AB79" s="72">
        <f t="shared" si="7"/>
        <v>2.2982608695652176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 ht="18" customHeight="1" x14ac:dyDescent="0.2">
      <c r="A80" s="1">
        <v>2000</v>
      </c>
      <c r="B80" s="6"/>
      <c r="C80" s="6"/>
      <c r="D80" s="6"/>
      <c r="E80" s="6"/>
      <c r="F80" s="6"/>
      <c r="G80" s="6"/>
      <c r="H80" s="6"/>
      <c r="I80" s="6">
        <v>60</v>
      </c>
      <c r="J80" s="6"/>
      <c r="K80" s="6">
        <v>250</v>
      </c>
      <c r="L80" s="6"/>
      <c r="M80" s="6"/>
      <c r="N80" s="6"/>
      <c r="O80" s="6">
        <v>2900</v>
      </c>
      <c r="P80" s="6"/>
      <c r="Q80" s="6">
        <v>530</v>
      </c>
      <c r="R80" s="6"/>
      <c r="S80" s="6"/>
      <c r="T80" s="13"/>
      <c r="U80" s="13"/>
      <c r="V80" s="13"/>
      <c r="W80" s="13"/>
      <c r="X80" s="10">
        <v>4000</v>
      </c>
      <c r="Y80" s="7" t="s">
        <v>7</v>
      </c>
      <c r="Z80" s="60"/>
      <c r="AA80" s="73">
        <f t="shared" si="6"/>
        <v>2900</v>
      </c>
      <c r="AB80" s="72">
        <f t="shared" si="7"/>
        <v>1.3793103448275863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ht="18" customHeight="1" x14ac:dyDescent="0.2">
      <c r="A81" s="1">
        <v>2001</v>
      </c>
      <c r="B81" s="6"/>
      <c r="C81" s="6"/>
      <c r="D81" s="6"/>
      <c r="E81" s="6"/>
      <c r="F81" s="6">
        <v>20</v>
      </c>
      <c r="G81" s="6"/>
      <c r="H81" s="6"/>
      <c r="I81" s="6">
        <v>50</v>
      </c>
      <c r="J81" s="6"/>
      <c r="K81" s="6"/>
      <c r="L81" s="6">
        <v>700</v>
      </c>
      <c r="M81" s="6"/>
      <c r="N81" s="6">
        <v>3800</v>
      </c>
      <c r="O81" s="6"/>
      <c r="P81" s="6"/>
      <c r="Q81" s="6"/>
      <c r="R81" s="6">
        <v>26</v>
      </c>
      <c r="S81" s="6"/>
      <c r="T81" s="13"/>
      <c r="U81" s="13"/>
      <c r="V81" s="13"/>
      <c r="W81" s="13"/>
      <c r="X81" s="7">
        <v>4000</v>
      </c>
      <c r="Y81" s="7" t="s">
        <v>7</v>
      </c>
      <c r="Z81" s="60"/>
      <c r="AA81" s="73">
        <f t="shared" si="6"/>
        <v>3800</v>
      </c>
      <c r="AB81" s="72">
        <f t="shared" si="7"/>
        <v>1.0526315789473684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 ht="18" customHeight="1" x14ac:dyDescent="0.2">
      <c r="A82" s="1">
        <v>2002</v>
      </c>
      <c r="B82" s="6"/>
      <c r="C82" s="6"/>
      <c r="D82" s="6"/>
      <c r="E82" s="6"/>
      <c r="F82" s="6"/>
      <c r="G82" s="6"/>
      <c r="H82" s="6"/>
      <c r="I82" s="6">
        <v>91</v>
      </c>
      <c r="J82" s="6"/>
      <c r="K82" s="6">
        <v>250</v>
      </c>
      <c r="L82" s="6"/>
      <c r="M82" s="6">
        <v>3100</v>
      </c>
      <c r="N82" s="6"/>
      <c r="O82" s="6"/>
      <c r="P82" s="6"/>
      <c r="Q82" s="6">
        <v>800</v>
      </c>
      <c r="R82" s="6"/>
      <c r="S82" s="6"/>
      <c r="T82" s="13"/>
      <c r="U82" s="13"/>
      <c r="V82" s="13"/>
      <c r="W82" s="13"/>
      <c r="X82" s="7">
        <v>6594</v>
      </c>
      <c r="Y82" s="7" t="s">
        <v>5</v>
      </c>
      <c r="Z82" s="60">
        <v>21</v>
      </c>
      <c r="AA82" s="73">
        <f t="shared" si="6"/>
        <v>3100</v>
      </c>
      <c r="AB82" s="72">
        <f t="shared" si="7"/>
        <v>2.1270967741935483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 ht="18" customHeight="1" x14ac:dyDescent="0.2">
      <c r="A83" s="1">
        <v>2003</v>
      </c>
      <c r="B83" s="6"/>
      <c r="C83" s="6"/>
      <c r="D83" s="6"/>
      <c r="E83" s="6"/>
      <c r="F83" s="6"/>
      <c r="G83" s="6"/>
      <c r="H83" s="6"/>
      <c r="I83" s="6">
        <v>74</v>
      </c>
      <c r="J83" s="6"/>
      <c r="K83" s="6"/>
      <c r="L83" s="6"/>
      <c r="M83" s="6"/>
      <c r="N83" s="6">
        <v>7700</v>
      </c>
      <c r="O83" s="6"/>
      <c r="P83" s="6"/>
      <c r="Q83" s="6"/>
      <c r="R83" s="6"/>
      <c r="S83" s="6"/>
      <c r="T83" s="13"/>
      <c r="U83" s="13"/>
      <c r="V83" s="13"/>
      <c r="W83" s="13"/>
      <c r="X83" s="7">
        <v>9500</v>
      </c>
      <c r="Y83" s="7" t="s">
        <v>9</v>
      </c>
      <c r="Z83" s="60"/>
      <c r="AA83" s="73">
        <f t="shared" si="6"/>
        <v>7700</v>
      </c>
      <c r="AB83" s="72">
        <f t="shared" si="7"/>
        <v>1.2337662337662338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 ht="18" customHeight="1" x14ac:dyDescent="0.2">
      <c r="A84" s="1">
        <v>2004</v>
      </c>
      <c r="B84" s="6"/>
      <c r="C84" s="6"/>
      <c r="D84" s="6"/>
      <c r="E84" s="6"/>
      <c r="F84" s="6"/>
      <c r="G84" s="6"/>
      <c r="H84" s="6"/>
      <c r="I84" s="6"/>
      <c r="J84" s="6">
        <v>120</v>
      </c>
      <c r="K84" s="6"/>
      <c r="L84" s="6"/>
      <c r="M84" s="6">
        <v>8000</v>
      </c>
      <c r="N84" s="6"/>
      <c r="O84" s="6">
        <v>3800</v>
      </c>
      <c r="P84" s="6"/>
      <c r="Q84" s="6"/>
      <c r="R84" s="6"/>
      <c r="S84" s="6"/>
      <c r="T84" s="13"/>
      <c r="U84" s="13"/>
      <c r="V84" s="13"/>
      <c r="W84" s="13"/>
      <c r="X84" s="7">
        <v>10515</v>
      </c>
      <c r="Y84" s="7" t="s">
        <v>5</v>
      </c>
      <c r="Z84" s="60">
        <v>17</v>
      </c>
      <c r="AA84" s="73">
        <f t="shared" si="6"/>
        <v>8000</v>
      </c>
      <c r="AB84" s="72">
        <f t="shared" si="7"/>
        <v>1.3143750000000001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 ht="18" customHeight="1" x14ac:dyDescent="0.2">
      <c r="A85" s="1">
        <v>2005</v>
      </c>
      <c r="B85" s="6"/>
      <c r="C85" s="6"/>
      <c r="D85" s="6"/>
      <c r="E85" s="6"/>
      <c r="F85" s="6">
        <v>18</v>
      </c>
      <c r="G85" s="6"/>
      <c r="H85" s="6"/>
      <c r="I85" s="6"/>
      <c r="J85" s="6"/>
      <c r="K85" s="6"/>
      <c r="L85" s="6"/>
      <c r="M85" s="6">
        <v>10500</v>
      </c>
      <c r="N85" s="6"/>
      <c r="O85" s="6"/>
      <c r="P85" s="6"/>
      <c r="Q85" s="6"/>
      <c r="R85" s="6"/>
      <c r="S85" s="6"/>
      <c r="T85" s="13"/>
      <c r="U85" s="13"/>
      <c r="V85" s="13"/>
      <c r="W85" s="13"/>
      <c r="X85" s="11">
        <v>11100</v>
      </c>
      <c r="Y85" s="7" t="s">
        <v>9</v>
      </c>
      <c r="AA85" s="73">
        <f t="shared" si="6"/>
        <v>10500</v>
      </c>
      <c r="AB85" s="72">
        <f t="shared" si="7"/>
        <v>1.0571428571428572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 ht="18" customHeight="1" x14ac:dyDescent="0.2">
      <c r="A86" s="1">
        <v>2006</v>
      </c>
      <c r="B86" s="6"/>
      <c r="C86" s="6"/>
      <c r="D86" s="6"/>
      <c r="E86" s="6"/>
      <c r="F86" s="6"/>
      <c r="G86" s="6"/>
      <c r="H86" s="6"/>
      <c r="I86" s="6">
        <v>490</v>
      </c>
      <c r="J86" s="6"/>
      <c r="K86" s="6">
        <v>3410</v>
      </c>
      <c r="L86" s="6"/>
      <c r="M86" s="6"/>
      <c r="N86" s="6">
        <v>2495</v>
      </c>
      <c r="O86" s="6"/>
      <c r="P86" s="6"/>
      <c r="Q86" s="6"/>
      <c r="R86" s="6"/>
      <c r="S86" s="6"/>
      <c r="T86" s="13"/>
      <c r="U86" s="13"/>
      <c r="V86" s="13"/>
      <c r="W86" s="13"/>
      <c r="X86" s="12">
        <v>7780</v>
      </c>
      <c r="Y86" s="7" t="s">
        <v>5</v>
      </c>
      <c r="Z86" s="60">
        <v>14</v>
      </c>
      <c r="AA86" s="73">
        <f t="shared" si="6"/>
        <v>3410</v>
      </c>
      <c r="AB86" s="72">
        <f t="shared" si="7"/>
        <v>2.2815249266862172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ht="18" customHeight="1" x14ac:dyDescent="0.2">
      <c r="A87" s="1">
        <v>2007</v>
      </c>
      <c r="B87" s="6"/>
      <c r="C87" s="6"/>
      <c r="D87" s="6"/>
      <c r="E87" s="6"/>
      <c r="F87" s="6"/>
      <c r="G87" s="6"/>
      <c r="H87" s="6"/>
      <c r="I87" s="6">
        <v>105</v>
      </c>
      <c r="J87" s="6"/>
      <c r="K87" s="6">
        <v>1880</v>
      </c>
      <c r="L87" s="6"/>
      <c r="M87" s="6">
        <v>3060</v>
      </c>
      <c r="N87" s="6"/>
      <c r="O87" s="6">
        <v>1190</v>
      </c>
      <c r="P87" s="6"/>
      <c r="Q87" s="6"/>
      <c r="R87" s="6"/>
      <c r="S87" s="6"/>
      <c r="T87" s="13"/>
      <c r="U87" s="13"/>
      <c r="V87" s="13"/>
      <c r="W87" s="13"/>
      <c r="X87" s="12">
        <v>5140</v>
      </c>
      <c r="Y87" s="7" t="s">
        <v>5</v>
      </c>
      <c r="Z87" s="60">
        <v>15</v>
      </c>
      <c r="AA87" s="73">
        <f t="shared" si="6"/>
        <v>3060</v>
      </c>
      <c r="AB87" s="72">
        <f t="shared" si="7"/>
        <v>1.6797385620915033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s="55" customFormat="1" ht="18" customHeight="1" x14ac:dyDescent="0.2">
      <c r="A88" s="13">
        <v>2008</v>
      </c>
      <c r="B88" s="13"/>
      <c r="C88" s="13"/>
      <c r="D88" s="13"/>
      <c r="E88" s="13"/>
      <c r="F88" s="13"/>
      <c r="G88" s="13"/>
      <c r="H88" s="13"/>
      <c r="I88" s="13">
        <v>14</v>
      </c>
      <c r="J88" s="13">
        <v>94</v>
      </c>
      <c r="K88" s="13">
        <v>170</v>
      </c>
      <c r="L88" s="13">
        <v>1280</v>
      </c>
      <c r="M88" s="13">
        <v>1185</v>
      </c>
      <c r="N88" s="13"/>
      <c r="O88" s="13">
        <v>192</v>
      </c>
      <c r="P88" s="13"/>
      <c r="Q88" s="13"/>
      <c r="R88" s="13"/>
      <c r="S88" s="13"/>
      <c r="T88" s="13"/>
      <c r="U88" s="13"/>
      <c r="V88" s="13"/>
      <c r="W88" s="13"/>
      <c r="X88" s="13">
        <v>2134</v>
      </c>
      <c r="Y88" s="7" t="s">
        <v>5</v>
      </c>
      <c r="Z88" s="58">
        <v>12</v>
      </c>
      <c r="AA88" s="73">
        <f t="shared" si="6"/>
        <v>1280</v>
      </c>
      <c r="AB88" s="72">
        <f t="shared" si="7"/>
        <v>1.6671875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ht="18" customHeight="1" x14ac:dyDescent="0.2">
      <c r="A89" s="13">
        <v>2009</v>
      </c>
      <c r="B89" s="13"/>
      <c r="C89" s="13"/>
      <c r="D89" s="13"/>
      <c r="E89" s="13"/>
      <c r="F89" s="13"/>
      <c r="G89" s="13"/>
      <c r="H89" s="13"/>
      <c r="I89" s="13">
        <v>20</v>
      </c>
      <c r="J89" s="13"/>
      <c r="K89" s="13">
        <v>410</v>
      </c>
      <c r="L89" s="13">
        <v>1600</v>
      </c>
      <c r="M89" s="13"/>
      <c r="N89" s="13">
        <v>2365</v>
      </c>
      <c r="O89" s="13"/>
      <c r="P89" s="13">
        <v>70</v>
      </c>
      <c r="Q89" s="13"/>
      <c r="R89" s="13"/>
      <c r="S89" s="13"/>
      <c r="T89" s="13"/>
      <c r="U89" s="13"/>
      <c r="V89" s="13"/>
      <c r="W89" s="13"/>
      <c r="X89" s="13">
        <v>4575</v>
      </c>
      <c r="Y89" s="7" t="s">
        <v>5</v>
      </c>
      <c r="Z89" s="58">
        <v>20</v>
      </c>
      <c r="AA89" s="73">
        <f t="shared" si="6"/>
        <v>2365</v>
      </c>
      <c r="AB89" s="72">
        <f t="shared" si="7"/>
        <v>1.93446088794926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ht="18" customHeight="1" x14ac:dyDescent="0.2">
      <c r="A90" s="13">
        <v>2010</v>
      </c>
      <c r="B90" s="13"/>
      <c r="C90" s="13"/>
      <c r="D90" s="13"/>
      <c r="E90" s="13"/>
      <c r="F90" s="13"/>
      <c r="G90" s="13"/>
      <c r="H90" s="13"/>
      <c r="I90" s="13"/>
      <c r="J90" s="1">
        <v>0</v>
      </c>
      <c r="K90" s="1"/>
      <c r="L90" s="1"/>
      <c r="M90" s="1"/>
      <c r="N90" s="1">
        <v>650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7"/>
      <c r="Z90" s="58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 ht="18" customHeight="1" x14ac:dyDescent="0.2">
      <c r="A91" s="13">
        <v>2011</v>
      </c>
      <c r="B91" s="13"/>
      <c r="C91" s="13"/>
      <c r="D91" s="13"/>
      <c r="E91" s="13"/>
      <c r="F91" s="13"/>
      <c r="G91" s="13"/>
      <c r="H91" s="13">
        <v>65</v>
      </c>
      <c r="I91" s="13"/>
      <c r="J91" s="13"/>
      <c r="K91" s="13">
        <v>418</v>
      </c>
      <c r="L91" s="13"/>
      <c r="M91" s="13">
        <v>7360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>
        <v>7500</v>
      </c>
      <c r="Y91" s="7" t="s">
        <v>9</v>
      </c>
      <c r="Z91" s="58"/>
      <c r="AA91" s="73">
        <f t="shared" ref="AA91:AA98" si="8">MAX(B91:W91)</f>
        <v>7360</v>
      </c>
      <c r="AB91" s="72">
        <f t="shared" ref="AB91:AB98" si="9">X91/AA91</f>
        <v>1.0190217391304348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 ht="18" customHeight="1" x14ac:dyDescent="0.2">
      <c r="A92" s="13">
        <v>2012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>
        <v>2095</v>
      </c>
      <c r="N92" s="13">
        <v>884</v>
      </c>
      <c r="O92" s="13"/>
      <c r="P92" s="13"/>
      <c r="Q92" s="13"/>
      <c r="R92" s="13"/>
      <c r="S92" s="13"/>
      <c r="T92" s="13"/>
      <c r="U92" s="13"/>
      <c r="V92" s="13"/>
      <c r="W92" s="13"/>
      <c r="X92" s="13">
        <v>3067</v>
      </c>
      <c r="Y92" s="7" t="s">
        <v>9</v>
      </c>
      <c r="Z92" s="58"/>
      <c r="AA92" s="73">
        <f t="shared" si="8"/>
        <v>2095</v>
      </c>
      <c r="AB92" s="72">
        <f t="shared" si="9"/>
        <v>1.4639618138424821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ht="18" customHeight="1" x14ac:dyDescent="0.2">
      <c r="A93" s="13">
        <v>2013</v>
      </c>
      <c r="B93" s="13"/>
      <c r="C93" s="13"/>
      <c r="D93" s="13"/>
      <c r="E93" s="13"/>
      <c r="F93" s="13"/>
      <c r="G93" s="13"/>
      <c r="H93" s="13">
        <v>305</v>
      </c>
      <c r="I93" s="13">
        <v>550</v>
      </c>
      <c r="J93" s="13"/>
      <c r="K93" s="13">
        <v>1055</v>
      </c>
      <c r="L93" s="13"/>
      <c r="M93" s="13">
        <v>3825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>
        <v>4101</v>
      </c>
      <c r="Y93" s="7" t="s">
        <v>9</v>
      </c>
      <c r="Z93" s="58"/>
      <c r="AA93" s="73">
        <f t="shared" si="8"/>
        <v>3825</v>
      </c>
      <c r="AB93" s="72">
        <f t="shared" si="9"/>
        <v>1.0721568627450981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ht="18" customHeight="1" x14ac:dyDescent="0.2">
      <c r="A94" s="13">
        <v>2014</v>
      </c>
      <c r="B94" s="13"/>
      <c r="C94" s="13"/>
      <c r="D94" s="13"/>
      <c r="E94" s="13"/>
      <c r="F94" s="13"/>
      <c r="G94" s="13">
        <v>3</v>
      </c>
      <c r="H94" s="13"/>
      <c r="I94" s="13"/>
      <c r="J94" s="13"/>
      <c r="K94" s="13">
        <v>1672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>
        <v>2190</v>
      </c>
      <c r="Y94" s="7" t="s">
        <v>9</v>
      </c>
      <c r="Z94" s="58"/>
      <c r="AA94" s="73">
        <f t="shared" si="8"/>
        <v>1672</v>
      </c>
      <c r="AB94" s="72">
        <f t="shared" si="9"/>
        <v>1.3098086124401913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ht="18" customHeight="1" x14ac:dyDescent="0.2">
      <c r="A95" s="13">
        <v>2015</v>
      </c>
      <c r="B95" s="13"/>
      <c r="C95" s="13"/>
      <c r="D95" s="13"/>
      <c r="E95" s="13"/>
      <c r="F95" s="13"/>
      <c r="G95" s="13"/>
      <c r="H95" s="194">
        <v>299</v>
      </c>
      <c r="I95" s="236">
        <v>0</v>
      </c>
      <c r="J95" s="1"/>
      <c r="K95" s="1"/>
      <c r="L95" s="194">
        <v>9200</v>
      </c>
      <c r="M95" s="1"/>
      <c r="N95" s="194">
        <v>5440</v>
      </c>
      <c r="O95" s="13"/>
      <c r="P95" s="13"/>
      <c r="Q95" s="13"/>
      <c r="R95" s="13"/>
      <c r="S95" s="13"/>
      <c r="T95" s="13"/>
      <c r="U95" s="13"/>
      <c r="V95" s="13"/>
      <c r="W95" s="13"/>
      <c r="X95" s="13">
        <v>15062</v>
      </c>
      <c r="Y95" s="7" t="s">
        <v>5</v>
      </c>
      <c r="Z95" s="58">
        <v>20</v>
      </c>
      <c r="AA95" s="73">
        <f t="shared" si="8"/>
        <v>9200</v>
      </c>
      <c r="AB95" s="72">
        <f t="shared" si="9"/>
        <v>1.6371739130434784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ht="18" customHeight="1" x14ac:dyDescent="0.2">
      <c r="A96" s="13">
        <v>2016</v>
      </c>
      <c r="B96" s="13"/>
      <c r="C96" s="13"/>
      <c r="D96" s="13"/>
      <c r="E96" s="13"/>
      <c r="F96" s="13"/>
      <c r="G96" s="13"/>
      <c r="H96" s="99">
        <v>0</v>
      </c>
      <c r="I96" s="194">
        <v>40</v>
      </c>
      <c r="J96" s="194">
        <v>4021</v>
      </c>
      <c r="K96" s="13"/>
      <c r="L96" s="316">
        <v>5000</v>
      </c>
      <c r="M96" s="236">
        <v>16297</v>
      </c>
      <c r="N96" s="13"/>
      <c r="O96" s="13"/>
      <c r="P96" s="13"/>
      <c r="Q96" s="194">
        <v>2</v>
      </c>
      <c r="R96" s="13"/>
      <c r="S96" s="13"/>
      <c r="T96" s="13"/>
      <c r="U96" s="13"/>
      <c r="V96" s="13"/>
      <c r="W96" s="13"/>
      <c r="X96" s="13">
        <v>18400</v>
      </c>
      <c r="Y96" s="7"/>
      <c r="Z96" s="58"/>
      <c r="AA96" s="73">
        <f t="shared" si="8"/>
        <v>16297</v>
      </c>
      <c r="AB96" s="72">
        <f t="shared" si="9"/>
        <v>1.1290421549978524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ht="18" customHeight="1" x14ac:dyDescent="0.2">
      <c r="A97" s="13">
        <v>2017</v>
      </c>
      <c r="B97" s="13"/>
      <c r="C97" s="13"/>
      <c r="D97" s="13"/>
      <c r="E97" s="13"/>
      <c r="F97" s="13"/>
      <c r="G97" s="13"/>
      <c r="H97" s="109">
        <v>178</v>
      </c>
      <c r="I97" s="109">
        <v>1190</v>
      </c>
      <c r="J97" s="13"/>
      <c r="K97" s="439"/>
      <c r="L97" s="439"/>
      <c r="M97" s="155">
        <v>1826</v>
      </c>
      <c r="N97" s="155">
        <v>2173</v>
      </c>
      <c r="O97" s="13"/>
      <c r="P97" s="13"/>
      <c r="Q97" s="13"/>
      <c r="R97" s="13"/>
      <c r="S97" s="13"/>
      <c r="T97" s="13"/>
      <c r="U97" s="13"/>
      <c r="V97" s="13"/>
      <c r="W97" s="13"/>
      <c r="X97" s="13">
        <v>4397</v>
      </c>
      <c r="Y97" s="7" t="s">
        <v>5</v>
      </c>
      <c r="Z97" s="58">
        <v>20</v>
      </c>
      <c r="AA97" s="73">
        <f t="shared" si="8"/>
        <v>2173</v>
      </c>
      <c r="AB97" s="72">
        <f t="shared" si="9"/>
        <v>2.0234698573400829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ht="18" customHeight="1" x14ac:dyDescent="0.2">
      <c r="A98" s="13">
        <v>2018</v>
      </c>
      <c r="B98" s="13"/>
      <c r="C98" s="13"/>
      <c r="D98" s="13"/>
      <c r="E98" s="13"/>
      <c r="F98" s="13"/>
      <c r="G98" s="13"/>
      <c r="H98" s="13"/>
      <c r="I98" s="13"/>
      <c r="J98" s="13"/>
      <c r="K98" s="109">
        <v>704</v>
      </c>
      <c r="L98" s="321">
        <v>7937</v>
      </c>
      <c r="M98" s="13"/>
      <c r="N98" s="13"/>
      <c r="O98" s="155">
        <v>1084</v>
      </c>
      <c r="P98" s="13"/>
      <c r="Q98" s="13"/>
      <c r="R98" s="13"/>
      <c r="S98" s="13"/>
      <c r="T98" s="13"/>
      <c r="U98" s="13"/>
      <c r="V98" s="13"/>
      <c r="W98" s="13"/>
      <c r="X98" s="13">
        <v>9893</v>
      </c>
      <c r="Y98" s="7" t="s">
        <v>5</v>
      </c>
      <c r="Z98" s="13">
        <v>15</v>
      </c>
      <c r="AA98" s="73">
        <f t="shared" si="8"/>
        <v>7937</v>
      </c>
      <c r="AB98" s="72">
        <f t="shared" si="9"/>
        <v>1.2464407206753181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ht="18" customHeight="1" x14ac:dyDescent="0.2">
      <c r="A99" s="13">
        <v>2019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590">
        <v>1234</v>
      </c>
      <c r="N99" s="155">
        <v>1111</v>
      </c>
      <c r="O99" s="13"/>
      <c r="P99" s="13"/>
      <c r="Q99" s="13"/>
      <c r="R99" s="13"/>
      <c r="S99" s="13"/>
      <c r="T99" s="13"/>
      <c r="U99" s="13"/>
      <c r="V99" s="13"/>
      <c r="W99" s="13"/>
      <c r="X99" s="13">
        <v>3103</v>
      </c>
      <c r="Y99" s="7"/>
      <c r="Z99" s="13">
        <v>20</v>
      </c>
      <c r="AA99" s="73">
        <f>MAX(B99:W99)</f>
        <v>1234</v>
      </c>
      <c r="AB99" s="72">
        <f>X99/AA99</f>
        <v>2.5145867098865478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ht="18" customHeight="1" x14ac:dyDescent="0.2">
      <c r="A100" s="13">
        <v>2020</v>
      </c>
      <c r="B100" s="13"/>
      <c r="C100" s="13"/>
      <c r="D100" s="13"/>
      <c r="E100" s="13"/>
      <c r="F100" s="13"/>
      <c r="G100" s="13"/>
      <c r="H100" s="13"/>
      <c r="I100" s="13"/>
      <c r="J100" s="155">
        <v>130</v>
      </c>
      <c r="K100" s="590">
        <v>898</v>
      </c>
      <c r="L100" s="13"/>
      <c r="M100" s="155">
        <v>1428</v>
      </c>
      <c r="N100" s="155">
        <v>2301</v>
      </c>
      <c r="O100" s="13"/>
      <c r="P100" s="155">
        <v>168</v>
      </c>
      <c r="Q100" s="13"/>
      <c r="R100" s="13"/>
      <c r="S100" s="13"/>
      <c r="T100" s="13"/>
      <c r="U100" s="13"/>
      <c r="V100" s="13"/>
      <c r="W100" s="13"/>
      <c r="X100" s="13">
        <v>4053</v>
      </c>
      <c r="Y100" s="7" t="s">
        <v>5</v>
      </c>
      <c r="Z100" s="13">
        <v>15</v>
      </c>
      <c r="AA100" s="73">
        <f>MAX(B100:W100)</f>
        <v>2301</v>
      </c>
      <c r="AB100" s="72">
        <f>X100/AA100</f>
        <v>1.7614080834419819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s="150" customFormat="1" ht="18" customHeight="1" x14ac:dyDescent="0.2">
      <c r="A101" s="89">
        <v>2021</v>
      </c>
      <c r="B101" s="89"/>
      <c r="C101" s="89"/>
      <c r="D101" s="89"/>
      <c r="E101" s="89"/>
      <c r="F101" s="89"/>
      <c r="G101" s="89"/>
      <c r="H101" s="89"/>
      <c r="I101" s="89"/>
      <c r="J101" s="771">
        <v>151</v>
      </c>
      <c r="K101" s="736"/>
      <c r="L101" s="89"/>
      <c r="M101" s="512">
        <v>682</v>
      </c>
      <c r="N101" s="737">
        <v>565</v>
      </c>
      <c r="O101" s="89"/>
      <c r="P101" s="737"/>
      <c r="Q101" s="89"/>
      <c r="R101" s="89"/>
      <c r="S101" s="89"/>
      <c r="T101" s="89"/>
      <c r="U101" s="89"/>
      <c r="V101" s="89"/>
      <c r="W101" s="89"/>
      <c r="X101" s="89">
        <v>1322</v>
      </c>
      <c r="Y101" s="11"/>
      <c r="Z101" s="89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</row>
    <row r="102" spans="1:47" s="150" customFormat="1" ht="18" customHeight="1" x14ac:dyDescent="0.2">
      <c r="A102" s="89">
        <v>2022</v>
      </c>
      <c r="B102" s="89"/>
      <c r="C102" s="89"/>
      <c r="D102" s="89"/>
      <c r="E102" s="89"/>
      <c r="F102" s="89"/>
      <c r="G102" s="89"/>
      <c r="H102" s="89"/>
      <c r="I102" s="89"/>
      <c r="J102" s="870"/>
      <c r="K102" s="736"/>
      <c r="L102" s="109">
        <v>0</v>
      </c>
      <c r="M102" s="871"/>
      <c r="N102" s="155">
        <v>1156</v>
      </c>
      <c r="O102" s="89"/>
      <c r="P102" s="737"/>
      <c r="Q102" s="89"/>
      <c r="R102" s="89"/>
      <c r="S102" s="89"/>
      <c r="T102" s="89"/>
      <c r="U102" s="89"/>
      <c r="V102" s="89"/>
      <c r="W102" s="89"/>
      <c r="X102" s="89"/>
      <c r="Y102" s="11"/>
      <c r="Z102" s="89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</row>
    <row r="103" spans="1:47" s="150" customFormat="1" ht="18" customHeight="1" x14ac:dyDescent="0.2">
      <c r="A103" s="89">
        <v>2023</v>
      </c>
      <c r="B103" s="89"/>
      <c r="C103" s="89"/>
      <c r="D103" s="89"/>
      <c r="E103" s="89"/>
      <c r="F103" s="89"/>
      <c r="G103" s="89"/>
      <c r="H103" s="89"/>
      <c r="I103" s="89"/>
      <c r="J103" s="870"/>
      <c r="K103" s="437">
        <v>1260</v>
      </c>
      <c r="L103" s="736"/>
      <c r="M103" s="736"/>
      <c r="N103" s="736"/>
      <c r="O103" s="736"/>
      <c r="P103" s="736"/>
      <c r="Q103" s="736"/>
      <c r="R103" s="89"/>
      <c r="S103" s="89"/>
      <c r="T103" s="89"/>
      <c r="U103" s="89"/>
      <c r="V103" s="89"/>
      <c r="W103" s="89"/>
      <c r="X103" s="89"/>
      <c r="Y103" s="11"/>
      <c r="Z103" s="89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</row>
    <row r="104" spans="1:47" ht="18" customHeight="1" x14ac:dyDescent="0.2">
      <c r="A104" s="64" t="s">
        <v>17</v>
      </c>
      <c r="B104" s="16"/>
      <c r="C104" s="16">
        <f>AVERAGE(C75:C89)</f>
        <v>3</v>
      </c>
      <c r="D104" s="16"/>
      <c r="E104" s="16">
        <f t="shared" ref="E104:R104" si="10">AVERAGE(E75:E89)</f>
        <v>5</v>
      </c>
      <c r="F104" s="16">
        <f t="shared" si="10"/>
        <v>28</v>
      </c>
      <c r="G104" s="16">
        <f t="shared" si="10"/>
        <v>23.2</v>
      </c>
      <c r="H104" s="16">
        <f t="shared" si="10"/>
        <v>26.5</v>
      </c>
      <c r="I104" s="16">
        <f t="shared" si="10"/>
        <v>126.58333333333333</v>
      </c>
      <c r="J104" s="16">
        <f t="shared" si="10"/>
        <v>201.4</v>
      </c>
      <c r="K104" s="16">
        <f t="shared" si="10"/>
        <v>1216.0999999999999</v>
      </c>
      <c r="L104" s="16">
        <f t="shared" si="10"/>
        <v>2396</v>
      </c>
      <c r="M104" s="16">
        <f t="shared" si="10"/>
        <v>5193.8888888888887</v>
      </c>
      <c r="N104" s="16">
        <f t="shared" si="10"/>
        <v>5585</v>
      </c>
      <c r="O104" s="16">
        <f t="shared" si="10"/>
        <v>2872</v>
      </c>
      <c r="P104" s="16">
        <f t="shared" si="10"/>
        <v>70</v>
      </c>
      <c r="Q104" s="16">
        <f t="shared" si="10"/>
        <v>484.25</v>
      </c>
      <c r="R104" s="16">
        <f t="shared" si="10"/>
        <v>26</v>
      </c>
      <c r="S104" s="16"/>
      <c r="T104" s="16"/>
      <c r="U104" s="16"/>
      <c r="V104" s="16"/>
      <c r="W104" s="16"/>
      <c r="X104" s="16">
        <f>AVERAGE(X75:X89)</f>
        <v>7889.9333333333334</v>
      </c>
      <c r="Y104" s="16"/>
      <c r="Z104" s="16">
        <f>AVERAGE(Z75:Z89)</f>
        <v>17.149999999999999</v>
      </c>
    </row>
    <row r="108" spans="1:47" ht="15" x14ac:dyDescent="0.25">
      <c r="A108" s="1002" t="s">
        <v>606</v>
      </c>
      <c r="B108" s="1003"/>
      <c r="C108" s="1003"/>
      <c r="D108" s="1003"/>
      <c r="E108" s="1003"/>
      <c r="F108" s="1003"/>
      <c r="G108" s="1003"/>
      <c r="H108" s="1003"/>
      <c r="I108" s="100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D108" s="1013" t="s">
        <v>117</v>
      </c>
      <c r="AE108" s="1013" t="s">
        <v>118</v>
      </c>
      <c r="AF108" s="620" t="s">
        <v>119</v>
      </c>
      <c r="AG108"/>
      <c r="AH108" s="158" t="s">
        <v>120</v>
      </c>
      <c r="AI108" s="158"/>
      <c r="AJ108" s="159"/>
      <c r="AK108" s="160" t="s">
        <v>121</v>
      </c>
      <c r="AL108" s="160"/>
      <c r="AM108" s="161" t="s">
        <v>122</v>
      </c>
    </row>
    <row r="109" spans="1:47" ht="39" thickBo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"/>
      <c r="AD109" s="1014"/>
      <c r="AE109" s="1014"/>
      <c r="AF109" s="619" t="s">
        <v>123</v>
      </c>
      <c r="AG109"/>
      <c r="AH109" s="163" t="s">
        <v>124</v>
      </c>
      <c r="AI109" s="163" t="s">
        <v>125</v>
      </c>
      <c r="AJ109" s="163"/>
      <c r="AK109" s="164" t="s">
        <v>126</v>
      </c>
      <c r="AL109"/>
      <c r="AM109" s="164" t="s">
        <v>126</v>
      </c>
    </row>
    <row r="110" spans="1:47" ht="13.5" thickTop="1" x14ac:dyDescent="0.2">
      <c r="A110" s="1004" t="s">
        <v>0</v>
      </c>
      <c r="B110" s="1006" t="s">
        <v>1</v>
      </c>
      <c r="C110" s="1006"/>
      <c r="D110" s="1006"/>
      <c r="E110" s="1006"/>
      <c r="F110" s="1006"/>
      <c r="G110" s="1006"/>
      <c r="H110" s="1006"/>
      <c r="I110" s="1006"/>
      <c r="J110" s="1006"/>
      <c r="K110" s="1006"/>
      <c r="L110" s="1006"/>
      <c r="M110" s="1006"/>
      <c r="N110" s="1006"/>
      <c r="O110" s="1006"/>
      <c r="P110" s="1006"/>
      <c r="Q110" s="1006"/>
      <c r="R110" s="1006"/>
      <c r="S110" s="1006"/>
      <c r="T110" s="1006"/>
      <c r="U110" s="1006"/>
      <c r="V110" s="1006"/>
      <c r="W110" s="1006"/>
      <c r="X110" s="1004" t="s">
        <v>2</v>
      </c>
      <c r="Y110" s="1010" t="s">
        <v>3</v>
      </c>
      <c r="Z110" s="1008" t="s">
        <v>4</v>
      </c>
      <c r="AD110" s="165"/>
      <c r="AE110" s="166"/>
      <c r="AF110" s="167"/>
      <c r="AG110"/>
      <c r="AH110"/>
      <c r="AI110"/>
      <c r="AJ110"/>
      <c r="AK110"/>
      <c r="AL110"/>
      <c r="AM110"/>
    </row>
    <row r="111" spans="1:47" x14ac:dyDescent="0.2">
      <c r="A111" s="1005"/>
      <c r="B111" s="18">
        <v>81</v>
      </c>
      <c r="C111" s="18">
        <v>82</v>
      </c>
      <c r="D111" s="18">
        <v>83</v>
      </c>
      <c r="E111" s="18">
        <v>84</v>
      </c>
      <c r="F111" s="18">
        <v>91</v>
      </c>
      <c r="G111" s="795">
        <v>92</v>
      </c>
      <c r="H111" s="795">
        <v>93</v>
      </c>
      <c r="I111" s="795">
        <v>94</v>
      </c>
      <c r="J111" s="795">
        <v>101</v>
      </c>
      <c r="K111" s="795">
        <v>102</v>
      </c>
      <c r="L111" s="795">
        <v>103</v>
      </c>
      <c r="M111" s="795">
        <v>104</v>
      </c>
      <c r="N111" s="795">
        <v>105</v>
      </c>
      <c r="O111" s="795">
        <v>111</v>
      </c>
      <c r="P111" s="795">
        <v>112</v>
      </c>
      <c r="Q111" s="795">
        <v>113</v>
      </c>
      <c r="R111" s="18">
        <v>114</v>
      </c>
      <c r="S111" s="18">
        <v>115</v>
      </c>
      <c r="T111" s="18">
        <v>121</v>
      </c>
      <c r="U111" s="18">
        <v>122</v>
      </c>
      <c r="V111" s="18">
        <v>123</v>
      </c>
      <c r="W111" s="18">
        <v>124</v>
      </c>
      <c r="X111" s="1005"/>
      <c r="Y111" s="1011"/>
      <c r="Z111" s="1009"/>
      <c r="AD111" s="165"/>
      <c r="AE111" s="166"/>
      <c r="AF111" s="167"/>
      <c r="AG111"/>
      <c r="AH111"/>
      <c r="AI111"/>
      <c r="AJ111"/>
      <c r="AK111"/>
      <c r="AL111"/>
      <c r="AM111"/>
    </row>
    <row r="112" spans="1:47" x14ac:dyDescent="0.2">
      <c r="A112" s="2">
        <v>2011</v>
      </c>
      <c r="G112" s="201"/>
      <c r="H112" s="325">
        <v>5190</v>
      </c>
      <c r="I112" s="655"/>
      <c r="J112" s="201"/>
      <c r="K112" s="796">
        <v>65</v>
      </c>
      <c r="L112" s="655"/>
      <c r="M112" s="325">
        <v>2005</v>
      </c>
      <c r="N112" s="655"/>
      <c r="O112" s="201"/>
      <c r="P112" s="201"/>
      <c r="Q112" s="201"/>
      <c r="AD112" s="165" t="s">
        <v>127</v>
      </c>
      <c r="AE112" s="185">
        <v>43709</v>
      </c>
      <c r="AF112" s="167">
        <v>0</v>
      </c>
      <c r="AG112"/>
      <c r="AH112"/>
      <c r="AI112" s="169">
        <v>0</v>
      </c>
      <c r="AJ112"/>
      <c r="AK112"/>
      <c r="AL112"/>
      <c r="AM112"/>
    </row>
    <row r="113" spans="1:39" x14ac:dyDescent="0.2">
      <c r="A113" s="2">
        <v>2012</v>
      </c>
      <c r="G113" s="201"/>
      <c r="H113" s="201"/>
      <c r="I113" s="655"/>
      <c r="J113" s="201"/>
      <c r="K113" s="655"/>
      <c r="L113" s="655"/>
      <c r="M113" s="325">
        <v>34</v>
      </c>
      <c r="N113" s="796">
        <v>77</v>
      </c>
      <c r="O113" s="201"/>
      <c r="P113" s="201"/>
      <c r="Q113" s="201"/>
      <c r="AD113" s="165"/>
      <c r="AE113" s="185">
        <v>43761</v>
      </c>
      <c r="AF113" s="170">
        <v>1235</v>
      </c>
      <c r="AG113"/>
      <c r="AH113" s="171">
        <v>0.8</v>
      </c>
      <c r="AI113" s="172">
        <f>AF113/AH113</f>
        <v>1543.75</v>
      </c>
      <c r="AJ113"/>
      <c r="AK113" s="172">
        <f t="shared" ref="AK113:AK118" si="11">(AE113-AE112)*(AF113+AF112)</f>
        <v>64220</v>
      </c>
      <c r="AL113"/>
      <c r="AM113" s="172">
        <f t="shared" ref="AM113:AM118" si="12">(AE113-AE112)*(AI113+AI112)</f>
        <v>80275</v>
      </c>
    </row>
    <row r="114" spans="1:39" x14ac:dyDescent="0.2">
      <c r="A114" s="2">
        <v>2013</v>
      </c>
      <c r="G114" s="201"/>
      <c r="H114" s="141">
        <v>100</v>
      </c>
      <c r="I114" s="200">
        <v>145</v>
      </c>
      <c r="J114" s="797"/>
      <c r="K114" s="200">
        <v>335</v>
      </c>
      <c r="L114" s="655"/>
      <c r="M114" s="200">
        <v>480</v>
      </c>
      <c r="N114" s="655"/>
      <c r="O114" s="201"/>
      <c r="P114" s="201"/>
      <c r="Q114" s="201"/>
      <c r="AD114" s="8"/>
      <c r="AE114" s="185">
        <v>43771</v>
      </c>
      <c r="AF114" s="170">
        <v>1111</v>
      </c>
      <c r="AG114"/>
      <c r="AH114" s="171">
        <v>0.9</v>
      </c>
      <c r="AI114" s="172">
        <f>AF114/AH114</f>
        <v>1234.4444444444443</v>
      </c>
      <c r="AJ114"/>
      <c r="AK114" s="172">
        <f t="shared" si="11"/>
        <v>23460</v>
      </c>
      <c r="AL114"/>
      <c r="AM114" s="172">
        <f t="shared" si="12"/>
        <v>27781.944444444445</v>
      </c>
    </row>
    <row r="115" spans="1:39" x14ac:dyDescent="0.2">
      <c r="A115" s="2">
        <v>2014</v>
      </c>
      <c r="G115" s="205">
        <v>3550</v>
      </c>
      <c r="H115" s="798"/>
      <c r="I115" s="187"/>
      <c r="J115" s="799"/>
      <c r="K115" s="205">
        <v>344</v>
      </c>
      <c r="L115" s="799"/>
      <c r="M115" s="187"/>
      <c r="N115" s="799"/>
      <c r="O115" s="187"/>
      <c r="P115" s="187"/>
      <c r="Q115" s="187"/>
      <c r="AD115" s="8"/>
      <c r="AE115" s="185">
        <v>43784</v>
      </c>
      <c r="AF115" s="170">
        <v>0</v>
      </c>
      <c r="AG115"/>
      <c r="AH115" s="171"/>
      <c r="AI115" s="172">
        <v>0</v>
      </c>
      <c r="AJ115"/>
      <c r="AK115" s="172">
        <f t="shared" si="11"/>
        <v>14443</v>
      </c>
      <c r="AL115"/>
      <c r="AM115" s="172">
        <f t="shared" si="12"/>
        <v>16047.777777777777</v>
      </c>
    </row>
    <row r="116" spans="1:39" x14ac:dyDescent="0.2">
      <c r="A116" s="2">
        <v>2015</v>
      </c>
      <c r="G116" s="220"/>
      <c r="H116" s="189">
        <v>256</v>
      </c>
      <c r="I116" s="690">
        <v>300</v>
      </c>
      <c r="J116" s="221"/>
      <c r="K116" s="221"/>
      <c r="L116" s="189">
        <v>86</v>
      </c>
      <c r="M116" s="800"/>
      <c r="N116" s="189">
        <v>259</v>
      </c>
      <c r="O116" s="187"/>
      <c r="P116" s="187"/>
      <c r="Q116" s="187"/>
      <c r="AD116" s="8"/>
      <c r="AE116" s="185"/>
      <c r="AF116" s="170">
        <v>0</v>
      </c>
      <c r="AG116"/>
      <c r="AH116" s="171"/>
      <c r="AI116" s="172">
        <v>0</v>
      </c>
      <c r="AJ116"/>
      <c r="AK116" s="172">
        <f t="shared" si="11"/>
        <v>0</v>
      </c>
      <c r="AL116"/>
      <c r="AM116" s="172">
        <f t="shared" si="12"/>
        <v>0</v>
      </c>
    </row>
    <row r="117" spans="1:39" x14ac:dyDescent="0.2">
      <c r="A117" s="2">
        <v>2016</v>
      </c>
      <c r="G117" s="220"/>
      <c r="H117" s="691">
        <v>0</v>
      </c>
      <c r="I117" s="189">
        <v>150</v>
      </c>
      <c r="J117" s="353">
        <v>640</v>
      </c>
      <c r="K117" s="353">
        <v>1700</v>
      </c>
      <c r="L117" s="801"/>
      <c r="M117" s="690">
        <v>5</v>
      </c>
      <c r="N117" s="802"/>
      <c r="O117" s="187"/>
      <c r="P117" s="187"/>
      <c r="Q117" s="353">
        <v>14</v>
      </c>
      <c r="AD117" s="8"/>
      <c r="AE117" s="185"/>
      <c r="AF117" s="170"/>
      <c r="AG117"/>
      <c r="AH117" s="171"/>
      <c r="AI117" s="172">
        <v>0</v>
      </c>
      <c r="AJ117"/>
      <c r="AK117" s="172">
        <f t="shared" si="11"/>
        <v>0</v>
      </c>
      <c r="AL117"/>
      <c r="AM117" s="172">
        <f t="shared" si="12"/>
        <v>0</v>
      </c>
    </row>
    <row r="118" spans="1:39" x14ac:dyDescent="0.2">
      <c r="A118" s="2">
        <v>2017</v>
      </c>
      <c r="G118" s="803"/>
      <c r="H118" s="189">
        <v>7</v>
      </c>
      <c r="I118" s="189">
        <v>300</v>
      </c>
      <c r="J118" s="220"/>
      <c r="K118" s="804"/>
      <c r="L118" s="804"/>
      <c r="M118" s="799"/>
      <c r="N118" s="353">
        <v>253</v>
      </c>
      <c r="O118" s="187"/>
      <c r="P118" s="187"/>
      <c r="Q118" s="799"/>
      <c r="AD118" s="165" t="s">
        <v>128</v>
      </c>
      <c r="AE118" s="175"/>
      <c r="AF118" s="176"/>
      <c r="AG118"/>
      <c r="AH118" s="177"/>
      <c r="AI118" s="178"/>
      <c r="AJ118" s="179"/>
      <c r="AK118" s="172">
        <f t="shared" si="11"/>
        <v>0</v>
      </c>
      <c r="AL118"/>
      <c r="AM118" s="172">
        <f t="shared" si="12"/>
        <v>0</v>
      </c>
    </row>
    <row r="119" spans="1:39" x14ac:dyDescent="0.2">
      <c r="A119" s="2">
        <v>2018</v>
      </c>
      <c r="G119" s="803"/>
      <c r="H119" s="220"/>
      <c r="I119" s="804"/>
      <c r="J119" s="220"/>
      <c r="K119" s="189">
        <v>377</v>
      </c>
      <c r="L119" s="566">
        <v>328</v>
      </c>
      <c r="M119" s="799"/>
      <c r="N119" s="353">
        <v>363</v>
      </c>
      <c r="O119" s="353">
        <v>164</v>
      </c>
      <c r="P119" s="187"/>
      <c r="Q119" s="799"/>
      <c r="AD119" s="165" t="s">
        <v>2</v>
      </c>
      <c r="AE119" s="167">
        <v>7</v>
      </c>
      <c r="AF119" s="167"/>
      <c r="AG119" s="167"/>
      <c r="AH119"/>
      <c r="AI119"/>
      <c r="AJ119"/>
      <c r="AK119"/>
      <c r="AL119"/>
      <c r="AM119"/>
    </row>
    <row r="120" spans="1:39" x14ac:dyDescent="0.2">
      <c r="A120" s="2">
        <v>2019</v>
      </c>
      <c r="G120" s="803"/>
      <c r="H120" s="220"/>
      <c r="I120" s="804"/>
      <c r="J120" s="220"/>
      <c r="K120" s="804"/>
      <c r="L120" s="805"/>
      <c r="M120" s="806">
        <v>17</v>
      </c>
      <c r="N120" s="806">
        <v>5</v>
      </c>
      <c r="O120" s="765"/>
      <c r="P120" s="187"/>
      <c r="Q120" s="799"/>
      <c r="AD120" s="165" t="s">
        <v>129</v>
      </c>
      <c r="AE120" s="167"/>
      <c r="AF120" s="167">
        <f>MAX(AF112:AF118)</f>
        <v>1235</v>
      </c>
      <c r="AG120" s="167"/>
      <c r="AH120" s="167"/>
      <c r="AI120" s="167">
        <f>MAX(AI112:AI118)</f>
        <v>1543.75</v>
      </c>
      <c r="AJ120" s="167"/>
      <c r="AK120" s="167"/>
      <c r="AL120" s="180"/>
      <c r="AM120"/>
    </row>
    <row r="121" spans="1:39" x14ac:dyDescent="0.2">
      <c r="A121" s="2">
        <v>2020</v>
      </c>
      <c r="G121" s="807"/>
      <c r="H121" s="187"/>
      <c r="I121" s="807"/>
      <c r="J121" s="808">
        <v>113</v>
      </c>
      <c r="K121" s="199">
        <v>179</v>
      </c>
      <c r="L121" s="809" t="s">
        <v>531</v>
      </c>
      <c r="M121" s="810">
        <v>175</v>
      </c>
      <c r="N121" s="811">
        <v>275</v>
      </c>
      <c r="O121" s="812"/>
      <c r="P121" s="813">
        <v>15</v>
      </c>
      <c r="Q121" s="799"/>
      <c r="AD121" s="165" t="s">
        <v>130</v>
      </c>
      <c r="AE121" s="167"/>
      <c r="AF121" s="169">
        <v>20</v>
      </c>
      <c r="AG121" s="167"/>
      <c r="AH121"/>
      <c r="AI121" s="169">
        <v>20</v>
      </c>
      <c r="AJ121" s="8"/>
      <c r="AK121" s="8"/>
      <c r="AL121" s="8"/>
      <c r="AM121" s="8"/>
    </row>
    <row r="122" spans="1:39" x14ac:dyDescent="0.2">
      <c r="A122" s="2">
        <v>2021</v>
      </c>
      <c r="J122" s="2">
        <v>436</v>
      </c>
      <c r="M122" s="2">
        <v>580</v>
      </c>
      <c r="N122" s="2">
        <v>419</v>
      </c>
      <c r="AD122" s="165" t="s">
        <v>131</v>
      </c>
      <c r="AE122" s="167"/>
      <c r="AF122" s="181">
        <f>(0.5*SUM(AK113:AK118))/AF121</f>
        <v>2553.0749999999998</v>
      </c>
      <c r="AG122" s="167"/>
      <c r="AH122"/>
      <c r="AI122" s="181">
        <f>(0.5*SUM(AM113:AM118))/AI121</f>
        <v>3102.6180555555557</v>
      </c>
      <c r="AJ122" s="8"/>
      <c r="AK122" s="8"/>
      <c r="AL122" s="8"/>
      <c r="AM122" s="8"/>
    </row>
    <row r="123" spans="1:39" x14ac:dyDescent="0.2">
      <c r="A123" s="2">
        <v>2022</v>
      </c>
      <c r="L123" s="899">
        <v>903</v>
      </c>
      <c r="M123" s="898"/>
      <c r="N123" s="354">
        <v>842</v>
      </c>
    </row>
    <row r="124" spans="1:39" x14ac:dyDescent="0.2">
      <c r="A124" s="2">
        <v>2023</v>
      </c>
      <c r="K124" s="106">
        <v>61</v>
      </c>
    </row>
    <row r="125" spans="1:39" ht="15" x14ac:dyDescent="0.25">
      <c r="AD125" s="1013" t="s">
        <v>117</v>
      </c>
      <c r="AE125" s="1013" t="s">
        <v>118</v>
      </c>
      <c r="AF125" s="620" t="s">
        <v>119</v>
      </c>
      <c r="AG125"/>
      <c r="AH125" s="158" t="s">
        <v>120</v>
      </c>
      <c r="AI125" s="158"/>
      <c r="AJ125" s="159"/>
      <c r="AK125" s="160" t="s">
        <v>121</v>
      </c>
      <c r="AL125" s="160"/>
      <c r="AM125" s="161" t="s">
        <v>122</v>
      </c>
    </row>
    <row r="126" spans="1:39" ht="38.25" x14ac:dyDescent="0.2">
      <c r="AD126" s="1014"/>
      <c r="AE126" s="1014"/>
      <c r="AF126" s="619" t="s">
        <v>123</v>
      </c>
      <c r="AG126"/>
      <c r="AH126" s="163" t="s">
        <v>124</v>
      </c>
      <c r="AI126" s="163" t="s">
        <v>125</v>
      </c>
      <c r="AJ126" s="163"/>
      <c r="AK126" s="164" t="s">
        <v>126</v>
      </c>
      <c r="AL126"/>
      <c r="AM126" s="164" t="s">
        <v>126</v>
      </c>
    </row>
    <row r="127" spans="1:39" ht="13.5" thickBot="1" x14ac:dyDescent="0.25">
      <c r="A127" s="2">
        <v>2019</v>
      </c>
      <c r="AD127" s="165"/>
      <c r="AE127" s="166"/>
      <c r="AF127" s="167"/>
      <c r="AG127"/>
      <c r="AH127"/>
      <c r="AI127"/>
      <c r="AJ127"/>
      <c r="AK127"/>
      <c r="AL127"/>
      <c r="AM127"/>
    </row>
    <row r="128" spans="1:39" ht="18.75" thickTop="1" x14ac:dyDescent="0.2">
      <c r="A128" s="621" t="s">
        <v>117</v>
      </c>
      <c r="B128" s="622" t="s">
        <v>458</v>
      </c>
      <c r="C128" s="623" t="s">
        <v>459</v>
      </c>
      <c r="D128" s="624" t="s">
        <v>460</v>
      </c>
      <c r="E128" s="625" t="s">
        <v>461</v>
      </c>
      <c r="F128" s="623" t="s">
        <v>462</v>
      </c>
      <c r="G128" s="623" t="s">
        <v>463</v>
      </c>
      <c r="H128" s="626" t="s">
        <v>464</v>
      </c>
      <c r="I128" s="627" t="s">
        <v>465</v>
      </c>
      <c r="J128" s="628" t="s">
        <v>466</v>
      </c>
      <c r="K128" s="628" t="s">
        <v>467</v>
      </c>
      <c r="L128" s="628" t="s">
        <v>468</v>
      </c>
      <c r="M128" s="629" t="s">
        <v>469</v>
      </c>
      <c r="N128" s="625" t="s">
        <v>470</v>
      </c>
      <c r="O128" s="623" t="s">
        <v>471</v>
      </c>
      <c r="P128" s="623" t="s">
        <v>472</v>
      </c>
      <c r="Q128" s="623" t="s">
        <v>473</v>
      </c>
      <c r="R128" s="626" t="s">
        <v>474</v>
      </c>
      <c r="S128" s="627" t="s">
        <v>475</v>
      </c>
      <c r="T128" s="628" t="s">
        <v>476</v>
      </c>
      <c r="U128" s="628" t="s">
        <v>477</v>
      </c>
      <c r="V128" s="630" t="s">
        <v>478</v>
      </c>
      <c r="W128" s="625" t="s">
        <v>479</v>
      </c>
      <c r="X128" s="623" t="s">
        <v>480</v>
      </c>
      <c r="Y128" s="623" t="s">
        <v>481</v>
      </c>
      <c r="Z128" s="631" t="s">
        <v>482</v>
      </c>
      <c r="AD128" s="165"/>
      <c r="AE128" s="166"/>
      <c r="AF128" s="167"/>
      <c r="AG128"/>
      <c r="AH128"/>
      <c r="AI128"/>
      <c r="AJ128"/>
      <c r="AK128"/>
      <c r="AL128"/>
      <c r="AM128"/>
    </row>
    <row r="129" spans="1:39" x14ac:dyDescent="0.2">
      <c r="A129" s="670" t="s">
        <v>483</v>
      </c>
      <c r="B129" s="632" t="s">
        <v>484</v>
      </c>
      <c r="C129" s="632"/>
      <c r="D129" s="633"/>
      <c r="E129" s="634">
        <v>0</v>
      </c>
      <c r="F129" s="635"/>
      <c r="G129" s="636">
        <v>176</v>
      </c>
      <c r="H129" s="637"/>
      <c r="I129" s="638">
        <v>183</v>
      </c>
      <c r="J129" s="639">
        <v>639</v>
      </c>
      <c r="K129" s="640"/>
      <c r="L129" s="641"/>
      <c r="M129" s="642">
        <v>501</v>
      </c>
      <c r="N129" s="643">
        <v>188</v>
      </c>
      <c r="O129" s="644"/>
      <c r="P129" s="645"/>
      <c r="Q129" s="644"/>
      <c r="R129" s="646"/>
      <c r="S129" s="647"/>
      <c r="T129" s="644"/>
      <c r="U129" s="644"/>
      <c r="V129" s="646"/>
      <c r="W129" s="647"/>
      <c r="X129" s="644"/>
      <c r="Y129" s="644"/>
      <c r="Z129" s="201">
        <v>1512</v>
      </c>
      <c r="AD129" s="165" t="s">
        <v>127</v>
      </c>
      <c r="AE129" s="185">
        <v>43709</v>
      </c>
      <c r="AF129" s="167">
        <v>0</v>
      </c>
      <c r="AG129"/>
      <c r="AH129"/>
      <c r="AI129" s="169">
        <v>0</v>
      </c>
      <c r="AJ129"/>
      <c r="AK129"/>
      <c r="AL129"/>
      <c r="AM129"/>
    </row>
    <row r="130" spans="1:39" x14ac:dyDescent="0.2">
      <c r="A130" s="666" t="s">
        <v>485</v>
      </c>
      <c r="B130" s="632" t="s">
        <v>484</v>
      </c>
      <c r="C130" s="632"/>
      <c r="D130" s="648"/>
      <c r="E130" s="634">
        <v>1</v>
      </c>
      <c r="F130" s="635"/>
      <c r="G130" s="636">
        <v>8</v>
      </c>
      <c r="H130" s="649">
        <v>7</v>
      </c>
      <c r="I130" s="650"/>
      <c r="J130" s="651">
        <v>114</v>
      </c>
      <c r="K130" s="652"/>
      <c r="L130" s="641"/>
      <c r="M130" s="653">
        <v>625</v>
      </c>
      <c r="N130" s="654">
        <v>219</v>
      </c>
      <c r="O130" s="644"/>
      <c r="P130" s="645"/>
      <c r="Q130" s="644"/>
      <c r="R130" s="646"/>
      <c r="S130" s="647"/>
      <c r="T130" s="644"/>
      <c r="U130" s="644"/>
      <c r="V130" s="646"/>
      <c r="W130" s="647"/>
      <c r="X130" s="644"/>
      <c r="Y130" s="644"/>
      <c r="Z130" s="655"/>
      <c r="AD130" s="165"/>
      <c r="AE130" s="185">
        <v>43713</v>
      </c>
      <c r="AF130" s="672">
        <v>2</v>
      </c>
      <c r="AG130"/>
      <c r="AH130" s="171">
        <v>0.8</v>
      </c>
      <c r="AI130" s="172">
        <f t="shared" ref="AI130:AI136" si="13">AF130/AH130</f>
        <v>2.5</v>
      </c>
      <c r="AJ130"/>
      <c r="AK130" s="172">
        <f t="shared" ref="AK130:AK139" si="14">(AE130-AE129)*(AF130+AF129)</f>
        <v>8</v>
      </c>
      <c r="AL130"/>
      <c r="AM130" s="172">
        <f t="shared" ref="AM130:AM139" si="15">(AE130-AE129)*(AI130+AI129)</f>
        <v>10</v>
      </c>
    </row>
    <row r="131" spans="1:39" x14ac:dyDescent="0.2">
      <c r="A131" s="632" t="s">
        <v>486</v>
      </c>
      <c r="B131" s="632" t="s">
        <v>484</v>
      </c>
      <c r="C131" s="632"/>
      <c r="D131" s="648"/>
      <c r="E131" s="656"/>
      <c r="F131" s="640"/>
      <c r="G131" s="657"/>
      <c r="H131" s="658"/>
      <c r="I131" s="659"/>
      <c r="J131" s="660"/>
      <c r="K131" s="661"/>
      <c r="L131" s="662">
        <v>1239</v>
      </c>
      <c r="M131" s="642">
        <v>1191</v>
      </c>
      <c r="N131" s="663"/>
      <c r="O131" s="644"/>
      <c r="P131" s="645"/>
      <c r="Q131" s="644"/>
      <c r="R131" s="646"/>
      <c r="S131" s="647"/>
      <c r="T131" s="644"/>
      <c r="U131" s="644"/>
      <c r="V131" s="646"/>
      <c r="W131" s="647"/>
      <c r="X131" s="644"/>
      <c r="Y131" s="644"/>
      <c r="Z131" s="201">
        <v>3103</v>
      </c>
      <c r="AD131" s="165"/>
      <c r="AE131" s="185">
        <v>43725</v>
      </c>
      <c r="AF131" s="672">
        <v>15</v>
      </c>
      <c r="AG131"/>
      <c r="AH131" s="171">
        <v>0.9</v>
      </c>
      <c r="AI131" s="172">
        <f t="shared" si="13"/>
        <v>16.666666666666668</v>
      </c>
      <c r="AJ131"/>
      <c r="AK131" s="172">
        <f t="shared" si="14"/>
        <v>204</v>
      </c>
      <c r="AL131"/>
      <c r="AM131" s="172">
        <f t="shared" si="15"/>
        <v>230</v>
      </c>
    </row>
    <row r="132" spans="1:39" x14ac:dyDescent="0.2">
      <c r="A132"/>
      <c r="B132" s="151"/>
      <c r="C132" s="151"/>
      <c r="D132" s="151"/>
      <c r="E132" s="664" t="s">
        <v>487</v>
      </c>
      <c r="F132" s="665"/>
      <c r="G132" s="665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D132" s="165"/>
      <c r="AE132" s="185">
        <v>43733</v>
      </c>
      <c r="AF132" s="672">
        <v>13</v>
      </c>
      <c r="AG132"/>
      <c r="AH132" s="171">
        <v>0.9</v>
      </c>
      <c r="AI132" s="172">
        <f t="shared" si="13"/>
        <v>14.444444444444445</v>
      </c>
      <c r="AJ132"/>
      <c r="AK132" s="172">
        <f t="shared" si="14"/>
        <v>224</v>
      </c>
      <c r="AL132"/>
      <c r="AM132" s="172">
        <f t="shared" si="15"/>
        <v>248.88888888888891</v>
      </c>
    </row>
    <row r="133" spans="1:39" x14ac:dyDescent="0.2">
      <c r="A133"/>
      <c r="B133" s="151"/>
      <c r="C133" s="151"/>
      <c r="D133" s="151"/>
      <c r="E133" s="676">
        <f>E129/$M$129</f>
        <v>0</v>
      </c>
      <c r="F133" s="677"/>
      <c r="G133" s="676">
        <f>G129/$M$129</f>
        <v>0.35129740518962077</v>
      </c>
      <c r="H133" s="676"/>
      <c r="I133" s="676">
        <f>I129/$M$129</f>
        <v>0.3652694610778443</v>
      </c>
      <c r="J133" s="676">
        <f>J129/$M$129</f>
        <v>1.2754491017964071</v>
      </c>
      <c r="K133" s="678"/>
      <c r="L133" s="678"/>
      <c r="M133" s="676">
        <f>M129/$M$129</f>
        <v>1</v>
      </c>
      <c r="N133" s="676">
        <f>N129/$M$129</f>
        <v>0.37524950099800397</v>
      </c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D133" s="165"/>
      <c r="AE133" s="185">
        <v>43748</v>
      </c>
      <c r="AF133" s="672">
        <v>217</v>
      </c>
      <c r="AG133"/>
      <c r="AH133" s="171">
        <v>0.9</v>
      </c>
      <c r="AI133" s="172">
        <f t="shared" si="13"/>
        <v>241.11111111111111</v>
      </c>
      <c r="AJ133"/>
      <c r="AK133" s="172">
        <f t="shared" si="14"/>
        <v>3450</v>
      </c>
      <c r="AL133"/>
      <c r="AM133" s="172">
        <f t="shared" si="15"/>
        <v>3833.3333333333335</v>
      </c>
    </row>
    <row r="134" spans="1:39" x14ac:dyDescent="0.2">
      <c r="A134"/>
      <c r="B134" s="151"/>
      <c r="C134" s="151"/>
      <c r="D134" s="151"/>
      <c r="E134" s="674">
        <f>E133*$M$134</f>
        <v>0</v>
      </c>
      <c r="F134" s="674"/>
      <c r="G134" s="674">
        <f>G133*$M$134</f>
        <v>390.29141716566869</v>
      </c>
      <c r="H134" s="674"/>
      <c r="I134" s="674">
        <f>I133*$M$134</f>
        <v>405.81437125748505</v>
      </c>
      <c r="J134" s="674">
        <f>J133*$M$134</f>
        <v>1417.0239520958082</v>
      </c>
      <c r="K134" s="675"/>
      <c r="L134" s="673">
        <v>1235</v>
      </c>
      <c r="M134" s="674">
        <v>1111</v>
      </c>
      <c r="N134" s="674">
        <f>N133*$M$134</f>
        <v>416.90219560878239</v>
      </c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D134" s="165"/>
      <c r="AE134" s="185">
        <v>43761</v>
      </c>
      <c r="AF134" s="672">
        <v>1235</v>
      </c>
      <c r="AG134"/>
      <c r="AH134" s="171">
        <v>0.8</v>
      </c>
      <c r="AI134" s="172">
        <f t="shared" si="13"/>
        <v>1543.75</v>
      </c>
      <c r="AJ134"/>
      <c r="AK134" s="172">
        <f t="shared" si="14"/>
        <v>18876</v>
      </c>
      <c r="AL134"/>
      <c r="AM134" s="172">
        <f t="shared" si="15"/>
        <v>23203.194444444445</v>
      </c>
    </row>
    <row r="135" spans="1:39" x14ac:dyDescent="0.2">
      <c r="A135"/>
      <c r="B135" s="151"/>
      <c r="C135" s="151"/>
      <c r="D135" s="151"/>
      <c r="E135" s="679">
        <f>E130/$M$130</f>
        <v>1.6000000000000001E-3</v>
      </c>
      <c r="F135" s="679"/>
      <c r="G135" s="679">
        <f>G130/$M$130</f>
        <v>1.2800000000000001E-2</v>
      </c>
      <c r="H135" s="679">
        <f>H130/$M$130</f>
        <v>1.12E-2</v>
      </c>
      <c r="I135" s="679"/>
      <c r="J135" s="679">
        <f>J130/$M$130</f>
        <v>0.18240000000000001</v>
      </c>
      <c r="K135" s="679"/>
      <c r="L135" s="679"/>
      <c r="M135" s="679">
        <f>M130/$M$130</f>
        <v>1</v>
      </c>
      <c r="N135" s="679">
        <f>N130/$M$130</f>
        <v>0.35039999999999999</v>
      </c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D135" s="8"/>
      <c r="AE135" s="185">
        <v>43771</v>
      </c>
      <c r="AF135" s="672">
        <v>1111</v>
      </c>
      <c r="AG135"/>
      <c r="AH135" s="171">
        <v>0.9</v>
      </c>
      <c r="AI135" s="172">
        <f t="shared" si="13"/>
        <v>1234.4444444444443</v>
      </c>
      <c r="AJ135"/>
      <c r="AK135" s="172">
        <f t="shared" si="14"/>
        <v>23460</v>
      </c>
      <c r="AL135"/>
      <c r="AM135" s="172">
        <f t="shared" si="15"/>
        <v>27781.944444444445</v>
      </c>
    </row>
    <row r="136" spans="1:39" x14ac:dyDescent="0.2">
      <c r="A136" s="664"/>
      <c r="B136" s="151"/>
      <c r="C136" s="151"/>
      <c r="D136" s="151"/>
      <c r="E136" s="669">
        <f>E135*$M$131</f>
        <v>1.9056000000000002</v>
      </c>
      <c r="F136" s="667"/>
      <c r="G136" s="669">
        <f>G135*$M$131</f>
        <v>15.244800000000001</v>
      </c>
      <c r="H136" s="669">
        <f>H135*$M$131</f>
        <v>13.3392</v>
      </c>
      <c r="I136" s="680"/>
      <c r="J136" s="669">
        <f>J135*$M$131</f>
        <v>217.23840000000001</v>
      </c>
      <c r="K136" s="668"/>
      <c r="L136" s="681">
        <v>1235</v>
      </c>
      <c r="M136" s="669">
        <v>1111</v>
      </c>
      <c r="N136" s="669">
        <f>N135*$M$131</f>
        <v>417.32639999999998</v>
      </c>
      <c r="O136" s="151"/>
      <c r="P136" s="151"/>
      <c r="Q136" s="151"/>
      <c r="R136" s="151"/>
      <c r="S136" s="151"/>
      <c r="T136" s="151"/>
      <c r="U136" s="151"/>
      <c r="V136" s="151"/>
      <c r="W136" s="151">
        <v>30</v>
      </c>
      <c r="X136" s="151"/>
      <c r="Y136" s="151"/>
      <c r="Z136" s="151"/>
      <c r="AD136" s="8"/>
      <c r="AE136" s="185">
        <v>43774</v>
      </c>
      <c r="AF136" s="672">
        <v>417</v>
      </c>
      <c r="AG136"/>
      <c r="AH136" s="171">
        <v>0.9</v>
      </c>
      <c r="AI136" s="172">
        <f t="shared" si="13"/>
        <v>463.33333333333331</v>
      </c>
      <c r="AJ136"/>
      <c r="AK136" s="172">
        <f t="shared" si="14"/>
        <v>4584</v>
      </c>
      <c r="AL136"/>
      <c r="AM136" s="172">
        <f t="shared" si="15"/>
        <v>5093.333333333333</v>
      </c>
    </row>
    <row r="137" spans="1:39" x14ac:dyDescent="0.2">
      <c r="AD137" s="8"/>
      <c r="AE137" s="185">
        <v>43785</v>
      </c>
      <c r="AF137" s="170">
        <v>0</v>
      </c>
      <c r="AG137"/>
      <c r="AH137" s="171"/>
      <c r="AI137" s="172">
        <v>0</v>
      </c>
      <c r="AJ137"/>
      <c r="AK137" s="172">
        <f t="shared" si="14"/>
        <v>4587</v>
      </c>
      <c r="AL137"/>
      <c r="AM137" s="172">
        <f t="shared" si="15"/>
        <v>5096.6666666666661</v>
      </c>
    </row>
    <row r="138" spans="1:39" x14ac:dyDescent="0.2">
      <c r="AD138" s="8"/>
      <c r="AE138" s="185"/>
      <c r="AF138" s="170"/>
      <c r="AG138"/>
      <c r="AH138" s="171"/>
      <c r="AI138" s="172">
        <v>0</v>
      </c>
      <c r="AJ138"/>
      <c r="AK138" s="172">
        <f t="shared" si="14"/>
        <v>0</v>
      </c>
      <c r="AL138"/>
      <c r="AM138" s="172">
        <f t="shared" si="15"/>
        <v>0</v>
      </c>
    </row>
    <row r="139" spans="1:39" x14ac:dyDescent="0.2">
      <c r="AD139" s="165" t="s">
        <v>128</v>
      </c>
      <c r="AE139" s="175"/>
      <c r="AF139" s="176"/>
      <c r="AG139"/>
      <c r="AH139" s="177"/>
      <c r="AI139" s="178"/>
      <c r="AJ139" s="179"/>
      <c r="AK139" s="172">
        <f t="shared" si="14"/>
        <v>0</v>
      </c>
      <c r="AL139"/>
      <c r="AM139" s="172">
        <f t="shared" si="15"/>
        <v>0</v>
      </c>
    </row>
    <row r="140" spans="1:39" x14ac:dyDescent="0.2">
      <c r="AD140" s="165" t="s">
        <v>2</v>
      </c>
      <c r="AE140" s="167">
        <v>7</v>
      </c>
      <c r="AF140" s="167"/>
      <c r="AG140" s="167"/>
      <c r="AH140"/>
      <c r="AI140"/>
      <c r="AJ140"/>
      <c r="AK140"/>
      <c r="AL140"/>
      <c r="AM140"/>
    </row>
    <row r="141" spans="1:39" x14ac:dyDescent="0.2">
      <c r="AD141" s="165" t="s">
        <v>129</v>
      </c>
      <c r="AE141" s="167"/>
      <c r="AF141" s="167">
        <f>MAX(AF129:AF139)</f>
        <v>1235</v>
      </c>
      <c r="AG141" s="167"/>
      <c r="AH141" s="167"/>
      <c r="AI141" s="167">
        <f>MAX(AI129:AI139)</f>
        <v>1543.75</v>
      </c>
      <c r="AJ141" s="167"/>
      <c r="AK141" s="167"/>
      <c r="AL141" s="180"/>
      <c r="AM141"/>
    </row>
    <row r="142" spans="1:39" x14ac:dyDescent="0.2">
      <c r="AD142" s="165" t="s">
        <v>130</v>
      </c>
      <c r="AE142" s="167"/>
      <c r="AF142" s="169">
        <v>15</v>
      </c>
      <c r="AG142" s="167"/>
      <c r="AH142"/>
      <c r="AI142" s="169">
        <v>15</v>
      </c>
      <c r="AJ142" s="8"/>
      <c r="AK142" s="8"/>
      <c r="AL142" s="8"/>
      <c r="AM142" s="8"/>
    </row>
    <row r="143" spans="1:39" x14ac:dyDescent="0.2">
      <c r="AD143" s="165" t="s">
        <v>131</v>
      </c>
      <c r="AE143" s="167"/>
      <c r="AF143" s="181">
        <f>(0.5*SUM(AK130:AK139))/AF142</f>
        <v>1846.4333333333334</v>
      </c>
      <c r="AG143" s="167"/>
      <c r="AH143"/>
      <c r="AI143" s="181">
        <f>(0.5*SUM(AM130:AM139))/AI142</f>
        <v>2183.2453703703704</v>
      </c>
      <c r="AJ143" s="8"/>
      <c r="AK143" s="8"/>
      <c r="AL143" s="8"/>
      <c r="AM143" s="8"/>
    </row>
    <row r="146" spans="30:39" ht="15" x14ac:dyDescent="0.25">
      <c r="AD146" s="1013" t="s">
        <v>117</v>
      </c>
      <c r="AE146" s="1013" t="s">
        <v>118</v>
      </c>
      <c r="AF146" s="620" t="s">
        <v>119</v>
      </c>
      <c r="AG146"/>
      <c r="AH146" s="158" t="s">
        <v>120</v>
      </c>
      <c r="AI146" s="158"/>
      <c r="AJ146" s="159"/>
      <c r="AK146" s="160" t="s">
        <v>121</v>
      </c>
      <c r="AL146" s="160"/>
      <c r="AM146" s="161" t="s">
        <v>122</v>
      </c>
    </row>
    <row r="147" spans="30:39" ht="38.25" x14ac:dyDescent="0.2">
      <c r="AD147" s="1014"/>
      <c r="AE147" s="1014"/>
      <c r="AF147" s="619" t="s">
        <v>123</v>
      </c>
      <c r="AG147"/>
      <c r="AH147" s="163" t="s">
        <v>124</v>
      </c>
      <c r="AI147" s="163" t="s">
        <v>125</v>
      </c>
      <c r="AJ147" s="163"/>
      <c r="AK147" s="164" t="s">
        <v>126</v>
      </c>
      <c r="AL147"/>
      <c r="AM147" s="164" t="s">
        <v>126</v>
      </c>
    </row>
    <row r="148" spans="30:39" x14ac:dyDescent="0.2">
      <c r="AD148" s="165"/>
      <c r="AE148" s="166"/>
      <c r="AF148" s="167"/>
      <c r="AG148"/>
      <c r="AH148"/>
      <c r="AI148"/>
      <c r="AJ148"/>
      <c r="AK148"/>
      <c r="AL148"/>
      <c r="AM148"/>
    </row>
    <row r="149" spans="30:39" x14ac:dyDescent="0.2">
      <c r="AD149" s="165"/>
      <c r="AE149" s="166"/>
      <c r="AF149" s="167"/>
      <c r="AG149"/>
      <c r="AH149"/>
      <c r="AI149"/>
      <c r="AJ149"/>
      <c r="AK149"/>
      <c r="AL149"/>
      <c r="AM149"/>
    </row>
    <row r="150" spans="30:39" x14ac:dyDescent="0.2">
      <c r="AD150" s="165" t="s">
        <v>127</v>
      </c>
      <c r="AE150" s="185">
        <v>43709</v>
      </c>
      <c r="AF150" s="167">
        <v>0</v>
      </c>
      <c r="AG150"/>
      <c r="AH150"/>
      <c r="AI150" s="169">
        <v>0</v>
      </c>
      <c r="AJ150"/>
      <c r="AK150"/>
      <c r="AL150"/>
      <c r="AM150"/>
    </row>
    <row r="151" spans="30:39" x14ac:dyDescent="0.2">
      <c r="AD151" s="165"/>
      <c r="AE151" s="185">
        <v>43713</v>
      </c>
      <c r="AF151" s="671">
        <v>0</v>
      </c>
      <c r="AG151"/>
      <c r="AH151" s="171">
        <v>0.8</v>
      </c>
      <c r="AI151" s="172">
        <f t="shared" ref="AI151:AI156" si="16">AF151/AH151</f>
        <v>0</v>
      </c>
      <c r="AJ151"/>
      <c r="AK151" s="172">
        <f>(AE151-AE150)*(AF151+AF150)</f>
        <v>0</v>
      </c>
      <c r="AL151"/>
      <c r="AM151" s="172">
        <f>(AE151-AE150)*(AI151+AI150)</f>
        <v>0</v>
      </c>
    </row>
    <row r="152" spans="30:39" x14ac:dyDescent="0.2">
      <c r="AD152" s="165"/>
      <c r="AE152" s="185">
        <v>43725</v>
      </c>
      <c r="AF152" s="671">
        <v>418</v>
      </c>
      <c r="AG152"/>
      <c r="AH152" s="171">
        <v>0.9</v>
      </c>
      <c r="AI152" s="172">
        <f t="shared" si="16"/>
        <v>464.44444444444446</v>
      </c>
      <c r="AJ152"/>
      <c r="AK152" s="172">
        <f t="shared" ref="AK152:AK159" si="17">(AE152-AE151)*(AF152+AF151)</f>
        <v>5016</v>
      </c>
      <c r="AL152"/>
      <c r="AM152" s="172">
        <f t="shared" ref="AM152:AM159" si="18">(AE152-AE151)*(AI152+AI151)</f>
        <v>5573.3333333333339</v>
      </c>
    </row>
    <row r="153" spans="30:39" x14ac:dyDescent="0.2">
      <c r="AD153" s="165"/>
      <c r="AE153" s="185">
        <v>43733</v>
      </c>
      <c r="AF153" s="671">
        <v>435</v>
      </c>
      <c r="AG153"/>
      <c r="AH153" s="171">
        <v>0.9</v>
      </c>
      <c r="AI153" s="172">
        <f t="shared" si="16"/>
        <v>483.33333333333331</v>
      </c>
      <c r="AJ153"/>
      <c r="AK153" s="172">
        <f t="shared" si="17"/>
        <v>6824</v>
      </c>
      <c r="AL153"/>
      <c r="AM153" s="172">
        <f t="shared" si="18"/>
        <v>7582.2222222222226</v>
      </c>
    </row>
    <row r="154" spans="30:39" x14ac:dyDescent="0.2">
      <c r="AD154" s="165"/>
      <c r="AE154" s="185">
        <v>43748</v>
      </c>
      <c r="AF154" s="671">
        <v>1519</v>
      </c>
      <c r="AG154"/>
      <c r="AH154" s="171">
        <v>0.9</v>
      </c>
      <c r="AI154" s="172">
        <f t="shared" si="16"/>
        <v>1687.7777777777778</v>
      </c>
      <c r="AJ154"/>
      <c r="AK154" s="172">
        <f t="shared" si="17"/>
        <v>29310</v>
      </c>
      <c r="AL154"/>
      <c r="AM154" s="172">
        <f t="shared" si="18"/>
        <v>32566.666666666672</v>
      </c>
    </row>
    <row r="155" spans="30:39" x14ac:dyDescent="0.2">
      <c r="AD155" s="165"/>
      <c r="AE155" s="185">
        <v>43761</v>
      </c>
      <c r="AF155" s="671">
        <v>1239</v>
      </c>
      <c r="AG155"/>
      <c r="AH155" s="171">
        <v>0.8</v>
      </c>
      <c r="AI155" s="172">
        <f t="shared" si="16"/>
        <v>1548.75</v>
      </c>
      <c r="AJ155"/>
      <c r="AK155" s="172">
        <f t="shared" si="17"/>
        <v>35854</v>
      </c>
      <c r="AL155"/>
      <c r="AM155" s="172">
        <f t="shared" si="18"/>
        <v>42074.861111111109</v>
      </c>
    </row>
    <row r="156" spans="30:39" x14ac:dyDescent="0.2">
      <c r="AD156" s="8"/>
      <c r="AE156" s="185">
        <v>43771</v>
      </c>
      <c r="AF156" s="671">
        <v>1191</v>
      </c>
      <c r="AG156"/>
      <c r="AH156" s="171">
        <v>0.9</v>
      </c>
      <c r="AI156" s="172">
        <f t="shared" si="16"/>
        <v>1323.3333333333333</v>
      </c>
      <c r="AJ156"/>
      <c r="AK156" s="172">
        <f t="shared" si="17"/>
        <v>24300</v>
      </c>
      <c r="AL156"/>
      <c r="AM156" s="172">
        <f t="shared" si="18"/>
        <v>28720.833333333328</v>
      </c>
    </row>
    <row r="157" spans="30:39" x14ac:dyDescent="0.2">
      <c r="AD157" s="8"/>
      <c r="AE157" s="185">
        <v>43774</v>
      </c>
      <c r="AF157" s="671">
        <v>447</v>
      </c>
      <c r="AG157"/>
      <c r="AH157" s="171"/>
      <c r="AI157" s="172">
        <v>0</v>
      </c>
      <c r="AJ157"/>
      <c r="AK157" s="172">
        <f t="shared" si="17"/>
        <v>4914</v>
      </c>
      <c r="AL157"/>
      <c r="AM157" s="172">
        <f t="shared" si="18"/>
        <v>3970</v>
      </c>
    </row>
    <row r="158" spans="30:39" x14ac:dyDescent="0.2">
      <c r="AD158" s="8"/>
      <c r="AE158" s="185">
        <v>43784</v>
      </c>
      <c r="AF158" s="671">
        <v>0</v>
      </c>
      <c r="AG158"/>
      <c r="AH158" s="171"/>
      <c r="AI158" s="172">
        <v>0</v>
      </c>
      <c r="AJ158"/>
      <c r="AK158" s="172">
        <f t="shared" si="17"/>
        <v>4470</v>
      </c>
      <c r="AL158"/>
      <c r="AM158" s="172">
        <f t="shared" si="18"/>
        <v>0</v>
      </c>
    </row>
    <row r="159" spans="30:39" x14ac:dyDescent="0.2">
      <c r="AD159" s="8"/>
      <c r="AE159" s="185"/>
      <c r="AF159" s="170"/>
      <c r="AG159"/>
      <c r="AH159" s="171"/>
      <c r="AI159" s="172">
        <v>0</v>
      </c>
      <c r="AJ159"/>
      <c r="AK159" s="172">
        <f t="shared" si="17"/>
        <v>0</v>
      </c>
      <c r="AL159"/>
      <c r="AM159" s="172">
        <f t="shared" si="18"/>
        <v>0</v>
      </c>
    </row>
    <row r="160" spans="30:39" x14ac:dyDescent="0.2">
      <c r="AD160" s="165" t="s">
        <v>128</v>
      </c>
      <c r="AE160" s="175"/>
      <c r="AF160" s="176"/>
      <c r="AG160"/>
      <c r="AH160" s="177"/>
      <c r="AI160" s="178"/>
      <c r="AJ160" s="179"/>
      <c r="AK160" s="172">
        <f>(AE160-AE159)*(AF160+AF159)</f>
        <v>0</v>
      </c>
      <c r="AL160"/>
      <c r="AM160" s="172">
        <f>(AE160-AE159)*(AI160+AI159)</f>
        <v>0</v>
      </c>
    </row>
    <row r="161" spans="30:39" x14ac:dyDescent="0.2">
      <c r="AD161" s="165" t="s">
        <v>2</v>
      </c>
      <c r="AE161" s="167">
        <v>7</v>
      </c>
      <c r="AF161" s="167"/>
      <c r="AG161" s="167"/>
      <c r="AH161"/>
      <c r="AI161"/>
      <c r="AJ161"/>
      <c r="AK161"/>
      <c r="AL161"/>
      <c r="AM161"/>
    </row>
    <row r="162" spans="30:39" x14ac:dyDescent="0.2">
      <c r="AD162" s="165" t="s">
        <v>129</v>
      </c>
      <c r="AE162" s="167"/>
      <c r="AF162" s="167">
        <f>MAX(AF150:AF160)</f>
        <v>1519</v>
      </c>
      <c r="AG162" s="167"/>
      <c r="AH162" s="167"/>
      <c r="AI162" s="167">
        <f>MAX(AI150:AI160)</f>
        <v>1687.7777777777778</v>
      </c>
      <c r="AJ162" s="167"/>
      <c r="AK162" s="167"/>
      <c r="AL162" s="180"/>
      <c r="AM162"/>
    </row>
    <row r="163" spans="30:39" x14ac:dyDescent="0.2">
      <c r="AD163" s="165" t="s">
        <v>130</v>
      </c>
      <c r="AE163" s="167"/>
      <c r="AF163" s="169">
        <v>15</v>
      </c>
      <c r="AG163" s="167"/>
      <c r="AH163"/>
      <c r="AI163" s="169">
        <v>15</v>
      </c>
      <c r="AJ163" s="8"/>
      <c r="AK163" s="8"/>
      <c r="AL163" s="8"/>
      <c r="AM163" s="8"/>
    </row>
    <row r="164" spans="30:39" x14ac:dyDescent="0.2">
      <c r="AD164" s="165" t="s">
        <v>131</v>
      </c>
      <c r="AE164" s="167"/>
      <c r="AF164" s="181">
        <f>(0.5*SUM(AK151:AK160))/AF163</f>
        <v>3689.6</v>
      </c>
      <c r="AG164" s="167"/>
      <c r="AH164"/>
      <c r="AI164" s="181">
        <f>(0.5*SUM(AM151:AM160))/AI163</f>
        <v>4016.2638888888891</v>
      </c>
      <c r="AJ164" s="8"/>
      <c r="AK164" s="8"/>
      <c r="AL164" s="8"/>
      <c r="AM164" s="8"/>
    </row>
  </sheetData>
  <mergeCells count="30">
    <mergeCell ref="X38:X39"/>
    <mergeCell ref="X3:X4"/>
    <mergeCell ref="Z73:Z74"/>
    <mergeCell ref="Y3:Y4"/>
    <mergeCell ref="Z3:Z4"/>
    <mergeCell ref="Y38:Y39"/>
    <mergeCell ref="Z38:Z39"/>
    <mergeCell ref="A71:I71"/>
    <mergeCell ref="A73:A74"/>
    <mergeCell ref="B73:W73"/>
    <mergeCell ref="X73:X74"/>
    <mergeCell ref="Y73:Y74"/>
    <mergeCell ref="A1:I1"/>
    <mergeCell ref="B3:W3"/>
    <mergeCell ref="A36:I36"/>
    <mergeCell ref="A3:A4"/>
    <mergeCell ref="A38:A39"/>
    <mergeCell ref="B38:W38"/>
    <mergeCell ref="AD108:AD109"/>
    <mergeCell ref="AE108:AE109"/>
    <mergeCell ref="AD125:AD126"/>
    <mergeCell ref="AE125:AE126"/>
    <mergeCell ref="AD146:AD147"/>
    <mergeCell ref="AE146:AE147"/>
    <mergeCell ref="Z110:Z111"/>
    <mergeCell ref="A108:I108"/>
    <mergeCell ref="A110:A111"/>
    <mergeCell ref="B110:W110"/>
    <mergeCell ref="X110:X111"/>
    <mergeCell ref="Y110:Y111"/>
  </mergeCells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AV104"/>
  <sheetViews>
    <sheetView topLeftCell="A37" zoomScale="75" workbookViewId="0">
      <selection activeCell="N103" sqref="N103"/>
    </sheetView>
  </sheetViews>
  <sheetFormatPr defaultColWidth="9.140625" defaultRowHeight="12.75" x14ac:dyDescent="0.2"/>
  <cols>
    <col min="1" max="1" width="10.28515625" style="2" customWidth="1"/>
    <col min="2" max="12" width="6.5703125" style="2" customWidth="1"/>
    <col min="13" max="13" width="8.28515625" style="2" bestFit="1" customWidth="1"/>
    <col min="14" max="14" width="6.5703125" style="2" customWidth="1"/>
    <col min="15" max="15" width="8.28515625" style="2" bestFit="1" customWidth="1"/>
    <col min="16" max="23" width="6.5703125" style="2" customWidth="1"/>
    <col min="24" max="25" width="9.140625" style="2"/>
    <col min="26" max="26" width="11.7109375" style="56" customWidth="1"/>
    <col min="27" max="27" width="9.140625" style="2"/>
    <col min="28" max="28" width="11" style="2" bestFit="1" customWidth="1"/>
    <col min="29" max="32" width="9.140625" style="2"/>
    <col min="33" max="34" width="14.42578125" style="2" bestFit="1" customWidth="1"/>
    <col min="35" max="42" width="9.140625" style="2"/>
    <col min="43" max="43" width="13.85546875" style="2" bestFit="1" customWidth="1"/>
    <col min="44" max="44" width="10.42578125" style="2" bestFit="1" customWidth="1"/>
    <col min="45" max="16384" width="9.140625" style="2"/>
  </cols>
  <sheetData>
    <row r="1" spans="1:48" ht="18" customHeight="1" x14ac:dyDescent="0.2">
      <c r="A1" s="1002" t="s">
        <v>629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8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8" ht="18" customHeight="1" thickTop="1" thickBot="1" x14ac:dyDescent="0.25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575" t="s">
        <v>176</v>
      </c>
      <c r="AT3" s="835" t="s">
        <v>178</v>
      </c>
      <c r="AU3" s="669" t="s">
        <v>177</v>
      </c>
      <c r="AV3" s="840" t="s">
        <v>365</v>
      </c>
    </row>
    <row r="4" spans="1:48" ht="18" customHeight="1" x14ac:dyDescent="0.25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68" t="s">
        <v>44</v>
      </c>
      <c r="AB4" t="s">
        <v>142</v>
      </c>
      <c r="AC4"/>
      <c r="AD4"/>
      <c r="AE4"/>
      <c r="AF4" s="269" t="s">
        <v>117</v>
      </c>
      <c r="AG4" s="270" t="s">
        <v>118</v>
      </c>
      <c r="AH4" s="271" t="s">
        <v>119</v>
      </c>
      <c r="AI4" s="272"/>
      <c r="AJ4" s="271" t="s">
        <v>120</v>
      </c>
      <c r="AK4" s="271"/>
      <c r="AL4" s="272"/>
      <c r="AM4" s="273" t="s">
        <v>121</v>
      </c>
      <c r="AN4" s="272"/>
      <c r="AO4" s="274" t="s">
        <v>122</v>
      </c>
      <c r="AP4"/>
      <c r="AQ4" s="842" t="s">
        <v>493</v>
      </c>
      <c r="AR4" s="842" t="s">
        <v>106</v>
      </c>
      <c r="AS4" s="842" t="s">
        <v>496</v>
      </c>
      <c r="AT4" s="842" t="s">
        <v>496</v>
      </c>
      <c r="AU4" s="842" t="s">
        <v>496</v>
      </c>
      <c r="AV4" s="842" t="s">
        <v>496</v>
      </c>
    </row>
    <row r="5" spans="1:48" s="8" customFormat="1" ht="18" customHeight="1" x14ac:dyDescent="0.25">
      <c r="A5" s="1">
        <v>1995</v>
      </c>
      <c r="B5" s="6"/>
      <c r="C5" s="6"/>
      <c r="D5" s="6"/>
      <c r="E5" s="6"/>
      <c r="F5" s="6"/>
      <c r="G5" s="6"/>
      <c r="H5" s="6"/>
      <c r="I5" s="6">
        <v>4</v>
      </c>
      <c r="J5" s="6">
        <v>180</v>
      </c>
      <c r="K5" s="6">
        <v>144</v>
      </c>
      <c r="L5" s="6">
        <v>45</v>
      </c>
      <c r="M5" s="6"/>
      <c r="N5" s="6"/>
      <c r="O5" s="6">
        <v>0</v>
      </c>
      <c r="P5" s="6"/>
      <c r="Q5" s="6"/>
      <c r="R5" s="6"/>
      <c r="S5" s="6"/>
      <c r="T5" s="1"/>
      <c r="U5" s="1"/>
      <c r="V5" s="1"/>
      <c r="W5" s="1"/>
      <c r="X5" s="7">
        <v>266</v>
      </c>
      <c r="Y5" s="7" t="s">
        <v>5</v>
      </c>
      <c r="Z5" s="10">
        <v>15</v>
      </c>
      <c r="AB5">
        <f>X5/MAX(B5:W5)</f>
        <v>1.4777777777777779</v>
      </c>
      <c r="AC5"/>
      <c r="AD5">
        <v>0.1</v>
      </c>
      <c r="AE5">
        <f>_xlfn.PERCENTILE.INC($X$5:$X$25,AD5)</f>
        <v>192</v>
      </c>
      <c r="AF5" s="275" t="s">
        <v>35</v>
      </c>
      <c r="AG5" s="830"/>
      <c r="AH5" s="830" t="s">
        <v>146</v>
      </c>
      <c r="AI5" s="262"/>
      <c r="AJ5" s="163" t="s">
        <v>148</v>
      </c>
      <c r="AK5" s="163" t="s">
        <v>147</v>
      </c>
      <c r="AL5" s="262"/>
      <c r="AM5" s="164"/>
      <c r="AN5" s="262"/>
      <c r="AO5" s="276"/>
      <c r="AP5"/>
      <c r="AQ5" s="843" t="s">
        <v>536</v>
      </c>
      <c r="AR5" s="844">
        <v>44447</v>
      </c>
      <c r="AS5" s="845">
        <v>92</v>
      </c>
      <c r="AT5" s="845">
        <v>100</v>
      </c>
      <c r="AU5" s="845">
        <v>0</v>
      </c>
      <c r="AV5" s="845">
        <v>1</v>
      </c>
    </row>
    <row r="6" spans="1:48" s="8" customFormat="1" ht="18" customHeight="1" x14ac:dyDescent="0.25">
      <c r="A6" s="1">
        <v>1996</v>
      </c>
      <c r="B6" s="6"/>
      <c r="C6" s="6"/>
      <c r="D6" s="6"/>
      <c r="E6" s="6">
        <v>0</v>
      </c>
      <c r="F6" s="6">
        <v>9</v>
      </c>
      <c r="G6" s="6"/>
      <c r="H6" s="6">
        <v>68</v>
      </c>
      <c r="I6" s="6">
        <v>85</v>
      </c>
      <c r="J6" s="6">
        <v>20</v>
      </c>
      <c r="K6" s="6">
        <v>151</v>
      </c>
      <c r="L6" s="6"/>
      <c r="M6" s="6"/>
      <c r="N6" s="6">
        <v>4</v>
      </c>
      <c r="O6" s="6"/>
      <c r="P6" s="6">
        <v>0</v>
      </c>
      <c r="Q6" s="6"/>
      <c r="R6" s="6"/>
      <c r="S6" s="6">
        <v>0</v>
      </c>
      <c r="T6" s="1"/>
      <c r="U6" s="1"/>
      <c r="V6" s="1"/>
      <c r="W6" s="1"/>
      <c r="X6" s="250">
        <v>219</v>
      </c>
      <c r="Y6" s="7" t="s">
        <v>5</v>
      </c>
      <c r="Z6" s="10">
        <v>20</v>
      </c>
      <c r="AB6">
        <f t="shared" ref="AB6:AB28" si="0">X6/MAX(B6:W6)</f>
        <v>1.4503311258278146</v>
      </c>
      <c r="AC6"/>
      <c r="AD6" s="247">
        <v>0.2</v>
      </c>
      <c r="AE6">
        <f t="shared" ref="AE6:AE13" si="1">_xlfn.PERCENTILE.INC($X$5:$X$25,AD6)</f>
        <v>219</v>
      </c>
      <c r="AF6" s="275" t="s">
        <v>127</v>
      </c>
      <c r="AG6" s="229">
        <v>44440</v>
      </c>
      <c r="AH6" s="167"/>
      <c r="AI6" s="262"/>
      <c r="AJ6" s="262"/>
      <c r="AK6" s="263">
        <v>0</v>
      </c>
      <c r="AL6" s="262"/>
      <c r="AM6" s="262"/>
      <c r="AN6" s="262"/>
      <c r="AO6" s="277"/>
      <c r="AP6"/>
      <c r="AQ6" s="843" t="s">
        <v>536</v>
      </c>
      <c r="AR6" s="844">
        <v>44454</v>
      </c>
      <c r="AS6" s="845">
        <v>84</v>
      </c>
      <c r="AT6" s="845">
        <v>255</v>
      </c>
      <c r="AU6" s="845">
        <v>8</v>
      </c>
      <c r="AV6" s="845">
        <v>3</v>
      </c>
    </row>
    <row r="7" spans="1:48" s="8" customFormat="1" ht="18" customHeight="1" x14ac:dyDescent="0.25">
      <c r="A7" s="1">
        <v>1997</v>
      </c>
      <c r="B7" s="6"/>
      <c r="C7" s="6"/>
      <c r="D7" s="6">
        <v>0</v>
      </c>
      <c r="E7" s="6"/>
      <c r="F7" s="6"/>
      <c r="G7" s="6">
        <v>91</v>
      </c>
      <c r="H7" s="6">
        <v>31</v>
      </c>
      <c r="I7" s="6">
        <v>185</v>
      </c>
      <c r="J7" s="6"/>
      <c r="K7" s="6">
        <v>300</v>
      </c>
      <c r="L7" s="6"/>
      <c r="M7" s="6">
        <v>113</v>
      </c>
      <c r="N7" s="6">
        <v>2</v>
      </c>
      <c r="O7" s="6"/>
      <c r="P7" s="6">
        <v>1</v>
      </c>
      <c r="Q7" s="6"/>
      <c r="R7" s="6"/>
      <c r="S7" s="6"/>
      <c r="T7" s="1"/>
      <c r="U7" s="1"/>
      <c r="V7" s="1"/>
      <c r="W7" s="1"/>
      <c r="X7" s="7">
        <v>558</v>
      </c>
      <c r="Y7" s="7" t="s">
        <v>5</v>
      </c>
      <c r="Z7" s="61">
        <v>20</v>
      </c>
      <c r="AB7">
        <f t="shared" si="0"/>
        <v>1.86</v>
      </c>
      <c r="AC7"/>
      <c r="AD7">
        <v>0.3</v>
      </c>
      <c r="AE7">
        <f t="shared" si="1"/>
        <v>240</v>
      </c>
      <c r="AF7" s="275"/>
      <c r="AG7" s="229">
        <v>44447</v>
      </c>
      <c r="AH7" s="263">
        <v>92</v>
      </c>
      <c r="AI7" s="262"/>
      <c r="AJ7" s="264">
        <v>0.9</v>
      </c>
      <c r="AK7" s="265">
        <f t="shared" ref="AK7:AK14" si="2">AH7/AJ7</f>
        <v>102.22222222222221</v>
      </c>
      <c r="AL7" s="262"/>
      <c r="AM7" s="265">
        <f>(AG7-AG6)*(AH7+AH6)</f>
        <v>644</v>
      </c>
      <c r="AN7" s="262"/>
      <c r="AO7" s="278">
        <f>(AG7-AG6)*(AK7+AK6)</f>
        <v>715.55555555555554</v>
      </c>
      <c r="AP7"/>
      <c r="AQ7" s="843" t="s">
        <v>536</v>
      </c>
      <c r="AR7" s="844">
        <v>44462</v>
      </c>
      <c r="AS7" s="845">
        <v>279</v>
      </c>
      <c r="AT7" s="845">
        <v>456</v>
      </c>
      <c r="AU7" s="845">
        <v>74</v>
      </c>
      <c r="AV7" s="845">
        <v>6</v>
      </c>
    </row>
    <row r="8" spans="1:48" s="8" customFormat="1" ht="18" customHeight="1" x14ac:dyDescent="0.25">
      <c r="A8" s="1">
        <v>1998</v>
      </c>
      <c r="B8" s="6"/>
      <c r="C8" s="6">
        <v>1</v>
      </c>
      <c r="D8" s="6"/>
      <c r="E8" s="6"/>
      <c r="F8" s="6"/>
      <c r="G8" s="6">
        <v>82</v>
      </c>
      <c r="H8" s="6"/>
      <c r="I8" s="6">
        <v>105</v>
      </c>
      <c r="J8" s="6">
        <v>129</v>
      </c>
      <c r="K8" s="6">
        <v>479</v>
      </c>
      <c r="L8" s="6">
        <v>237</v>
      </c>
      <c r="M8" s="6">
        <v>13</v>
      </c>
      <c r="N8" s="6">
        <v>8</v>
      </c>
      <c r="O8" s="6">
        <v>21</v>
      </c>
      <c r="P8" s="6"/>
      <c r="Q8" s="6">
        <v>6</v>
      </c>
      <c r="R8" s="6"/>
      <c r="S8" s="6">
        <v>1</v>
      </c>
      <c r="T8" s="1"/>
      <c r="U8" s="1"/>
      <c r="V8" s="1"/>
      <c r="W8" s="1"/>
      <c r="X8" s="7">
        <v>824</v>
      </c>
      <c r="Y8" s="7" t="s">
        <v>5</v>
      </c>
      <c r="Z8" s="61">
        <v>15</v>
      </c>
      <c r="AB8">
        <f t="shared" si="0"/>
        <v>1.7202505219206681</v>
      </c>
      <c r="AC8"/>
      <c r="AD8">
        <v>0.4</v>
      </c>
      <c r="AE8">
        <f t="shared" si="1"/>
        <v>264</v>
      </c>
      <c r="AF8" s="275"/>
      <c r="AG8" s="229">
        <v>44454</v>
      </c>
      <c r="AH8" s="263">
        <v>84</v>
      </c>
      <c r="AI8" s="262"/>
      <c r="AJ8" s="264">
        <v>0.9</v>
      </c>
      <c r="AK8" s="265">
        <f t="shared" si="2"/>
        <v>93.333333333333329</v>
      </c>
      <c r="AL8" s="262"/>
      <c r="AM8" s="265">
        <f t="shared" ref="AM8:AM16" si="3">(AG8-AG7)*(AH8+AH7)</f>
        <v>1232</v>
      </c>
      <c r="AN8" s="262"/>
      <c r="AO8" s="278">
        <f t="shared" ref="AO8:AO16" si="4">(AG8-AG7)*(AK8+AK7)</f>
        <v>1368.8888888888887</v>
      </c>
      <c r="AP8"/>
      <c r="AQ8" s="843" t="s">
        <v>536</v>
      </c>
      <c r="AR8" s="844">
        <v>44475</v>
      </c>
      <c r="AS8" s="845">
        <v>57</v>
      </c>
      <c r="AT8" s="845">
        <v>667</v>
      </c>
      <c r="AU8" s="845">
        <v>343</v>
      </c>
      <c r="AV8" s="845">
        <v>10</v>
      </c>
    </row>
    <row r="9" spans="1:48" s="8" customFormat="1" ht="18" customHeight="1" x14ac:dyDescent="0.25">
      <c r="A9" s="1">
        <v>1999</v>
      </c>
      <c r="B9" s="6"/>
      <c r="C9" s="6"/>
      <c r="D9" s="6"/>
      <c r="E9" s="6"/>
      <c r="F9" s="6"/>
      <c r="G9" s="6"/>
      <c r="H9" s="6">
        <v>47</v>
      </c>
      <c r="I9" s="6">
        <v>67</v>
      </c>
      <c r="J9" s="6">
        <v>307</v>
      </c>
      <c r="K9" s="6"/>
      <c r="L9" s="6">
        <v>173</v>
      </c>
      <c r="M9" s="6">
        <v>79</v>
      </c>
      <c r="N9" s="6"/>
      <c r="O9" s="6">
        <v>3</v>
      </c>
      <c r="P9" s="6">
        <v>0</v>
      </c>
      <c r="Q9" s="6"/>
      <c r="R9" s="6">
        <v>0</v>
      </c>
      <c r="S9" s="6"/>
      <c r="T9" s="1"/>
      <c r="U9" s="1"/>
      <c r="V9" s="1"/>
      <c r="W9" s="1"/>
      <c r="X9" s="9">
        <v>453</v>
      </c>
      <c r="Y9" s="7" t="s">
        <v>5</v>
      </c>
      <c r="Z9" s="62">
        <v>15</v>
      </c>
      <c r="AB9">
        <f t="shared" si="0"/>
        <v>1.4755700325732899</v>
      </c>
      <c r="AC9"/>
      <c r="AD9">
        <v>0.5</v>
      </c>
      <c r="AE9">
        <f t="shared" si="1"/>
        <v>300</v>
      </c>
      <c r="AF9" s="279"/>
      <c r="AG9" s="229">
        <v>44462</v>
      </c>
      <c r="AH9" s="263">
        <v>279</v>
      </c>
      <c r="AI9" s="262"/>
      <c r="AJ9" s="264">
        <v>0.9</v>
      </c>
      <c r="AK9" s="265">
        <f t="shared" si="2"/>
        <v>310</v>
      </c>
      <c r="AL9" s="262"/>
      <c r="AM9" s="265">
        <f t="shared" si="3"/>
        <v>2904</v>
      </c>
      <c r="AN9" s="262"/>
      <c r="AO9" s="278">
        <f t="shared" si="4"/>
        <v>3226.6666666666665</v>
      </c>
      <c r="AP9"/>
      <c r="AQ9" s="843" t="s">
        <v>536</v>
      </c>
      <c r="AR9" s="844">
        <v>44487</v>
      </c>
      <c r="AS9" s="845">
        <v>4</v>
      </c>
      <c r="AT9" s="845">
        <v>1682</v>
      </c>
      <c r="AU9" s="845">
        <v>1039</v>
      </c>
      <c r="AV9" s="845">
        <v>2</v>
      </c>
    </row>
    <row r="10" spans="1:48" s="8" customFormat="1" ht="18" customHeight="1" x14ac:dyDescent="0.25">
      <c r="A10" s="1">
        <v>2000</v>
      </c>
      <c r="B10" s="6"/>
      <c r="C10" s="6"/>
      <c r="D10" s="6"/>
      <c r="E10" s="6"/>
      <c r="F10" s="6"/>
      <c r="G10" s="6"/>
      <c r="H10" s="6">
        <v>29</v>
      </c>
      <c r="I10" s="6">
        <v>93</v>
      </c>
      <c r="J10" s="6">
        <v>22</v>
      </c>
      <c r="K10" s="6"/>
      <c r="L10" s="6">
        <v>4</v>
      </c>
      <c r="M10" s="6"/>
      <c r="N10" s="6"/>
      <c r="O10" s="6"/>
      <c r="P10" s="6">
        <v>0</v>
      </c>
      <c r="Q10" s="6">
        <v>2</v>
      </c>
      <c r="R10" s="6"/>
      <c r="S10" s="6"/>
      <c r="T10" s="1"/>
      <c r="U10" s="1">
        <v>0</v>
      </c>
      <c r="V10" s="1"/>
      <c r="W10" s="1"/>
      <c r="X10" s="10">
        <v>105</v>
      </c>
      <c r="Y10" s="7" t="s">
        <v>5</v>
      </c>
      <c r="Z10" s="62">
        <v>12.5</v>
      </c>
      <c r="AB10">
        <f t="shared" si="0"/>
        <v>1.1290322580645162</v>
      </c>
      <c r="AC10"/>
      <c r="AD10" s="249">
        <v>0.6</v>
      </c>
      <c r="AE10">
        <f t="shared" si="1"/>
        <v>343</v>
      </c>
      <c r="AF10" s="280"/>
      <c r="AG10" s="229">
        <v>44475</v>
      </c>
      <c r="AH10" s="263">
        <v>57</v>
      </c>
      <c r="AI10" s="262"/>
      <c r="AJ10" s="264">
        <v>0.65</v>
      </c>
      <c r="AK10" s="265">
        <f t="shared" si="2"/>
        <v>87.692307692307693</v>
      </c>
      <c r="AL10" s="262"/>
      <c r="AM10" s="265">
        <f t="shared" si="3"/>
        <v>4368</v>
      </c>
      <c r="AN10" s="262"/>
      <c r="AO10" s="278">
        <f t="shared" si="4"/>
        <v>5170</v>
      </c>
      <c r="AP10"/>
      <c r="AQ10" s="843" t="s">
        <v>536</v>
      </c>
      <c r="AR10" s="844">
        <v>44517</v>
      </c>
      <c r="AS10" s="845">
        <v>0</v>
      </c>
      <c r="AT10" s="845">
        <v>1120</v>
      </c>
      <c r="AU10" s="845">
        <v>15</v>
      </c>
      <c r="AV10" s="845">
        <v>1</v>
      </c>
    </row>
    <row r="11" spans="1:48" s="8" customFormat="1" ht="18" customHeight="1" x14ac:dyDescent="0.2">
      <c r="A11" s="1">
        <v>2001</v>
      </c>
      <c r="B11" s="6"/>
      <c r="C11" s="6"/>
      <c r="D11" s="6"/>
      <c r="E11" s="6"/>
      <c r="F11" s="6"/>
      <c r="G11" s="6"/>
      <c r="H11" s="6">
        <v>14</v>
      </c>
      <c r="I11" s="6"/>
      <c r="J11" s="6">
        <v>357</v>
      </c>
      <c r="K11" s="6"/>
      <c r="L11" s="6">
        <v>7</v>
      </c>
      <c r="M11" s="6"/>
      <c r="N11" s="6"/>
      <c r="O11" s="6"/>
      <c r="P11" s="6"/>
      <c r="Q11" s="6"/>
      <c r="R11" s="6">
        <v>12</v>
      </c>
      <c r="S11" s="6"/>
      <c r="T11" s="1"/>
      <c r="U11" s="1"/>
      <c r="V11" s="1"/>
      <c r="W11" s="1"/>
      <c r="X11" s="7">
        <v>415</v>
      </c>
      <c r="Y11" s="7" t="s">
        <v>5</v>
      </c>
      <c r="Z11" s="62">
        <v>12.5</v>
      </c>
      <c r="AB11">
        <f t="shared" si="0"/>
        <v>1.1624649859943978</v>
      </c>
      <c r="AC11"/>
      <c r="AD11">
        <v>0.7</v>
      </c>
      <c r="AE11">
        <f t="shared" si="1"/>
        <v>415</v>
      </c>
      <c r="AF11" s="280"/>
      <c r="AG11" s="229">
        <v>44487</v>
      </c>
      <c r="AH11" s="263">
        <v>4</v>
      </c>
      <c r="AI11" s="262"/>
      <c r="AJ11" s="264">
        <v>0.9</v>
      </c>
      <c r="AK11" s="265">
        <f t="shared" si="2"/>
        <v>4.4444444444444446</v>
      </c>
      <c r="AL11" s="262"/>
      <c r="AM11" s="265">
        <f t="shared" si="3"/>
        <v>732</v>
      </c>
      <c r="AN11" s="262"/>
      <c r="AO11" s="278">
        <f t="shared" si="4"/>
        <v>1105.6410256410256</v>
      </c>
      <c r="AP11"/>
      <c r="AQ11"/>
      <c r="AR11"/>
      <c r="AS11"/>
      <c r="AT11"/>
      <c r="AU11"/>
    </row>
    <row r="12" spans="1:48" s="8" customFormat="1" ht="18" customHeight="1" x14ac:dyDescent="0.2">
      <c r="A12" s="1">
        <v>2002</v>
      </c>
      <c r="B12" s="6"/>
      <c r="C12" s="6"/>
      <c r="D12" s="6"/>
      <c r="E12" s="6"/>
      <c r="F12" s="6"/>
      <c r="G12" s="6"/>
      <c r="H12" s="6">
        <v>23</v>
      </c>
      <c r="I12" s="6"/>
      <c r="J12" s="6">
        <v>226</v>
      </c>
      <c r="K12" s="6"/>
      <c r="L12" s="6"/>
      <c r="M12" s="6"/>
      <c r="N12" s="6">
        <v>25</v>
      </c>
      <c r="O12" s="6"/>
      <c r="P12" s="6"/>
      <c r="Q12" s="6"/>
      <c r="R12" s="6">
        <v>0</v>
      </c>
      <c r="S12" s="6">
        <v>6</v>
      </c>
      <c r="T12" s="1"/>
      <c r="U12" s="1"/>
      <c r="V12" s="1"/>
      <c r="W12" s="1"/>
      <c r="X12" s="7">
        <v>251</v>
      </c>
      <c r="Y12" s="7" t="s">
        <v>9</v>
      </c>
      <c r="Z12" s="62"/>
      <c r="AB12">
        <f t="shared" si="0"/>
        <v>1.1106194690265487</v>
      </c>
      <c r="AC12"/>
      <c r="AD12">
        <v>0.8</v>
      </c>
      <c r="AE12">
        <f t="shared" si="1"/>
        <v>488</v>
      </c>
      <c r="AF12" s="280"/>
      <c r="AG12" s="229">
        <v>44517</v>
      </c>
      <c r="AH12" s="263">
        <v>0</v>
      </c>
      <c r="AI12" s="262"/>
      <c r="AJ12" s="264">
        <v>0.9</v>
      </c>
      <c r="AK12" s="265">
        <f t="shared" si="2"/>
        <v>0</v>
      </c>
      <c r="AL12" s="262"/>
      <c r="AM12" s="265">
        <f t="shared" si="3"/>
        <v>120</v>
      </c>
      <c r="AN12" s="262"/>
      <c r="AO12" s="278">
        <f t="shared" si="4"/>
        <v>133.33333333333334</v>
      </c>
      <c r="AP12"/>
      <c r="AQ12"/>
      <c r="AR12"/>
      <c r="AS12"/>
      <c r="AT12"/>
      <c r="AU12"/>
    </row>
    <row r="13" spans="1:48" s="8" customFormat="1" ht="18" customHeight="1" x14ac:dyDescent="0.2">
      <c r="A13" s="1">
        <v>2003</v>
      </c>
      <c r="B13" s="6"/>
      <c r="C13" s="6"/>
      <c r="D13" s="6"/>
      <c r="E13" s="6"/>
      <c r="F13" s="6"/>
      <c r="G13" s="6"/>
      <c r="H13" s="6"/>
      <c r="I13" s="6">
        <v>302</v>
      </c>
      <c r="J13" s="6">
        <v>56</v>
      </c>
      <c r="K13" s="6">
        <v>34</v>
      </c>
      <c r="L13" s="6"/>
      <c r="M13" s="6"/>
      <c r="N13" s="6">
        <v>5</v>
      </c>
      <c r="O13" s="6">
        <v>0</v>
      </c>
      <c r="P13" s="6"/>
      <c r="Q13" s="6"/>
      <c r="R13" s="6"/>
      <c r="S13" s="6"/>
      <c r="T13" s="1"/>
      <c r="U13" s="1"/>
      <c r="V13" s="1"/>
      <c r="W13" s="1"/>
      <c r="X13" s="7">
        <v>358</v>
      </c>
      <c r="Y13" s="7" t="s">
        <v>5</v>
      </c>
      <c r="Z13" s="62">
        <v>21</v>
      </c>
      <c r="AB13">
        <f t="shared" si="0"/>
        <v>1.185430463576159</v>
      </c>
      <c r="AC13"/>
      <c r="AD13">
        <v>0.9</v>
      </c>
      <c r="AE13">
        <f t="shared" si="1"/>
        <v>550</v>
      </c>
      <c r="AF13" s="280"/>
      <c r="AG13" s="229">
        <v>44518</v>
      </c>
      <c r="AH13" s="263">
        <v>0</v>
      </c>
      <c r="AI13" s="262"/>
      <c r="AJ13" s="264">
        <v>0.9</v>
      </c>
      <c r="AK13" s="265">
        <f t="shared" si="2"/>
        <v>0</v>
      </c>
      <c r="AL13" s="262"/>
      <c r="AM13" s="265">
        <f t="shared" si="3"/>
        <v>0</v>
      </c>
      <c r="AN13" s="262"/>
      <c r="AO13" s="278">
        <f t="shared" si="4"/>
        <v>0</v>
      </c>
      <c r="AP13"/>
      <c r="AQ13"/>
      <c r="AR13"/>
      <c r="AS13"/>
      <c r="AT13"/>
      <c r="AU13"/>
    </row>
    <row r="14" spans="1:48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6">
        <v>162</v>
      </c>
      <c r="I14" s="6">
        <v>273</v>
      </c>
      <c r="J14" s="6"/>
      <c r="K14" s="6"/>
      <c r="L14" s="6">
        <v>53</v>
      </c>
      <c r="M14" s="6"/>
      <c r="N14" s="6">
        <v>48</v>
      </c>
      <c r="O14" s="6"/>
      <c r="P14" s="6"/>
      <c r="Q14" s="6"/>
      <c r="R14" s="6">
        <v>3</v>
      </c>
      <c r="S14" s="6"/>
      <c r="T14" s="1"/>
      <c r="U14" s="1"/>
      <c r="V14" s="1"/>
      <c r="W14" s="1"/>
      <c r="X14" s="251">
        <v>343</v>
      </c>
      <c r="Y14" s="7" t="s">
        <v>5</v>
      </c>
      <c r="Z14" s="62">
        <v>24</v>
      </c>
      <c r="AB14">
        <f t="shared" si="0"/>
        <v>1.2564102564102564</v>
      </c>
      <c r="AC14"/>
      <c r="AD14"/>
      <c r="AE14"/>
      <c r="AF14" s="280"/>
      <c r="AG14" s="229">
        <v>44519</v>
      </c>
      <c r="AH14" s="263">
        <v>0</v>
      </c>
      <c r="AI14" s="262"/>
      <c r="AJ14" s="264">
        <v>0.9</v>
      </c>
      <c r="AK14" s="265">
        <f t="shared" si="2"/>
        <v>0</v>
      </c>
      <c r="AL14" s="262"/>
      <c r="AM14" s="265">
        <f t="shared" si="3"/>
        <v>0</v>
      </c>
      <c r="AN14" s="262"/>
      <c r="AO14" s="278">
        <f t="shared" si="4"/>
        <v>0</v>
      </c>
      <c r="AP14"/>
      <c r="AQ14"/>
      <c r="AR14"/>
      <c r="AS14"/>
      <c r="AT14"/>
      <c r="AU14"/>
    </row>
    <row r="15" spans="1:48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6">
        <v>103</v>
      </c>
      <c r="I15" s="6"/>
      <c r="J15" s="6"/>
      <c r="K15" s="6">
        <v>365</v>
      </c>
      <c r="L15" s="6"/>
      <c r="M15" s="6"/>
      <c r="N15" s="6"/>
      <c r="O15" s="6"/>
      <c r="P15" s="6">
        <v>0</v>
      </c>
      <c r="Q15" s="6"/>
      <c r="R15" s="6"/>
      <c r="S15" s="6"/>
      <c r="T15" s="1"/>
      <c r="U15" s="1"/>
      <c r="V15" s="1"/>
      <c r="W15" s="1"/>
      <c r="X15" s="11">
        <v>488</v>
      </c>
      <c r="Y15" s="7" t="s">
        <v>9</v>
      </c>
      <c r="Z15" s="52"/>
      <c r="AB15">
        <f t="shared" si="0"/>
        <v>1.3369863013698631</v>
      </c>
      <c r="AC15"/>
      <c r="AD15"/>
      <c r="AE15"/>
      <c r="AF15" s="290"/>
      <c r="AG15" s="229">
        <v>44520</v>
      </c>
      <c r="AH15" s="55"/>
      <c r="AI15" s="55"/>
      <c r="AJ15" s="55"/>
      <c r="AK15" s="263">
        <v>0</v>
      </c>
      <c r="AL15" s="55"/>
      <c r="AM15" s="265">
        <f t="shared" si="3"/>
        <v>0</v>
      </c>
      <c r="AN15" s="262"/>
      <c r="AO15" s="278">
        <f t="shared" si="4"/>
        <v>0</v>
      </c>
      <c r="AP15"/>
      <c r="AQ15"/>
      <c r="AR15"/>
      <c r="AS15"/>
      <c r="AT15"/>
      <c r="AU15"/>
    </row>
    <row r="16" spans="1:48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6"/>
      <c r="I16" s="6">
        <v>535</v>
      </c>
      <c r="J16" s="6"/>
      <c r="K16" s="6"/>
      <c r="L16" s="6">
        <v>437</v>
      </c>
      <c r="M16" s="6"/>
      <c r="N16" s="6"/>
      <c r="O16" s="6"/>
      <c r="P16" s="6"/>
      <c r="Q16" s="6"/>
      <c r="R16" s="6">
        <v>0</v>
      </c>
      <c r="S16" s="6"/>
      <c r="T16" s="1"/>
      <c r="U16" s="1"/>
      <c r="V16" s="1"/>
      <c r="W16" s="1"/>
      <c r="X16" s="12">
        <v>536</v>
      </c>
      <c r="Y16" s="7" t="s">
        <v>9</v>
      </c>
      <c r="Z16" s="54"/>
      <c r="AB16">
        <f t="shared" si="0"/>
        <v>1.0018691588785047</v>
      </c>
      <c r="AC16"/>
      <c r="AD16"/>
      <c r="AE16"/>
      <c r="AF16" s="275" t="s">
        <v>128</v>
      </c>
      <c r="AG16" s="229"/>
      <c r="AH16" s="176"/>
      <c r="AI16" s="262"/>
      <c r="AJ16" s="177"/>
      <c r="AK16" s="178">
        <v>0</v>
      </c>
      <c r="AL16" s="179"/>
      <c r="AM16" s="265">
        <f t="shared" si="3"/>
        <v>0</v>
      </c>
      <c r="AN16" s="262"/>
      <c r="AO16" s="278">
        <f t="shared" si="4"/>
        <v>0</v>
      </c>
      <c r="AP16"/>
      <c r="AQ16"/>
      <c r="AR16"/>
      <c r="AS16"/>
      <c r="AT16"/>
      <c r="AU16"/>
    </row>
    <row r="17" spans="1:47" s="8" customFormat="1" ht="18" customHeight="1" x14ac:dyDescent="0.2">
      <c r="A17" s="1">
        <v>2007</v>
      </c>
      <c r="B17" s="6"/>
      <c r="C17" s="6"/>
      <c r="D17" s="6"/>
      <c r="E17" s="6"/>
      <c r="F17" s="6"/>
      <c r="G17" s="6"/>
      <c r="H17" s="6">
        <v>116</v>
      </c>
      <c r="I17" s="6">
        <v>170</v>
      </c>
      <c r="J17" s="6"/>
      <c r="K17" s="6"/>
      <c r="L17" s="6"/>
      <c r="M17" s="6">
        <v>8</v>
      </c>
      <c r="N17" s="6"/>
      <c r="O17" s="6"/>
      <c r="P17" s="6"/>
      <c r="Q17" s="6">
        <v>0</v>
      </c>
      <c r="R17" s="6"/>
      <c r="S17" s="6"/>
      <c r="T17" s="1"/>
      <c r="U17" s="1"/>
      <c r="V17" s="1"/>
      <c r="W17" s="1"/>
      <c r="X17" s="12">
        <v>193</v>
      </c>
      <c r="Y17" s="7" t="s">
        <v>5</v>
      </c>
      <c r="Z17" s="54">
        <v>25</v>
      </c>
      <c r="AB17">
        <f t="shared" si="0"/>
        <v>1.1352941176470588</v>
      </c>
      <c r="AC17"/>
      <c r="AD17"/>
      <c r="AE17"/>
      <c r="AF17" s="275" t="s">
        <v>2</v>
      </c>
      <c r="AG17" s="167">
        <v>7</v>
      </c>
      <c r="AH17" s="167"/>
      <c r="AI17" s="167"/>
      <c r="AJ17" s="262"/>
      <c r="AK17" s="262"/>
      <c r="AL17" s="262"/>
      <c r="AM17" s="262"/>
      <c r="AN17" s="262"/>
      <c r="AO17" s="277"/>
      <c r="AP17"/>
      <c r="AQ17"/>
      <c r="AR17"/>
      <c r="AS17"/>
      <c r="AT17"/>
      <c r="AU17"/>
    </row>
    <row r="18" spans="1:47" s="8" customFormat="1" ht="18" customHeight="1" x14ac:dyDescent="0.2">
      <c r="A18" s="1">
        <v>2008</v>
      </c>
      <c r="B18" s="1"/>
      <c r="C18" s="1"/>
      <c r="D18" s="1"/>
      <c r="E18" s="1"/>
      <c r="F18" s="1"/>
      <c r="G18" s="1">
        <v>85</v>
      </c>
      <c r="H18" s="1"/>
      <c r="I18" s="1"/>
      <c r="J18" s="1"/>
      <c r="K18" s="1">
        <v>242</v>
      </c>
      <c r="L18" s="1"/>
      <c r="M18" s="1">
        <v>12</v>
      </c>
      <c r="N18" s="1"/>
      <c r="O18" s="1"/>
      <c r="P18" s="1"/>
      <c r="Q18" s="1">
        <v>1</v>
      </c>
      <c r="R18" s="1"/>
      <c r="S18" s="1"/>
      <c r="T18" s="1"/>
      <c r="U18" s="1"/>
      <c r="V18" s="1"/>
      <c r="W18" s="1"/>
      <c r="X18" s="1">
        <v>264</v>
      </c>
      <c r="Y18" s="7" t="s">
        <v>5</v>
      </c>
      <c r="Z18" s="62">
        <v>25</v>
      </c>
      <c r="AB18">
        <f t="shared" si="0"/>
        <v>1.0909090909090908</v>
      </c>
      <c r="AC18"/>
      <c r="AD18"/>
      <c r="AE18"/>
      <c r="AF18" s="275" t="s">
        <v>129</v>
      </c>
      <c r="AG18" s="167"/>
      <c r="AH18" s="167">
        <f>MAX(AH6:AH16)</f>
        <v>279</v>
      </c>
      <c r="AI18" s="167"/>
      <c r="AJ18" s="167"/>
      <c r="AK18" s="167">
        <f>MAX(AK6:AK16)</f>
        <v>310</v>
      </c>
      <c r="AL18" s="167"/>
      <c r="AM18" s="167"/>
      <c r="AN18" s="262"/>
      <c r="AO18" s="277"/>
      <c r="AP18"/>
      <c r="AQ18"/>
      <c r="AR18"/>
      <c r="AS18"/>
      <c r="AT18"/>
      <c r="AU18"/>
    </row>
    <row r="19" spans="1:47" s="8" customFormat="1" ht="18" customHeight="1" x14ac:dyDescent="0.2">
      <c r="A19" s="1">
        <v>2009</v>
      </c>
      <c r="B19" s="1"/>
      <c r="C19" s="1"/>
      <c r="D19" s="1"/>
      <c r="E19" s="1"/>
      <c r="F19" s="1"/>
      <c r="G19" s="1">
        <v>19</v>
      </c>
      <c r="H19" s="1"/>
      <c r="I19" s="1">
        <v>427</v>
      </c>
      <c r="J19" s="1"/>
      <c r="K19" s="1">
        <v>259</v>
      </c>
      <c r="L19" s="1"/>
      <c r="M19" s="1">
        <v>37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>
        <v>550</v>
      </c>
      <c r="Y19" s="7" t="s">
        <v>5</v>
      </c>
      <c r="Z19" s="62">
        <v>20</v>
      </c>
      <c r="AB19">
        <f t="shared" si="0"/>
        <v>1.2880562060889931</v>
      </c>
      <c r="AC19"/>
      <c r="AD19"/>
      <c r="AE19"/>
      <c r="AF19" s="275" t="s">
        <v>130</v>
      </c>
      <c r="AG19" s="167"/>
      <c r="AH19" s="263">
        <v>20</v>
      </c>
      <c r="AI19" s="167"/>
      <c r="AJ19" s="262"/>
      <c r="AK19" s="263">
        <v>20</v>
      </c>
      <c r="AL19" s="266"/>
      <c r="AM19" s="266"/>
      <c r="AN19" s="262"/>
      <c r="AO19" s="277"/>
      <c r="AP19"/>
      <c r="AQ19"/>
      <c r="AR19"/>
      <c r="AS19"/>
      <c r="AT19"/>
      <c r="AU19"/>
    </row>
    <row r="20" spans="1:47" s="8" customFormat="1" ht="18" customHeight="1" x14ac:dyDescent="0.2">
      <c r="A20" s="1">
        <v>2010</v>
      </c>
      <c r="B20" s="1"/>
      <c r="C20" s="1"/>
      <c r="D20" s="1"/>
      <c r="E20" s="1"/>
      <c r="F20" s="1"/>
      <c r="G20" s="13">
        <v>0</v>
      </c>
      <c r="H20" s="13">
        <v>85</v>
      </c>
      <c r="I20" s="13">
        <v>158</v>
      </c>
      <c r="J20" s="13">
        <v>40</v>
      </c>
      <c r="K20" s="13">
        <v>105</v>
      </c>
      <c r="L20" s="13"/>
      <c r="M20" s="13">
        <v>8</v>
      </c>
      <c r="N20" s="13">
        <v>2</v>
      </c>
      <c r="O20" s="1"/>
      <c r="P20" s="1"/>
      <c r="Q20" s="1"/>
      <c r="R20" s="1"/>
      <c r="S20" s="1"/>
      <c r="T20" s="1"/>
      <c r="U20" s="1"/>
      <c r="V20" s="1"/>
      <c r="W20" s="1"/>
      <c r="X20" s="1">
        <v>185</v>
      </c>
      <c r="Y20" s="7" t="s">
        <v>5</v>
      </c>
      <c r="Z20" s="62">
        <v>25</v>
      </c>
      <c r="AA20" s="8">
        <v>11</v>
      </c>
      <c r="AB20">
        <f t="shared" si="0"/>
        <v>1.1708860759493671</v>
      </c>
      <c r="AC20"/>
      <c r="AD20"/>
      <c r="AE20"/>
      <c r="AF20" s="275" t="s">
        <v>131</v>
      </c>
      <c r="AG20" s="167"/>
      <c r="AH20" s="267">
        <f>(0.5*SUM(AM7:AM16))/AH19</f>
        <v>250</v>
      </c>
      <c r="AI20" s="167"/>
      <c r="AJ20" s="262"/>
      <c r="AK20" s="267">
        <f>(0.5*SUM(AO7:AO16))/AK19</f>
        <v>293.00213675213678</v>
      </c>
      <c r="AL20" s="266"/>
      <c r="AM20" s="266"/>
      <c r="AN20" s="262"/>
      <c r="AO20" s="277"/>
      <c r="AP20"/>
      <c r="AQ20"/>
      <c r="AR20"/>
      <c r="AS20"/>
      <c r="AT20"/>
      <c r="AU20"/>
    </row>
    <row r="21" spans="1:47" s="8" customFormat="1" ht="18" customHeight="1" thickBot="1" x14ac:dyDescent="0.25">
      <c r="A21" s="1">
        <v>2011</v>
      </c>
      <c r="B21" s="1"/>
      <c r="C21" s="1"/>
      <c r="D21" s="1"/>
      <c r="E21" s="1"/>
      <c r="F21" s="1"/>
      <c r="G21" s="1"/>
      <c r="H21" s="1"/>
      <c r="I21" s="1"/>
      <c r="J21" s="1">
        <v>204</v>
      </c>
      <c r="K21" s="1">
        <v>76</v>
      </c>
      <c r="L21" s="1">
        <v>33</v>
      </c>
      <c r="M21" s="1">
        <v>13</v>
      </c>
      <c r="N21" s="1">
        <v>8</v>
      </c>
      <c r="O21" s="1"/>
      <c r="P21" s="1">
        <v>2</v>
      </c>
      <c r="Q21" s="1"/>
      <c r="R21" s="1"/>
      <c r="S21" s="1"/>
      <c r="T21" s="1">
        <v>2</v>
      </c>
      <c r="U21" s="1"/>
      <c r="V21" s="1"/>
      <c r="W21" s="1"/>
      <c r="X21" s="1">
        <v>300</v>
      </c>
      <c r="Y21" s="7" t="s">
        <v>5</v>
      </c>
      <c r="Z21" s="62">
        <v>20</v>
      </c>
      <c r="AA21" s="8">
        <v>6</v>
      </c>
      <c r="AB21">
        <f t="shared" si="0"/>
        <v>1.4705882352941178</v>
      </c>
      <c r="AC21"/>
      <c r="AD21"/>
      <c r="AE21"/>
      <c r="AF21" s="291"/>
      <c r="AG21" s="286"/>
      <c r="AH21" s="286"/>
      <c r="AI21" s="286"/>
      <c r="AJ21" s="286"/>
      <c r="AK21" s="286"/>
      <c r="AL21" s="286"/>
      <c r="AM21" s="286"/>
      <c r="AN21" s="286"/>
      <c r="AO21" s="288"/>
      <c r="AP21"/>
      <c r="AQ21"/>
      <c r="AR21"/>
      <c r="AS21"/>
      <c r="AT21"/>
      <c r="AU21"/>
    </row>
    <row r="22" spans="1:47" s="8" customFormat="1" ht="18" customHeight="1" x14ac:dyDescent="0.2">
      <c r="A22" s="1">
        <v>2012</v>
      </c>
      <c r="B22" s="1"/>
      <c r="C22" s="1"/>
      <c r="D22" s="1"/>
      <c r="E22" s="1"/>
      <c r="F22" s="1">
        <v>5</v>
      </c>
      <c r="G22" s="1">
        <v>0</v>
      </c>
      <c r="H22" s="1">
        <v>73</v>
      </c>
      <c r="I22" s="1">
        <v>109</v>
      </c>
      <c r="J22" s="1">
        <v>171</v>
      </c>
      <c r="K22" s="1">
        <v>132</v>
      </c>
      <c r="L22" s="1"/>
      <c r="M22" s="1">
        <v>12</v>
      </c>
      <c r="N22" s="1">
        <v>5</v>
      </c>
      <c r="O22" s="1">
        <v>5</v>
      </c>
      <c r="P22" s="1">
        <v>0</v>
      </c>
      <c r="Q22" s="1"/>
      <c r="R22" s="1">
        <v>0</v>
      </c>
      <c r="S22" s="1"/>
      <c r="T22" s="1"/>
      <c r="U22" s="1"/>
      <c r="V22" s="1"/>
      <c r="W22" s="1"/>
      <c r="X22" s="1">
        <v>223</v>
      </c>
      <c r="Y22" s="7" t="s">
        <v>5</v>
      </c>
      <c r="Z22" s="62">
        <v>20</v>
      </c>
      <c r="AB22">
        <f t="shared" si="0"/>
        <v>1.304093567251462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8" customFormat="1" ht="18" customHeight="1" x14ac:dyDescent="0.2">
      <c r="A23" s="1">
        <v>2013</v>
      </c>
      <c r="B23" s="1"/>
      <c r="C23" s="1"/>
      <c r="D23" s="1"/>
      <c r="E23" s="1"/>
      <c r="F23" s="1"/>
      <c r="G23" s="1">
        <v>47</v>
      </c>
      <c r="H23" s="1">
        <v>119</v>
      </c>
      <c r="I23" s="1">
        <v>133</v>
      </c>
      <c r="J23" s="1"/>
      <c r="K23" s="1">
        <v>11</v>
      </c>
      <c r="L23" s="1">
        <v>17</v>
      </c>
      <c r="M23" s="1">
        <v>12</v>
      </c>
      <c r="N23" s="1">
        <v>6</v>
      </c>
      <c r="O23" s="1"/>
      <c r="P23" s="1"/>
      <c r="Q23" s="1">
        <v>0</v>
      </c>
      <c r="R23" s="1"/>
      <c r="S23" s="1"/>
      <c r="T23" s="1"/>
      <c r="U23" s="1"/>
      <c r="V23" s="1"/>
      <c r="W23" s="1"/>
      <c r="X23" s="1">
        <v>240</v>
      </c>
      <c r="Y23" s="7" t="s">
        <v>5</v>
      </c>
      <c r="Z23" s="62">
        <v>20</v>
      </c>
      <c r="AB23">
        <f t="shared" si="0"/>
        <v>1.8045112781954886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8" customFormat="1" ht="18" customHeight="1" x14ac:dyDescent="0.2">
      <c r="A24" s="1">
        <v>2014</v>
      </c>
      <c r="B24" s="1"/>
      <c r="C24" s="1"/>
      <c r="D24" s="1"/>
      <c r="E24" s="1"/>
      <c r="F24" s="106">
        <v>2</v>
      </c>
      <c r="G24" s="106">
        <v>26</v>
      </c>
      <c r="H24" s="1"/>
      <c r="I24" s="106">
        <v>65</v>
      </c>
      <c r="J24" s="156">
        <v>144</v>
      </c>
      <c r="K24" s="156">
        <v>39</v>
      </c>
      <c r="L24" s="106">
        <v>6</v>
      </c>
      <c r="M24" s="106">
        <v>1</v>
      </c>
      <c r="N24" s="1"/>
      <c r="O24" s="106">
        <v>0</v>
      </c>
      <c r="P24" s="1"/>
      <c r="Q24" s="106">
        <v>0</v>
      </c>
      <c r="R24" s="1"/>
      <c r="S24" s="106">
        <v>0</v>
      </c>
      <c r="T24" s="1"/>
      <c r="U24" s="1"/>
      <c r="V24" s="1"/>
      <c r="W24" s="1"/>
      <c r="X24" s="1">
        <v>192</v>
      </c>
      <c r="Y24" s="7" t="s">
        <v>5</v>
      </c>
      <c r="Z24" s="62">
        <v>20</v>
      </c>
      <c r="AB24">
        <f t="shared" si="0"/>
        <v>1.3333333333333333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s="8" customFormat="1" ht="18" customHeight="1" x14ac:dyDescent="0.2">
      <c r="A25" s="1">
        <v>2015</v>
      </c>
      <c r="B25" s="1"/>
      <c r="C25" s="1"/>
      <c r="D25" s="1"/>
      <c r="E25" s="1"/>
      <c r="F25" s="1"/>
      <c r="G25" s="242">
        <v>147</v>
      </c>
      <c r="H25" s="492">
        <v>202</v>
      </c>
      <c r="I25" s="301">
        <v>208</v>
      </c>
      <c r="J25" s="301">
        <v>110</v>
      </c>
      <c r="K25" s="301">
        <v>50</v>
      </c>
      <c r="L25" s="301">
        <v>18</v>
      </c>
      <c r="M25" s="13"/>
      <c r="N25" s="301">
        <v>6</v>
      </c>
      <c r="O25" s="301">
        <v>1</v>
      </c>
      <c r="P25" s="301">
        <v>1</v>
      </c>
      <c r="Q25" s="13"/>
      <c r="R25" s="13"/>
      <c r="S25" s="13"/>
      <c r="T25" s="13"/>
      <c r="U25" s="242">
        <v>0</v>
      </c>
      <c r="V25" s="1"/>
      <c r="W25" s="1"/>
      <c r="X25" s="1">
        <v>331</v>
      </c>
      <c r="Y25" s="7" t="s">
        <v>5</v>
      </c>
      <c r="Z25" s="62">
        <v>20</v>
      </c>
      <c r="AB25">
        <f t="shared" si="0"/>
        <v>1.5913461538461537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s="8" customFormat="1" ht="18" customHeight="1" x14ac:dyDescent="0.2">
      <c r="A26" s="1">
        <v>2016</v>
      </c>
      <c r="B26" s="1"/>
      <c r="C26" s="1"/>
      <c r="D26" s="1"/>
      <c r="E26" s="1"/>
      <c r="F26" s="1"/>
      <c r="G26" s="485">
        <v>213</v>
      </c>
      <c r="H26" s="485">
        <v>215</v>
      </c>
      <c r="I26" s="484">
        <v>201</v>
      </c>
      <c r="J26" s="296">
        <v>182</v>
      </c>
      <c r="K26" s="296">
        <v>140</v>
      </c>
      <c r="L26" s="296">
        <v>62</v>
      </c>
      <c r="M26" s="1"/>
      <c r="N26" s="296">
        <v>32</v>
      </c>
      <c r="O26" s="1"/>
      <c r="P26" s="1"/>
      <c r="Q26" s="1"/>
      <c r="R26" s="1"/>
      <c r="S26" s="1"/>
      <c r="T26" s="1"/>
      <c r="U26" s="1">
        <v>0</v>
      </c>
      <c r="V26" s="1"/>
      <c r="W26" s="1"/>
      <c r="X26" s="1">
        <v>370</v>
      </c>
      <c r="Y26" s="7"/>
      <c r="Z26" s="62">
        <v>25</v>
      </c>
      <c r="AB26">
        <f t="shared" si="0"/>
        <v>1.7209302325581395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s="8" customFormat="1" ht="18" customHeight="1" x14ac:dyDescent="0.2">
      <c r="A27" s="1">
        <v>2017</v>
      </c>
      <c r="B27" s="1"/>
      <c r="C27" s="1"/>
      <c r="D27" s="1"/>
      <c r="E27" s="1"/>
      <c r="F27" s="202">
        <v>5</v>
      </c>
      <c r="G27" s="1"/>
      <c r="H27" s="484">
        <v>373</v>
      </c>
      <c r="I27" s="296">
        <v>306</v>
      </c>
      <c r="J27" s="296">
        <v>332</v>
      </c>
      <c r="K27" s="296">
        <v>145</v>
      </c>
      <c r="L27" s="1"/>
      <c r="M27" s="1"/>
      <c r="N27" s="484">
        <v>16</v>
      </c>
      <c r="O27" s="1"/>
      <c r="P27" s="1"/>
      <c r="Q27" s="1"/>
      <c r="R27" s="1"/>
      <c r="S27" s="106">
        <v>0</v>
      </c>
      <c r="T27" s="1"/>
      <c r="U27" s="1"/>
      <c r="V27" s="1"/>
      <c r="W27" s="1"/>
      <c r="X27" s="1">
        <v>605</v>
      </c>
      <c r="Y27" s="7"/>
      <c r="Z27" s="62">
        <v>20</v>
      </c>
      <c r="AB27">
        <f t="shared" si="0"/>
        <v>1.6219839142091153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8" customFormat="1" ht="18" customHeight="1" x14ac:dyDescent="0.2">
      <c r="A28" s="1">
        <v>2018</v>
      </c>
      <c r="B28" s="1"/>
      <c r="C28" s="1"/>
      <c r="D28" s="1"/>
      <c r="E28" s="1"/>
      <c r="F28" s="202">
        <v>10</v>
      </c>
      <c r="G28" s="1"/>
      <c r="H28" s="202">
        <v>211</v>
      </c>
      <c r="I28" s="296">
        <v>249</v>
      </c>
      <c r="J28" s="296">
        <v>233</v>
      </c>
      <c r="K28" s="296">
        <v>162</v>
      </c>
      <c r="L28" s="202">
        <v>48</v>
      </c>
      <c r="M28" s="1"/>
      <c r="N28" s="1"/>
      <c r="O28" s="202">
        <v>3</v>
      </c>
      <c r="P28" s="1"/>
      <c r="Q28" s="1"/>
      <c r="R28" s="1"/>
      <c r="S28" s="1"/>
      <c r="T28" s="1"/>
      <c r="U28" s="1"/>
      <c r="V28" s="1"/>
      <c r="W28" s="1"/>
      <c r="X28" s="1">
        <v>420</v>
      </c>
      <c r="Y28" s="7"/>
      <c r="Z28" s="62">
        <v>20</v>
      </c>
      <c r="AB28">
        <f t="shared" si="0"/>
        <v>1.6867469879518073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8" customFormat="1" ht="18" customHeight="1" x14ac:dyDescent="0.2">
      <c r="A29" s="1">
        <v>2019</v>
      </c>
      <c r="B29" s="1"/>
      <c r="C29" s="1"/>
      <c r="D29" s="1"/>
      <c r="E29" s="1"/>
      <c r="F29" s="106">
        <v>58</v>
      </c>
      <c r="G29" s="1"/>
      <c r="H29" s="536">
        <v>133</v>
      </c>
      <c r="I29" s="536">
        <v>138</v>
      </c>
      <c r="J29" s="156">
        <v>76</v>
      </c>
      <c r="K29" s="156">
        <v>53</v>
      </c>
      <c r="L29" s="1"/>
      <c r="M29" s="156">
        <v>6</v>
      </c>
      <c r="N29" s="156">
        <v>2</v>
      </c>
      <c r="O29" s="1"/>
      <c r="P29" s="1"/>
      <c r="Q29" s="1"/>
      <c r="R29" s="1"/>
      <c r="S29" s="1"/>
      <c r="T29" s="1"/>
      <c r="U29" s="1"/>
      <c r="V29" s="1"/>
      <c r="W29" s="1"/>
      <c r="X29" s="1">
        <v>266</v>
      </c>
      <c r="Y29" s="7"/>
      <c r="Z29" s="62">
        <v>20</v>
      </c>
      <c r="AB29">
        <f>X29/MAX(B29:W29)</f>
        <v>1.9275362318840579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8" customFormat="1" ht="18" customHeight="1" x14ac:dyDescent="0.2">
      <c r="A30" s="1">
        <v>2020</v>
      </c>
      <c r="B30" s="1"/>
      <c r="C30" s="1"/>
      <c r="D30" s="1"/>
      <c r="E30" s="245">
        <v>75</v>
      </c>
      <c r="F30" s="1"/>
      <c r="G30" s="1"/>
      <c r="H30" s="106">
        <v>250</v>
      </c>
      <c r="I30" s="106">
        <v>255</v>
      </c>
      <c r="J30" s="156">
        <v>132</v>
      </c>
      <c r="K30" s="156">
        <f>43+38</f>
        <v>81</v>
      </c>
      <c r="L30" s="156">
        <v>13</v>
      </c>
      <c r="M30" s="156">
        <v>25</v>
      </c>
      <c r="N30" s="156">
        <v>8</v>
      </c>
      <c r="O30" s="1"/>
      <c r="P30" s="1"/>
      <c r="Q30" s="1"/>
      <c r="R30" s="1"/>
      <c r="S30" s="1"/>
      <c r="T30" s="1"/>
      <c r="U30" s="1"/>
      <c r="V30" s="1"/>
      <c r="W30" s="1"/>
      <c r="X30" s="1">
        <v>350</v>
      </c>
      <c r="Y30" s="7"/>
      <c r="Z30" s="62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94" customFormat="1" ht="18" customHeight="1" x14ac:dyDescent="0.2">
      <c r="A31" s="227">
        <v>2021</v>
      </c>
      <c r="B31" s="227"/>
      <c r="C31" s="227"/>
      <c r="D31" s="227"/>
      <c r="E31" s="227"/>
      <c r="F31" s="227"/>
      <c r="G31" s="227"/>
      <c r="H31" s="106">
        <v>84</v>
      </c>
      <c r="I31" s="106">
        <v>299</v>
      </c>
      <c r="J31" s="558"/>
      <c r="K31" s="683">
        <v>57</v>
      </c>
      <c r="L31" s="558"/>
      <c r="M31" s="156">
        <v>4</v>
      </c>
      <c r="N31" s="227"/>
      <c r="O31" s="227"/>
      <c r="P31" s="227"/>
      <c r="Q31" s="106">
        <v>0</v>
      </c>
      <c r="R31" s="227"/>
      <c r="S31" s="227"/>
      <c r="T31" s="227"/>
      <c r="U31" s="227"/>
      <c r="V31" s="227"/>
      <c r="W31" s="227"/>
      <c r="X31" s="227">
        <v>325</v>
      </c>
      <c r="Y31" s="11" t="s">
        <v>5</v>
      </c>
      <c r="Z31" s="750"/>
      <c r="AB31">
        <f>X31/MAX(B31:W31)</f>
        <v>1.0869565217391304</v>
      </c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</row>
    <row r="32" spans="1:47" s="94" customFormat="1" ht="18" customHeight="1" x14ac:dyDescent="0.2">
      <c r="A32" s="227">
        <v>2022</v>
      </c>
      <c r="B32" s="227"/>
      <c r="C32" s="227"/>
      <c r="D32" s="227"/>
      <c r="E32" s="227"/>
      <c r="F32" s="536">
        <v>7</v>
      </c>
      <c r="G32" s="227"/>
      <c r="H32" s="536">
        <v>326</v>
      </c>
      <c r="I32" s="536">
        <v>391</v>
      </c>
      <c r="J32" s="558"/>
      <c r="K32" s="864">
        <v>168</v>
      </c>
      <c r="L32" s="558"/>
      <c r="M32" s="156">
        <v>191</v>
      </c>
      <c r="N32" s="227"/>
      <c r="O32" s="156">
        <v>8</v>
      </c>
      <c r="P32" s="156">
        <v>3</v>
      </c>
      <c r="Q32" s="227"/>
      <c r="R32" s="227"/>
      <c r="S32" s="227"/>
      <c r="T32" s="227"/>
      <c r="U32" s="227"/>
      <c r="V32" s="227"/>
      <c r="W32" s="227"/>
      <c r="X32" s="227">
        <v>689</v>
      </c>
      <c r="Y32" s="11"/>
      <c r="Z32" s="750">
        <v>20</v>
      </c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</row>
    <row r="33" spans="1:47" s="94" customFormat="1" ht="18" customHeight="1" x14ac:dyDescent="0.2">
      <c r="A33" s="227">
        <v>2023</v>
      </c>
      <c r="B33" s="227"/>
      <c r="C33" s="227"/>
      <c r="D33" s="227"/>
      <c r="E33" s="106">
        <v>0</v>
      </c>
      <c r="F33" s="227"/>
      <c r="G33" s="227"/>
      <c r="H33" s="106">
        <v>90</v>
      </c>
      <c r="I33" s="106">
        <v>312</v>
      </c>
      <c r="J33" s="227"/>
      <c r="K33" s="156">
        <v>63</v>
      </c>
      <c r="L33" s="227"/>
      <c r="M33" s="227"/>
      <c r="N33" s="227"/>
      <c r="O33" s="245">
        <v>0</v>
      </c>
      <c r="P33" s="227"/>
      <c r="Q33" s="227"/>
      <c r="R33" s="227"/>
      <c r="S33" s="227"/>
      <c r="T33" s="227"/>
      <c r="U33" s="227"/>
      <c r="V33" s="227"/>
      <c r="W33" s="227"/>
      <c r="X33" s="227"/>
      <c r="Y33" s="11"/>
      <c r="Z33" s="750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</row>
    <row r="34" spans="1:47" s="8" customFormat="1" ht="18" customHeight="1" x14ac:dyDescent="0.2">
      <c r="A34" s="64" t="s">
        <v>17</v>
      </c>
      <c r="B34" s="16"/>
      <c r="C34" s="16">
        <f>AVERAGE(C5:C19)</f>
        <v>1</v>
      </c>
      <c r="D34" s="16">
        <f t="shared" ref="D34:U34" si="5">AVERAGE(D5:D19)</f>
        <v>0</v>
      </c>
      <c r="E34" s="16">
        <f t="shared" si="5"/>
        <v>0</v>
      </c>
      <c r="F34" s="16">
        <f t="shared" si="5"/>
        <v>9</v>
      </c>
      <c r="G34" s="16">
        <f t="shared" si="5"/>
        <v>69.25</v>
      </c>
      <c r="H34" s="16">
        <f t="shared" si="5"/>
        <v>65.888888888888886</v>
      </c>
      <c r="I34" s="16">
        <f t="shared" si="5"/>
        <v>204.18181818181819</v>
      </c>
      <c r="J34" s="16">
        <f t="shared" si="5"/>
        <v>162.125</v>
      </c>
      <c r="K34" s="16">
        <f t="shared" si="5"/>
        <v>246.75</v>
      </c>
      <c r="L34" s="16">
        <f t="shared" si="5"/>
        <v>136.57142857142858</v>
      </c>
      <c r="M34" s="16">
        <f t="shared" si="5"/>
        <v>43.666666666666664</v>
      </c>
      <c r="N34" s="16">
        <f t="shared" si="5"/>
        <v>15.333333333333334</v>
      </c>
      <c r="O34" s="16">
        <f t="shared" si="5"/>
        <v>6</v>
      </c>
      <c r="P34" s="16">
        <f t="shared" si="5"/>
        <v>0.2</v>
      </c>
      <c r="Q34" s="16">
        <f t="shared" si="5"/>
        <v>2.25</v>
      </c>
      <c r="R34" s="16">
        <f t="shared" si="5"/>
        <v>3</v>
      </c>
      <c r="S34" s="16">
        <f t="shared" si="5"/>
        <v>2.3333333333333335</v>
      </c>
      <c r="T34" s="16"/>
      <c r="U34" s="16">
        <f t="shared" si="5"/>
        <v>0</v>
      </c>
      <c r="V34" s="16"/>
      <c r="W34" s="16"/>
      <c r="X34" s="16">
        <f>AVERAGE(X5:X32)</f>
        <v>368.53571428571428</v>
      </c>
      <c r="Y34" s="17"/>
      <c r="Z34" s="16">
        <f>AVERAGE(Z5:Z18)</f>
        <v>18.636363636363637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ht="18" customHeight="1" x14ac:dyDescent="0.2">
      <c r="A36" s="1002" t="s">
        <v>518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8" customHeight="1" thickBot="1" x14ac:dyDescent="0.25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B39" t="s">
        <v>142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ht="18" customHeight="1" x14ac:dyDescent="0.25">
      <c r="A40" s="1">
        <v>1995</v>
      </c>
      <c r="B40" s="6"/>
      <c r="C40" s="6"/>
      <c r="D40" s="6"/>
      <c r="E40" s="6"/>
      <c r="F40" s="6"/>
      <c r="G40" s="6"/>
      <c r="H40" s="6"/>
      <c r="I40" s="6">
        <v>17</v>
      </c>
      <c r="J40" s="6">
        <v>535</v>
      </c>
      <c r="K40" s="6">
        <v>336</v>
      </c>
      <c r="L40" s="6">
        <v>940</v>
      </c>
      <c r="M40" s="6"/>
      <c r="N40" s="6"/>
      <c r="O40" s="6">
        <v>717</v>
      </c>
      <c r="P40" s="6"/>
      <c r="Q40" s="6"/>
      <c r="R40" s="6"/>
      <c r="S40" s="6"/>
      <c r="T40" s="13"/>
      <c r="U40" s="13"/>
      <c r="V40" s="13"/>
      <c r="W40" s="13"/>
      <c r="X40" s="29">
        <v>1080</v>
      </c>
      <c r="Y40" s="7" t="s">
        <v>5</v>
      </c>
      <c r="Z40" s="58">
        <v>30</v>
      </c>
      <c r="AB40">
        <f>X40/MAX(B40:W40)</f>
        <v>1.1489361702127661</v>
      </c>
      <c r="AC40"/>
      <c r="AD40">
        <v>0.1</v>
      </c>
      <c r="AE40" s="617">
        <f t="shared" ref="AE40:AE48" si="6">_xlfn.PERCENTILE.INC($X$40:$X$64,AD40)</f>
        <v>847.6</v>
      </c>
      <c r="AF40"/>
      <c r="AG40" s="269" t="s">
        <v>117</v>
      </c>
      <c r="AH40" s="270" t="s">
        <v>118</v>
      </c>
      <c r="AI40" s="271" t="s">
        <v>119</v>
      </c>
      <c r="AJ40" s="272"/>
      <c r="AK40" s="271" t="s">
        <v>120</v>
      </c>
      <c r="AL40" s="271"/>
      <c r="AM40" s="272"/>
      <c r="AN40" s="273" t="s">
        <v>121</v>
      </c>
      <c r="AO40" s="272"/>
      <c r="AP40" s="274" t="s">
        <v>122</v>
      </c>
      <c r="AQ40"/>
      <c r="AR40"/>
      <c r="AS40"/>
      <c r="AT40"/>
      <c r="AU40"/>
    </row>
    <row r="41" spans="1:47" ht="18" customHeight="1" x14ac:dyDescent="0.2">
      <c r="A41" s="1">
        <v>1996</v>
      </c>
      <c r="B41" s="6"/>
      <c r="C41" s="6"/>
      <c r="D41" s="6"/>
      <c r="E41" s="6">
        <v>2</v>
      </c>
      <c r="F41" s="6">
        <v>49</v>
      </c>
      <c r="G41" s="6"/>
      <c r="H41" s="6">
        <v>103</v>
      </c>
      <c r="I41" s="6">
        <v>77</v>
      </c>
      <c r="J41" s="6">
        <v>0</v>
      </c>
      <c r="K41" s="6">
        <v>409</v>
      </c>
      <c r="L41" s="6"/>
      <c r="M41" s="6"/>
      <c r="N41" s="6">
        <v>698</v>
      </c>
      <c r="O41" s="6"/>
      <c r="P41" s="6">
        <v>39</v>
      </c>
      <c r="Q41" s="6"/>
      <c r="R41" s="6"/>
      <c r="S41" s="6">
        <v>185</v>
      </c>
      <c r="T41" s="13"/>
      <c r="U41" s="13"/>
      <c r="V41" s="13"/>
      <c r="W41" s="13"/>
      <c r="X41" s="29">
        <v>813</v>
      </c>
      <c r="Y41" s="7" t="s">
        <v>7</v>
      </c>
      <c r="Z41" s="60"/>
      <c r="AB41">
        <f t="shared" ref="AB41:AB64" si="7">X41/MAX(B41:W41)</f>
        <v>1.164756446991404</v>
      </c>
      <c r="AC41"/>
      <c r="AD41" s="247">
        <v>0.2</v>
      </c>
      <c r="AE41" s="618">
        <f t="shared" si="6"/>
        <v>1080.8</v>
      </c>
      <c r="AF41"/>
      <c r="AG41" s="275" t="s">
        <v>35</v>
      </c>
      <c r="AH41" s="830"/>
      <c r="AI41" s="830" t="s">
        <v>146</v>
      </c>
      <c r="AJ41" s="262"/>
      <c r="AK41" s="163" t="s">
        <v>148</v>
      </c>
      <c r="AL41" s="163" t="s">
        <v>147</v>
      </c>
      <c r="AM41" s="262"/>
      <c r="AN41" s="164"/>
      <c r="AO41" s="262"/>
      <c r="AP41" s="276"/>
      <c r="AQ41"/>
      <c r="AR41"/>
      <c r="AS41"/>
      <c r="AT41"/>
      <c r="AU41"/>
    </row>
    <row r="42" spans="1:47" ht="18" customHeight="1" x14ac:dyDescent="0.2">
      <c r="A42" s="1">
        <v>1997</v>
      </c>
      <c r="B42" s="6"/>
      <c r="C42" s="6"/>
      <c r="D42" s="6">
        <v>1</v>
      </c>
      <c r="E42" s="6"/>
      <c r="F42" s="6"/>
      <c r="G42" s="6">
        <v>8</v>
      </c>
      <c r="H42" s="6">
        <v>69</v>
      </c>
      <c r="I42" s="6">
        <v>179</v>
      </c>
      <c r="J42" s="6"/>
      <c r="K42" s="6">
        <v>756</v>
      </c>
      <c r="L42" s="6"/>
      <c r="M42" s="6">
        <v>747</v>
      </c>
      <c r="N42" s="6">
        <v>33</v>
      </c>
      <c r="O42" s="6"/>
      <c r="P42" s="6">
        <v>460</v>
      </c>
      <c r="Q42" s="6"/>
      <c r="R42" s="6"/>
      <c r="S42" s="6"/>
      <c r="T42" s="13"/>
      <c r="U42" s="13"/>
      <c r="V42" s="13"/>
      <c r="W42" s="13"/>
      <c r="X42" s="29">
        <v>1263</v>
      </c>
      <c r="Y42" s="7" t="s">
        <v>5</v>
      </c>
      <c r="Z42" s="58">
        <v>35</v>
      </c>
      <c r="AB42">
        <f t="shared" si="7"/>
        <v>1.6706349206349207</v>
      </c>
      <c r="AC42"/>
      <c r="AD42">
        <v>0.3</v>
      </c>
      <c r="AE42" s="617">
        <f t="shared" si="6"/>
        <v>1483.1999999999998</v>
      </c>
      <c r="AF42"/>
      <c r="AG42" s="275" t="s">
        <v>127</v>
      </c>
      <c r="AH42" s="229">
        <v>44440</v>
      </c>
      <c r="AI42" s="167"/>
      <c r="AJ42" s="262"/>
      <c r="AK42" s="262"/>
      <c r="AL42" s="263">
        <v>0</v>
      </c>
      <c r="AM42" s="262"/>
      <c r="AN42" s="262"/>
      <c r="AO42" s="262"/>
      <c r="AP42" s="277"/>
      <c r="AQ42"/>
      <c r="AR42"/>
      <c r="AS42"/>
      <c r="AT42"/>
      <c r="AU42"/>
    </row>
    <row r="43" spans="1:47" ht="18" customHeight="1" x14ac:dyDescent="0.2">
      <c r="A43" s="1">
        <v>1998</v>
      </c>
      <c r="B43" s="6"/>
      <c r="C43" s="6">
        <v>0</v>
      </c>
      <c r="D43" s="6"/>
      <c r="E43" s="6"/>
      <c r="F43" s="6"/>
      <c r="G43" s="6">
        <v>146</v>
      </c>
      <c r="H43" s="6"/>
      <c r="I43" s="359">
        <v>350</v>
      </c>
      <c r="J43" s="359">
        <v>383</v>
      </c>
      <c r="K43" s="359">
        <v>1578</v>
      </c>
      <c r="L43" s="359">
        <v>2660</v>
      </c>
      <c r="M43" s="359">
        <v>1086</v>
      </c>
      <c r="N43" s="359">
        <v>1921</v>
      </c>
      <c r="O43" s="359">
        <v>1888</v>
      </c>
      <c r="P43" s="359"/>
      <c r="Q43" s="359">
        <v>825</v>
      </c>
      <c r="R43" s="359"/>
      <c r="S43" s="359">
        <v>1108</v>
      </c>
      <c r="T43" s="19"/>
      <c r="U43" s="19"/>
      <c r="V43" s="13"/>
      <c r="W43" s="13"/>
      <c r="X43" s="29">
        <v>5077</v>
      </c>
      <c r="Y43" s="7" t="s">
        <v>5</v>
      </c>
      <c r="Z43" s="58">
        <v>35</v>
      </c>
      <c r="AB43">
        <f t="shared" si="7"/>
        <v>1.9086466165413534</v>
      </c>
      <c r="AC43"/>
      <c r="AD43">
        <v>0.4</v>
      </c>
      <c r="AE43" s="617">
        <f t="shared" si="6"/>
        <v>1849</v>
      </c>
      <c r="AF43"/>
      <c r="AG43" s="275"/>
      <c r="AH43" s="229">
        <v>44447</v>
      </c>
      <c r="AI43" s="263">
        <v>100</v>
      </c>
      <c r="AJ43" s="262"/>
      <c r="AK43" s="264">
        <v>0.9</v>
      </c>
      <c r="AL43" s="265">
        <f t="shared" ref="AL43:AL50" si="8">AI43/AK43</f>
        <v>111.11111111111111</v>
      </c>
      <c r="AM43" s="262"/>
      <c r="AN43" s="265">
        <f>(AH43-AH42)*(AI43+AI42)</f>
        <v>700</v>
      </c>
      <c r="AO43" s="262"/>
      <c r="AP43" s="278">
        <f>(AH43-AH42)*(AL43+AL42)</f>
        <v>777.77777777777783</v>
      </c>
      <c r="AQ43"/>
      <c r="AR43"/>
      <c r="AS43"/>
      <c r="AT43"/>
      <c r="AU43"/>
    </row>
    <row r="44" spans="1:47" ht="18" customHeight="1" x14ac:dyDescent="0.2">
      <c r="A44" s="1">
        <v>1999</v>
      </c>
      <c r="B44" s="6"/>
      <c r="C44" s="6"/>
      <c r="D44" s="6"/>
      <c r="E44" s="6"/>
      <c r="F44" s="6"/>
      <c r="G44" s="6"/>
      <c r="H44" s="6">
        <v>25</v>
      </c>
      <c r="I44" s="359">
        <v>87</v>
      </c>
      <c r="J44" s="359">
        <v>482</v>
      </c>
      <c r="K44" s="359"/>
      <c r="L44" s="359">
        <v>451</v>
      </c>
      <c r="M44" s="359">
        <v>855</v>
      </c>
      <c r="N44" s="359"/>
      <c r="O44" s="359">
        <v>768</v>
      </c>
      <c r="P44" s="359">
        <v>824</v>
      </c>
      <c r="Q44" s="359"/>
      <c r="R44" s="359">
        <v>340</v>
      </c>
      <c r="S44" s="359"/>
      <c r="T44" s="19"/>
      <c r="U44" s="19"/>
      <c r="V44" s="13"/>
      <c r="W44" s="13"/>
      <c r="X44" s="29">
        <v>1950</v>
      </c>
      <c r="Y44" s="7" t="s">
        <v>5</v>
      </c>
      <c r="Z44" s="58">
        <v>25</v>
      </c>
      <c r="AB44">
        <f t="shared" si="7"/>
        <v>2.2807017543859649</v>
      </c>
      <c r="AC44"/>
      <c r="AD44">
        <v>0.5</v>
      </c>
      <c r="AE44" s="617">
        <f t="shared" si="6"/>
        <v>2141</v>
      </c>
      <c r="AF44"/>
      <c r="AG44" s="275"/>
      <c r="AH44" s="229">
        <v>44454</v>
      </c>
      <c r="AI44" s="263">
        <v>255</v>
      </c>
      <c r="AJ44" s="262"/>
      <c r="AK44" s="264">
        <v>0.9</v>
      </c>
      <c r="AL44" s="265">
        <f t="shared" si="8"/>
        <v>283.33333333333331</v>
      </c>
      <c r="AM44" s="262"/>
      <c r="AN44" s="265">
        <f t="shared" ref="AN44:AN52" si="9">(AH44-AH43)*(AI44+AI43)</f>
        <v>2485</v>
      </c>
      <c r="AO44" s="262"/>
      <c r="AP44" s="278">
        <f t="shared" ref="AP44:AP52" si="10">(AH44-AH43)*(AL44+AL43)</f>
        <v>2761.1111111111113</v>
      </c>
      <c r="AQ44"/>
      <c r="AR44"/>
      <c r="AS44"/>
      <c r="AT44"/>
      <c r="AU44"/>
    </row>
    <row r="45" spans="1:47" ht="18" customHeight="1" x14ac:dyDescent="0.2">
      <c r="A45" s="1">
        <v>2000</v>
      </c>
      <c r="B45" s="6"/>
      <c r="C45" s="6"/>
      <c r="D45" s="6"/>
      <c r="E45" s="6"/>
      <c r="F45" s="6"/>
      <c r="G45" s="6"/>
      <c r="H45" s="6">
        <v>335</v>
      </c>
      <c r="I45" s="359">
        <v>383</v>
      </c>
      <c r="J45" s="359">
        <v>398</v>
      </c>
      <c r="K45" s="359"/>
      <c r="L45" s="359">
        <v>212</v>
      </c>
      <c r="M45" s="359"/>
      <c r="N45" s="359"/>
      <c r="O45" s="359"/>
      <c r="P45" s="359">
        <v>549</v>
      </c>
      <c r="Q45" s="359">
        <v>618</v>
      </c>
      <c r="R45" s="359"/>
      <c r="S45" s="359"/>
      <c r="T45" s="19"/>
      <c r="U45" s="19">
        <v>472</v>
      </c>
      <c r="V45" s="13"/>
      <c r="W45" s="13"/>
      <c r="X45" s="248">
        <v>1081</v>
      </c>
      <c r="Y45" s="7" t="s">
        <v>5</v>
      </c>
      <c r="Z45" s="58">
        <v>40</v>
      </c>
      <c r="AB45">
        <f t="shared" si="7"/>
        <v>1.7491909385113269</v>
      </c>
      <c r="AC45"/>
      <c r="AD45" s="249">
        <v>0.6</v>
      </c>
      <c r="AE45" s="172">
        <f t="shared" si="6"/>
        <v>2328.1999999999998</v>
      </c>
      <c r="AF45"/>
      <c r="AG45" s="279"/>
      <c r="AH45" s="229">
        <v>44462</v>
      </c>
      <c r="AI45" s="263">
        <v>456</v>
      </c>
      <c r="AJ45" s="262"/>
      <c r="AK45" s="264">
        <v>0.9</v>
      </c>
      <c r="AL45" s="265">
        <f t="shared" si="8"/>
        <v>506.66666666666663</v>
      </c>
      <c r="AM45" s="262"/>
      <c r="AN45" s="265">
        <f t="shared" si="9"/>
        <v>5688</v>
      </c>
      <c r="AO45" s="262"/>
      <c r="AP45" s="278">
        <f t="shared" si="10"/>
        <v>6320</v>
      </c>
      <c r="AQ45"/>
      <c r="AR45"/>
      <c r="AS45"/>
      <c r="AT45"/>
      <c r="AU45"/>
    </row>
    <row r="46" spans="1:47" ht="18" customHeight="1" x14ac:dyDescent="0.2">
      <c r="A46" s="1">
        <v>2001</v>
      </c>
      <c r="B46" s="6"/>
      <c r="C46" s="6"/>
      <c r="D46" s="6"/>
      <c r="E46" s="6"/>
      <c r="F46" s="6"/>
      <c r="G46" s="6"/>
      <c r="H46" s="6">
        <v>136</v>
      </c>
      <c r="I46" s="359"/>
      <c r="J46" s="359">
        <v>1475</v>
      </c>
      <c r="K46" s="359"/>
      <c r="L46" s="359">
        <v>580</v>
      </c>
      <c r="M46" s="359"/>
      <c r="N46" s="359"/>
      <c r="O46" s="359"/>
      <c r="P46" s="359"/>
      <c r="Q46" s="359"/>
      <c r="R46" s="359">
        <v>1131</v>
      </c>
      <c r="S46" s="359">
        <v>1104</v>
      </c>
      <c r="T46" s="19"/>
      <c r="U46" s="19"/>
      <c r="V46" s="13"/>
      <c r="W46" s="13"/>
      <c r="X46" s="29">
        <v>1816</v>
      </c>
      <c r="Y46" s="7" t="s">
        <v>5</v>
      </c>
      <c r="Z46" s="58">
        <v>45</v>
      </c>
      <c r="AB46">
        <f t="shared" si="7"/>
        <v>1.231186440677966</v>
      </c>
      <c r="AC46"/>
      <c r="AD46">
        <v>0.7</v>
      </c>
      <c r="AE46" s="617">
        <f t="shared" si="6"/>
        <v>2724.2</v>
      </c>
      <c r="AF46"/>
      <c r="AG46" s="280"/>
      <c r="AH46" s="229">
        <v>44475</v>
      </c>
      <c r="AI46" s="263">
        <v>667</v>
      </c>
      <c r="AJ46" s="262"/>
      <c r="AK46" s="264">
        <v>0.65</v>
      </c>
      <c r="AL46" s="265">
        <f t="shared" si="8"/>
        <v>1026.1538461538462</v>
      </c>
      <c r="AM46" s="262"/>
      <c r="AN46" s="265">
        <f t="shared" si="9"/>
        <v>14599</v>
      </c>
      <c r="AO46" s="262"/>
      <c r="AP46" s="278">
        <f t="shared" si="10"/>
        <v>19926.666666666664</v>
      </c>
      <c r="AQ46"/>
      <c r="AR46"/>
      <c r="AS46"/>
      <c r="AT46"/>
      <c r="AU46"/>
    </row>
    <row r="47" spans="1:47" ht="18" customHeight="1" x14ac:dyDescent="0.2">
      <c r="A47" s="1">
        <v>2002</v>
      </c>
      <c r="B47" s="6"/>
      <c r="C47" s="6"/>
      <c r="D47" s="6"/>
      <c r="E47" s="6"/>
      <c r="F47" s="6"/>
      <c r="G47" s="6"/>
      <c r="H47" s="6">
        <v>167</v>
      </c>
      <c r="I47" s="359"/>
      <c r="J47" s="359">
        <v>762</v>
      </c>
      <c r="K47" s="359"/>
      <c r="L47" s="359"/>
      <c r="M47" s="359"/>
      <c r="N47" s="359">
        <v>800</v>
      </c>
      <c r="O47" s="359"/>
      <c r="P47" s="359"/>
      <c r="Q47" s="359"/>
      <c r="R47" s="359">
        <v>355</v>
      </c>
      <c r="S47" s="359">
        <v>238</v>
      </c>
      <c r="T47" s="19"/>
      <c r="U47" s="19"/>
      <c r="V47" s="13"/>
      <c r="W47" s="13"/>
      <c r="X47" s="29">
        <v>1871</v>
      </c>
      <c r="Y47" s="7" t="s">
        <v>5</v>
      </c>
      <c r="Z47" s="60">
        <v>60</v>
      </c>
      <c r="AB47">
        <f t="shared" si="7"/>
        <v>2.3387500000000001</v>
      </c>
      <c r="AC47"/>
      <c r="AD47">
        <v>0.8</v>
      </c>
      <c r="AE47" s="617">
        <f t="shared" si="6"/>
        <v>3079.8000000000006</v>
      </c>
      <c r="AF47"/>
      <c r="AG47" s="280"/>
      <c r="AH47" s="229">
        <v>44487</v>
      </c>
      <c r="AI47" s="263">
        <v>1682</v>
      </c>
      <c r="AJ47" s="262"/>
      <c r="AK47" s="264">
        <v>0.9</v>
      </c>
      <c r="AL47" s="265">
        <f t="shared" si="8"/>
        <v>1868.8888888888889</v>
      </c>
      <c r="AM47" s="262"/>
      <c r="AN47" s="265">
        <f t="shared" si="9"/>
        <v>28188</v>
      </c>
      <c r="AO47" s="262"/>
      <c r="AP47" s="278">
        <f t="shared" si="10"/>
        <v>34740.512820512828</v>
      </c>
      <c r="AQ47"/>
      <c r="AR47"/>
      <c r="AS47"/>
      <c r="AT47"/>
      <c r="AU47"/>
    </row>
    <row r="48" spans="1:47" ht="18" customHeight="1" x14ac:dyDescent="0.2">
      <c r="A48" s="1">
        <v>2003</v>
      </c>
      <c r="B48" s="6"/>
      <c r="C48" s="6"/>
      <c r="D48" s="6"/>
      <c r="E48" s="6"/>
      <c r="F48" s="6"/>
      <c r="G48" s="6"/>
      <c r="H48" s="6"/>
      <c r="I48" s="359">
        <v>1333</v>
      </c>
      <c r="J48" s="359">
        <v>1065</v>
      </c>
      <c r="K48" s="359">
        <v>234</v>
      </c>
      <c r="L48" s="359"/>
      <c r="M48" s="359"/>
      <c r="N48" s="359">
        <v>1847</v>
      </c>
      <c r="O48" s="359">
        <v>2330</v>
      </c>
      <c r="P48" s="359"/>
      <c r="Q48" s="359"/>
      <c r="R48" s="359"/>
      <c r="S48" s="359"/>
      <c r="T48" s="19"/>
      <c r="U48" s="19"/>
      <c r="V48" s="13"/>
      <c r="W48" s="13"/>
      <c r="X48" s="29">
        <v>3044</v>
      </c>
      <c r="Y48" s="7" t="s">
        <v>5</v>
      </c>
      <c r="Z48" s="58">
        <v>37</v>
      </c>
      <c r="AB48">
        <f t="shared" si="7"/>
        <v>1.3064377682403434</v>
      </c>
      <c r="AC48"/>
      <c r="AD48">
        <v>0.9</v>
      </c>
      <c r="AE48" s="617">
        <f t="shared" si="6"/>
        <v>3470.0000000000005</v>
      </c>
      <c r="AF48"/>
      <c r="AG48" s="280"/>
      <c r="AH48" s="229">
        <v>44517</v>
      </c>
      <c r="AI48" s="263">
        <v>1120</v>
      </c>
      <c r="AJ48" s="262"/>
      <c r="AK48" s="264">
        <v>0.9</v>
      </c>
      <c r="AL48" s="265">
        <f t="shared" si="8"/>
        <v>1244.4444444444443</v>
      </c>
      <c r="AM48" s="262"/>
      <c r="AN48" s="265">
        <f t="shared" si="9"/>
        <v>84060</v>
      </c>
      <c r="AO48" s="262"/>
      <c r="AP48" s="278">
        <f t="shared" si="10"/>
        <v>93399.999999999985</v>
      </c>
      <c r="AQ48"/>
      <c r="AR48"/>
      <c r="AS48"/>
      <c r="AT48"/>
      <c r="AU48"/>
    </row>
    <row r="49" spans="1:47" ht="18" customHeight="1" x14ac:dyDescent="0.2">
      <c r="A49" s="1">
        <v>2004</v>
      </c>
      <c r="B49" s="6"/>
      <c r="C49" s="6"/>
      <c r="D49" s="6"/>
      <c r="E49" s="6"/>
      <c r="F49" s="6"/>
      <c r="G49" s="6"/>
      <c r="H49" s="6">
        <v>798</v>
      </c>
      <c r="I49" s="359">
        <v>972</v>
      </c>
      <c r="J49" s="359"/>
      <c r="K49" s="359"/>
      <c r="L49" s="359">
        <v>1011</v>
      </c>
      <c r="M49" s="359"/>
      <c r="N49" s="359">
        <v>1501</v>
      </c>
      <c r="O49" s="359"/>
      <c r="P49" s="359"/>
      <c r="Q49" s="359"/>
      <c r="R49" s="359">
        <v>1026</v>
      </c>
      <c r="S49" s="359"/>
      <c r="T49" s="19"/>
      <c r="U49" s="19"/>
      <c r="V49" s="13"/>
      <c r="W49" s="13"/>
      <c r="X49" s="21">
        <v>1720</v>
      </c>
      <c r="Y49" s="7" t="s">
        <v>5</v>
      </c>
      <c r="Z49" s="59">
        <v>60</v>
      </c>
      <c r="AB49">
        <f t="shared" si="7"/>
        <v>1.1459027315123251</v>
      </c>
      <c r="AC49"/>
      <c r="AD49"/>
      <c r="AE49"/>
      <c r="AF49"/>
      <c r="AG49" s="280"/>
      <c r="AH49" s="229">
        <v>44531</v>
      </c>
      <c r="AI49" s="263">
        <v>0</v>
      </c>
      <c r="AJ49" s="262"/>
      <c r="AK49" s="264">
        <v>0.9</v>
      </c>
      <c r="AL49" s="265">
        <f t="shared" si="8"/>
        <v>0</v>
      </c>
      <c r="AM49" s="262"/>
      <c r="AN49" s="265">
        <f t="shared" si="9"/>
        <v>15680</v>
      </c>
      <c r="AO49" s="262"/>
      <c r="AP49" s="278">
        <f t="shared" si="10"/>
        <v>17422.222222222219</v>
      </c>
      <c r="AQ49"/>
      <c r="AR49"/>
      <c r="AS49"/>
      <c r="AT49"/>
      <c r="AU49"/>
    </row>
    <row r="50" spans="1:47" ht="18" customHeight="1" x14ac:dyDescent="0.2">
      <c r="A50" s="1">
        <v>2005</v>
      </c>
      <c r="B50" s="6"/>
      <c r="C50" s="6"/>
      <c r="D50" s="6"/>
      <c r="E50" s="6"/>
      <c r="F50" s="6"/>
      <c r="G50" s="6"/>
      <c r="H50" s="6">
        <v>181</v>
      </c>
      <c r="I50" s="359"/>
      <c r="J50" s="359"/>
      <c r="K50" s="359">
        <v>864</v>
      </c>
      <c r="L50" s="359"/>
      <c r="M50" s="359"/>
      <c r="N50" s="359"/>
      <c r="O50" s="359"/>
      <c r="P50" s="359">
        <v>1204</v>
      </c>
      <c r="Q50" s="359"/>
      <c r="R50" s="359"/>
      <c r="S50" s="359"/>
      <c r="T50" s="19"/>
      <c r="U50" s="19"/>
      <c r="V50" s="13"/>
      <c r="W50" s="13"/>
      <c r="X50" s="29">
        <v>2141</v>
      </c>
      <c r="Y50" s="7" t="s">
        <v>5</v>
      </c>
      <c r="Z50" s="60">
        <v>37.5</v>
      </c>
      <c r="AB50">
        <f t="shared" si="7"/>
        <v>1.7782392026578073</v>
      </c>
      <c r="AC50"/>
      <c r="AD50"/>
      <c r="AE50"/>
      <c r="AF50"/>
      <c r="AG50" s="280"/>
      <c r="AH50" s="229">
        <v>44532</v>
      </c>
      <c r="AI50" s="263">
        <v>0</v>
      </c>
      <c r="AJ50" s="262"/>
      <c r="AK50" s="264">
        <v>0.9</v>
      </c>
      <c r="AL50" s="265">
        <f t="shared" si="8"/>
        <v>0</v>
      </c>
      <c r="AM50" s="262"/>
      <c r="AN50" s="265">
        <f t="shared" si="9"/>
        <v>0</v>
      </c>
      <c r="AO50" s="262"/>
      <c r="AP50" s="278">
        <f t="shared" si="10"/>
        <v>0</v>
      </c>
      <c r="AQ50"/>
      <c r="AR50"/>
      <c r="AS50"/>
      <c r="AT50"/>
      <c r="AU50"/>
    </row>
    <row r="51" spans="1:47" ht="18" customHeight="1" x14ac:dyDescent="0.2">
      <c r="A51" s="1">
        <v>2006</v>
      </c>
      <c r="B51" s="6"/>
      <c r="C51" s="6"/>
      <c r="D51" s="6"/>
      <c r="E51" s="6"/>
      <c r="F51" s="6"/>
      <c r="G51" s="6"/>
      <c r="H51" s="6"/>
      <c r="I51" s="359">
        <v>195</v>
      </c>
      <c r="J51" s="359"/>
      <c r="K51" s="359"/>
      <c r="L51" s="359">
        <v>743</v>
      </c>
      <c r="M51" s="359"/>
      <c r="N51" s="359"/>
      <c r="O51" s="359"/>
      <c r="P51" s="359"/>
      <c r="Q51" s="359"/>
      <c r="R51" s="359">
        <v>106</v>
      </c>
      <c r="S51" s="359"/>
      <c r="T51" s="19"/>
      <c r="U51" s="19"/>
      <c r="V51" s="13"/>
      <c r="W51" s="13"/>
      <c r="X51" s="30">
        <v>818</v>
      </c>
      <c r="Y51" s="7" t="s">
        <v>5</v>
      </c>
      <c r="Z51" s="60">
        <v>37.5</v>
      </c>
      <c r="AB51">
        <f t="shared" si="7"/>
        <v>1.1009421265141319</v>
      </c>
      <c r="AC51"/>
      <c r="AD51"/>
      <c r="AE51"/>
      <c r="AF51"/>
      <c r="AG51" s="290"/>
      <c r="AH51" s="229">
        <v>44533</v>
      </c>
      <c r="AI51" s="55"/>
      <c r="AJ51" s="55"/>
      <c r="AK51" s="55"/>
      <c r="AL51" s="263">
        <v>0</v>
      </c>
      <c r="AM51" s="55"/>
      <c r="AN51" s="265">
        <f t="shared" si="9"/>
        <v>0</v>
      </c>
      <c r="AO51" s="262"/>
      <c r="AP51" s="278">
        <f t="shared" si="10"/>
        <v>0</v>
      </c>
      <c r="AQ51"/>
      <c r="AR51"/>
      <c r="AS51"/>
      <c r="AT51"/>
      <c r="AU51"/>
    </row>
    <row r="52" spans="1:47" ht="18" customHeight="1" x14ac:dyDescent="0.2">
      <c r="A52" s="1">
        <v>2007</v>
      </c>
      <c r="B52" s="6"/>
      <c r="C52" s="6"/>
      <c r="D52" s="6"/>
      <c r="E52" s="6"/>
      <c r="F52" s="6"/>
      <c r="G52" s="6"/>
      <c r="H52" s="6">
        <v>64</v>
      </c>
      <c r="I52" s="359">
        <v>119</v>
      </c>
      <c r="J52" s="359"/>
      <c r="K52" s="359"/>
      <c r="L52" s="359"/>
      <c r="M52" s="359">
        <v>609</v>
      </c>
      <c r="N52" s="359"/>
      <c r="O52" s="359"/>
      <c r="P52" s="359"/>
      <c r="Q52" s="359">
        <v>591</v>
      </c>
      <c r="R52" s="359"/>
      <c r="S52" s="359"/>
      <c r="T52" s="19"/>
      <c r="U52" s="19"/>
      <c r="V52" s="13"/>
      <c r="W52" s="13"/>
      <c r="X52" s="30">
        <v>892</v>
      </c>
      <c r="Y52" s="7" t="s">
        <v>5</v>
      </c>
      <c r="Z52" s="60">
        <v>45</v>
      </c>
      <c r="AB52">
        <f t="shared" si="7"/>
        <v>1.464696223316913</v>
      </c>
      <c r="AC52"/>
      <c r="AD52"/>
      <c r="AE52"/>
      <c r="AF52"/>
      <c r="AG52" s="275" t="s">
        <v>128</v>
      </c>
      <c r="AH52" s="229"/>
      <c r="AI52" s="176"/>
      <c r="AJ52" s="262"/>
      <c r="AK52" s="177"/>
      <c r="AL52" s="178">
        <v>0</v>
      </c>
      <c r="AM52" s="179"/>
      <c r="AN52" s="265">
        <f t="shared" si="9"/>
        <v>0</v>
      </c>
      <c r="AO52" s="262"/>
      <c r="AP52" s="278">
        <f t="shared" si="10"/>
        <v>0</v>
      </c>
      <c r="AQ52"/>
      <c r="AR52"/>
      <c r="AS52"/>
      <c r="AT52"/>
      <c r="AU52"/>
    </row>
    <row r="53" spans="1:47" s="55" customFormat="1" ht="18" customHeight="1" x14ac:dyDescent="0.2">
      <c r="A53" s="13">
        <v>2008</v>
      </c>
      <c r="B53" s="13"/>
      <c r="C53" s="13"/>
      <c r="D53" s="13"/>
      <c r="E53" s="13"/>
      <c r="F53" s="13"/>
      <c r="G53" s="13">
        <v>221</v>
      </c>
      <c r="H53" s="13"/>
      <c r="I53" s="19"/>
      <c r="J53" s="19"/>
      <c r="K53" s="19">
        <v>1889</v>
      </c>
      <c r="L53" s="19"/>
      <c r="M53" s="19">
        <v>1728</v>
      </c>
      <c r="N53" s="19"/>
      <c r="O53" s="19"/>
      <c r="P53" s="19"/>
      <c r="Q53" s="19">
        <v>1321</v>
      </c>
      <c r="R53" s="19"/>
      <c r="S53" s="19"/>
      <c r="T53" s="19"/>
      <c r="U53" s="19"/>
      <c r="V53" s="13"/>
      <c r="W53" s="13"/>
      <c r="X53" s="29">
        <v>2423</v>
      </c>
      <c r="Y53" s="7" t="s">
        <v>5</v>
      </c>
      <c r="Z53" s="58">
        <v>52.5</v>
      </c>
      <c r="AB53">
        <f t="shared" si="7"/>
        <v>1.2826892535733192</v>
      </c>
      <c r="AC53"/>
      <c r="AD53"/>
      <c r="AE53"/>
      <c r="AF53"/>
      <c r="AG53" s="275" t="s">
        <v>2</v>
      </c>
      <c r="AH53" s="167">
        <v>7</v>
      </c>
      <c r="AI53" s="167"/>
      <c r="AJ53" s="167"/>
      <c r="AK53" s="262"/>
      <c r="AL53" s="262"/>
      <c r="AM53" s="262"/>
      <c r="AN53" s="262"/>
      <c r="AO53" s="262"/>
      <c r="AP53" s="277"/>
      <c r="AQ53"/>
      <c r="AR53"/>
      <c r="AS53"/>
      <c r="AT53"/>
      <c r="AU53"/>
    </row>
    <row r="54" spans="1:47" ht="18" customHeight="1" x14ac:dyDescent="0.2">
      <c r="A54" s="13">
        <v>2009</v>
      </c>
      <c r="B54" s="13"/>
      <c r="C54" s="13"/>
      <c r="D54" s="13"/>
      <c r="E54" s="13"/>
      <c r="F54" s="13"/>
      <c r="G54" s="13">
        <v>620</v>
      </c>
      <c r="H54" s="13"/>
      <c r="I54" s="19">
        <v>2193</v>
      </c>
      <c r="J54" s="19"/>
      <c r="K54" s="19">
        <v>2192</v>
      </c>
      <c r="L54" s="19"/>
      <c r="M54" s="19">
        <v>1485</v>
      </c>
      <c r="N54" s="19"/>
      <c r="O54" s="19"/>
      <c r="P54" s="19"/>
      <c r="Q54" s="19"/>
      <c r="R54" s="19"/>
      <c r="S54" s="19"/>
      <c r="T54" s="19"/>
      <c r="U54" s="19"/>
      <c r="V54" s="13"/>
      <c r="W54" s="13"/>
      <c r="X54" s="29">
        <v>3275</v>
      </c>
      <c r="Y54" s="7" t="s">
        <v>5</v>
      </c>
      <c r="Z54" s="58">
        <v>35</v>
      </c>
      <c r="AB54">
        <f t="shared" si="7"/>
        <v>1.4933880528955767</v>
      </c>
      <c r="AC54"/>
      <c r="AD54"/>
      <c r="AE54"/>
      <c r="AF54"/>
      <c r="AG54" s="275" t="s">
        <v>129</v>
      </c>
      <c r="AH54" s="167"/>
      <c r="AI54" s="167">
        <f>MAX(AI42:AI52)</f>
        <v>1682</v>
      </c>
      <c r="AJ54" s="167"/>
      <c r="AK54" s="167"/>
      <c r="AL54" s="167">
        <f>MAX(AL42:AL52)</f>
        <v>1868.8888888888889</v>
      </c>
      <c r="AM54" s="167"/>
      <c r="AN54" s="167"/>
      <c r="AO54" s="262"/>
      <c r="AP54" s="277"/>
      <c r="AQ54"/>
      <c r="AR54"/>
      <c r="AS54"/>
      <c r="AT54"/>
      <c r="AU54"/>
    </row>
    <row r="55" spans="1:47" ht="18" customHeight="1" x14ac:dyDescent="0.2">
      <c r="A55" s="13">
        <v>2010</v>
      </c>
      <c r="B55" s="13"/>
      <c r="C55" s="13"/>
      <c r="D55" s="13"/>
      <c r="E55" s="13"/>
      <c r="F55" s="13"/>
      <c r="G55" s="13">
        <v>1</v>
      </c>
      <c r="H55" s="13">
        <v>71</v>
      </c>
      <c r="I55" s="19">
        <v>667</v>
      </c>
      <c r="J55" s="19">
        <v>699</v>
      </c>
      <c r="K55" s="19">
        <v>1570</v>
      </c>
      <c r="L55" s="19"/>
      <c r="M55" s="19">
        <v>1533</v>
      </c>
      <c r="N55" s="19">
        <v>1223</v>
      </c>
      <c r="O55" s="19"/>
      <c r="P55" s="19"/>
      <c r="Q55" s="19"/>
      <c r="R55" s="19"/>
      <c r="S55" s="19"/>
      <c r="T55" s="19"/>
      <c r="U55" s="19"/>
      <c r="V55" s="13"/>
      <c r="W55" s="13"/>
      <c r="X55" s="29">
        <v>2750</v>
      </c>
      <c r="Y55" s="7" t="s">
        <v>5</v>
      </c>
      <c r="Z55" s="58">
        <v>25</v>
      </c>
      <c r="AB55">
        <f t="shared" si="7"/>
        <v>1.7515923566878981</v>
      </c>
      <c r="AC55"/>
      <c r="AD55"/>
      <c r="AE55"/>
      <c r="AF55"/>
      <c r="AG55" s="275" t="s">
        <v>130</v>
      </c>
      <c r="AH55" s="167"/>
      <c r="AI55" s="263">
        <v>40</v>
      </c>
      <c r="AJ55" s="167"/>
      <c r="AK55" s="262"/>
      <c r="AL55" s="263">
        <v>40</v>
      </c>
      <c r="AM55" s="266"/>
      <c r="AN55" s="266"/>
      <c r="AO55" s="262"/>
      <c r="AP55" s="277"/>
      <c r="AQ55"/>
      <c r="AR55"/>
      <c r="AS55"/>
      <c r="AT55"/>
      <c r="AU55"/>
    </row>
    <row r="56" spans="1:47" ht="18" customHeight="1" x14ac:dyDescent="0.2">
      <c r="A56" s="13">
        <v>2011</v>
      </c>
      <c r="B56" s="13"/>
      <c r="C56" s="13"/>
      <c r="D56" s="13"/>
      <c r="E56" s="13"/>
      <c r="F56" s="13"/>
      <c r="G56" s="13"/>
      <c r="H56" s="13"/>
      <c r="I56" s="19"/>
      <c r="J56" s="19">
        <v>1355</v>
      </c>
      <c r="K56" s="19">
        <v>1544</v>
      </c>
      <c r="L56" s="19">
        <v>1968</v>
      </c>
      <c r="M56" s="19">
        <v>1966</v>
      </c>
      <c r="N56" s="19">
        <v>1409</v>
      </c>
      <c r="O56" s="19"/>
      <c r="P56" s="19">
        <v>0</v>
      </c>
      <c r="Q56" s="19"/>
      <c r="R56" s="19"/>
      <c r="S56" s="19"/>
      <c r="T56" s="19">
        <v>218</v>
      </c>
      <c r="U56" s="19"/>
      <c r="V56" s="13"/>
      <c r="W56" s="13"/>
      <c r="X56" s="29">
        <v>3600</v>
      </c>
      <c r="Y56" s="7" t="s">
        <v>5</v>
      </c>
      <c r="Z56" s="58">
        <v>40</v>
      </c>
      <c r="AB56">
        <f t="shared" si="7"/>
        <v>1.8292682926829269</v>
      </c>
      <c r="AC56"/>
      <c r="AD56"/>
      <c r="AE56"/>
      <c r="AF56"/>
      <c r="AG56" s="275" t="s">
        <v>131</v>
      </c>
      <c r="AH56" s="167"/>
      <c r="AI56" s="267">
        <f>(0.5*SUM(AN43:AN52))/AI55</f>
        <v>1892.5</v>
      </c>
      <c r="AJ56" s="167"/>
      <c r="AK56" s="262"/>
      <c r="AL56" s="267">
        <f>(0.5*SUM(AP43:AP52))/AL55</f>
        <v>2191.8536324786323</v>
      </c>
      <c r="AM56" s="266"/>
      <c r="AN56" s="266"/>
      <c r="AO56" s="262"/>
      <c r="AP56" s="277"/>
      <c r="AQ56"/>
      <c r="AR56"/>
      <c r="AS56"/>
      <c r="AT56"/>
      <c r="AU56"/>
    </row>
    <row r="57" spans="1:47" ht="18" customHeight="1" thickBot="1" x14ac:dyDescent="0.25">
      <c r="A57" s="13">
        <v>2012</v>
      </c>
      <c r="B57" s="13"/>
      <c r="C57" s="13"/>
      <c r="D57" s="13"/>
      <c r="E57" s="13"/>
      <c r="F57" s="13">
        <v>41</v>
      </c>
      <c r="G57" s="13">
        <v>17</v>
      </c>
      <c r="H57" s="13">
        <v>43</v>
      </c>
      <c r="I57" s="19">
        <v>47</v>
      </c>
      <c r="J57" s="19">
        <v>126</v>
      </c>
      <c r="K57" s="19">
        <v>337</v>
      </c>
      <c r="L57" s="19"/>
      <c r="M57" s="19">
        <v>780</v>
      </c>
      <c r="N57" s="19">
        <v>452</v>
      </c>
      <c r="O57" s="19">
        <v>517</v>
      </c>
      <c r="P57" s="19">
        <v>510</v>
      </c>
      <c r="Q57" s="19"/>
      <c r="R57" s="19">
        <v>385</v>
      </c>
      <c r="S57" s="19"/>
      <c r="T57" s="19"/>
      <c r="U57" s="19"/>
      <c r="V57" s="13"/>
      <c r="W57" s="13"/>
      <c r="X57" s="29">
        <v>1424</v>
      </c>
      <c r="Y57" s="7" t="s">
        <v>5</v>
      </c>
      <c r="Z57" s="58">
        <v>40</v>
      </c>
      <c r="AB57">
        <f t="shared" si="7"/>
        <v>1.8256410256410256</v>
      </c>
      <c r="AC57"/>
      <c r="AD57"/>
      <c r="AE57"/>
      <c r="AF57"/>
      <c r="AG57" s="291"/>
      <c r="AH57" s="286"/>
      <c r="AI57" s="286"/>
      <c r="AJ57" s="286"/>
      <c r="AK57" s="286"/>
      <c r="AL57" s="286"/>
      <c r="AM57" s="286"/>
      <c r="AN57" s="286"/>
      <c r="AO57" s="286"/>
      <c r="AP57" s="288"/>
      <c r="AQ57"/>
      <c r="AR57"/>
      <c r="AS57"/>
      <c r="AT57"/>
      <c r="AU57"/>
    </row>
    <row r="58" spans="1:47" ht="18" customHeight="1" x14ac:dyDescent="0.2">
      <c r="A58" s="13">
        <v>2013</v>
      </c>
      <c r="B58" s="13"/>
      <c r="C58" s="13"/>
      <c r="D58" s="13"/>
      <c r="E58" s="13"/>
      <c r="F58" s="13"/>
      <c r="G58" s="13">
        <v>52</v>
      </c>
      <c r="H58" s="13">
        <v>329</v>
      </c>
      <c r="I58" s="19">
        <v>1077</v>
      </c>
      <c r="J58" s="19"/>
      <c r="K58" s="19">
        <v>749</v>
      </c>
      <c r="L58" s="19">
        <v>1184</v>
      </c>
      <c r="M58" s="19">
        <v>1320</v>
      </c>
      <c r="N58" s="19">
        <v>1040</v>
      </c>
      <c r="O58" s="19"/>
      <c r="P58" s="19"/>
      <c r="Q58" s="19">
        <v>364</v>
      </c>
      <c r="R58" s="19"/>
      <c r="S58" s="19"/>
      <c r="T58" s="19"/>
      <c r="U58" s="19"/>
      <c r="V58" s="13"/>
      <c r="W58" s="13"/>
      <c r="X58" s="21">
        <v>2265</v>
      </c>
      <c r="Y58" s="7" t="s">
        <v>5</v>
      </c>
      <c r="Z58" s="58">
        <v>40</v>
      </c>
      <c r="AB58">
        <f t="shared" si="7"/>
        <v>1.7159090909090908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8" customHeight="1" x14ac:dyDescent="0.2">
      <c r="A59" s="13">
        <v>2014</v>
      </c>
      <c r="B59" s="13"/>
      <c r="C59" s="13"/>
      <c r="D59" s="13"/>
      <c r="E59" s="13"/>
      <c r="F59" s="109">
        <v>9</v>
      </c>
      <c r="G59" s="109">
        <v>61</v>
      </c>
      <c r="H59" s="13"/>
      <c r="I59" s="437">
        <v>174</v>
      </c>
      <c r="J59" s="437">
        <v>802</v>
      </c>
      <c r="K59" s="437">
        <v>1252</v>
      </c>
      <c r="L59" s="437">
        <v>1874</v>
      </c>
      <c r="M59" s="321">
        <v>1603</v>
      </c>
      <c r="N59" s="19"/>
      <c r="O59" s="155">
        <v>799</v>
      </c>
      <c r="P59" s="19"/>
      <c r="Q59" s="321">
        <v>690</v>
      </c>
      <c r="R59" s="19"/>
      <c r="S59" s="155">
        <v>431</v>
      </c>
      <c r="T59" s="19"/>
      <c r="U59" s="19"/>
      <c r="V59" s="13"/>
      <c r="W59" s="13"/>
      <c r="X59" s="29">
        <v>2621</v>
      </c>
      <c r="Y59" s="7" t="s">
        <v>5</v>
      </c>
      <c r="Z59" s="58">
        <v>35</v>
      </c>
      <c r="AB59">
        <f t="shared" si="7"/>
        <v>1.3986125933831377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8" customHeight="1" x14ac:dyDescent="0.2">
      <c r="A60" s="13">
        <v>2015</v>
      </c>
      <c r="B60" s="13"/>
      <c r="C60" s="13"/>
      <c r="D60" s="13"/>
      <c r="E60" s="13"/>
      <c r="F60" s="13"/>
      <c r="G60" s="242">
        <v>311</v>
      </c>
      <c r="H60" s="242">
        <v>420</v>
      </c>
      <c r="I60" s="492">
        <v>658</v>
      </c>
      <c r="J60" s="492">
        <v>1050</v>
      </c>
      <c r="K60" s="492">
        <v>1665</v>
      </c>
      <c r="L60" s="493">
        <v>2160</v>
      </c>
      <c r="M60" s="19"/>
      <c r="N60" s="493">
        <v>1581</v>
      </c>
      <c r="O60" s="492">
        <v>847</v>
      </c>
      <c r="P60" s="492">
        <v>853</v>
      </c>
      <c r="Q60" s="19"/>
      <c r="R60" s="19"/>
      <c r="S60" s="19"/>
      <c r="T60" s="19"/>
      <c r="U60" s="301">
        <v>482</v>
      </c>
      <c r="V60" s="13"/>
      <c r="W60" s="13"/>
      <c r="X60" s="29">
        <v>3223</v>
      </c>
      <c r="Y60" s="7" t="s">
        <v>5</v>
      </c>
      <c r="Z60" s="58">
        <v>40</v>
      </c>
      <c r="AB60">
        <f t="shared" si="7"/>
        <v>1.4921296296296296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8" customHeight="1" x14ac:dyDescent="0.2">
      <c r="A61" s="13">
        <v>2016</v>
      </c>
      <c r="B61" s="13"/>
      <c r="C61" s="13"/>
      <c r="D61" s="13"/>
      <c r="E61" s="13"/>
      <c r="F61" s="13"/>
      <c r="G61" s="202">
        <v>344</v>
      </c>
      <c r="H61" s="202">
        <v>612</v>
      </c>
      <c r="I61" s="485">
        <v>1230</v>
      </c>
      <c r="J61" s="485">
        <v>1283</v>
      </c>
      <c r="K61" s="485">
        <v>1573</v>
      </c>
      <c r="L61" s="202">
        <v>1226</v>
      </c>
      <c r="M61" s="13"/>
      <c r="N61" s="296">
        <v>1735</v>
      </c>
      <c r="O61" s="13"/>
      <c r="P61" s="13"/>
      <c r="Q61" s="13"/>
      <c r="R61" s="13"/>
      <c r="S61" s="13"/>
      <c r="T61" s="13"/>
      <c r="U61" s="13">
        <v>221</v>
      </c>
      <c r="V61" s="13"/>
      <c r="W61" s="13"/>
      <c r="X61" s="29">
        <v>3656</v>
      </c>
      <c r="Y61" s="7"/>
      <c r="Z61" s="58"/>
      <c r="AB61">
        <f t="shared" si="7"/>
        <v>2.1072046109510087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8" customHeight="1" x14ac:dyDescent="0.2">
      <c r="A62" s="13">
        <v>2017</v>
      </c>
      <c r="B62" s="13"/>
      <c r="C62" s="13"/>
      <c r="D62" s="13"/>
      <c r="E62" s="13"/>
      <c r="F62" s="202">
        <v>6</v>
      </c>
      <c r="G62" s="13"/>
      <c r="H62" s="202">
        <v>527</v>
      </c>
      <c r="I62" s="202">
        <v>808</v>
      </c>
      <c r="J62" s="202">
        <v>1184</v>
      </c>
      <c r="K62" s="202">
        <v>1444</v>
      </c>
      <c r="L62" s="13"/>
      <c r="M62" s="13"/>
      <c r="N62" s="202">
        <v>1036</v>
      </c>
      <c r="O62" s="13"/>
      <c r="P62" s="13"/>
      <c r="Q62" s="13"/>
      <c r="R62" s="13"/>
      <c r="S62" s="321">
        <v>466</v>
      </c>
      <c r="T62" s="13"/>
      <c r="U62" s="13"/>
      <c r="V62" s="13"/>
      <c r="W62" s="13"/>
      <c r="X62" s="29">
        <v>2159</v>
      </c>
      <c r="Y62" s="7" t="s">
        <v>5</v>
      </c>
      <c r="Z62" s="58">
        <v>40</v>
      </c>
      <c r="AB62">
        <f t="shared" si="7"/>
        <v>1.4951523545706371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ht="18" customHeight="1" x14ac:dyDescent="0.2">
      <c r="A63" s="13">
        <v>2018</v>
      </c>
      <c r="B63" s="13"/>
      <c r="C63" s="13"/>
      <c r="D63" s="13"/>
      <c r="E63" s="13"/>
      <c r="F63" s="202">
        <v>2</v>
      </c>
      <c r="G63" s="13"/>
      <c r="H63" s="202">
        <v>1127</v>
      </c>
      <c r="I63" s="202">
        <v>1906</v>
      </c>
      <c r="J63" s="202">
        <v>1912</v>
      </c>
      <c r="K63" s="202">
        <v>1985</v>
      </c>
      <c r="L63" s="202">
        <v>1332</v>
      </c>
      <c r="M63" s="13"/>
      <c r="N63" s="13"/>
      <c r="O63" s="202">
        <v>1706</v>
      </c>
      <c r="P63" s="13"/>
      <c r="Q63" s="13"/>
      <c r="R63" s="13"/>
      <c r="S63" s="13"/>
      <c r="T63" s="13"/>
      <c r="U63" s="13"/>
      <c r="V63" s="13"/>
      <c r="W63" s="13"/>
      <c r="X63" s="29">
        <v>2901</v>
      </c>
      <c r="Y63" s="7" t="s">
        <v>5</v>
      </c>
      <c r="Z63" s="58">
        <v>40</v>
      </c>
      <c r="AB63">
        <f t="shared" si="7"/>
        <v>1.4614609571788413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ht="18" customHeight="1" x14ac:dyDescent="0.2">
      <c r="A64" s="13">
        <v>2019</v>
      </c>
      <c r="B64" s="13"/>
      <c r="C64" s="13"/>
      <c r="D64" s="13"/>
      <c r="E64" s="13"/>
      <c r="F64" s="109">
        <v>0</v>
      </c>
      <c r="G64" s="13"/>
      <c r="H64" s="109">
        <v>294</v>
      </c>
      <c r="I64" s="109">
        <v>480</v>
      </c>
      <c r="J64" s="338">
        <v>487</v>
      </c>
      <c r="K64" s="338">
        <v>507</v>
      </c>
      <c r="L64" s="13"/>
      <c r="M64" s="338">
        <v>556</v>
      </c>
      <c r="N64" s="338">
        <v>561</v>
      </c>
      <c r="O64" s="13"/>
      <c r="P64" s="13"/>
      <c r="Q64" s="13"/>
      <c r="R64" s="13"/>
      <c r="S64" s="13"/>
      <c r="T64" s="13"/>
      <c r="U64" s="13"/>
      <c r="V64" s="13"/>
      <c r="W64" s="13"/>
      <c r="X64" s="29">
        <v>650</v>
      </c>
      <c r="Y64" s="7" t="s">
        <v>5</v>
      </c>
      <c r="Z64" s="58">
        <v>30</v>
      </c>
      <c r="AB64">
        <f t="shared" si="7"/>
        <v>1.1586452762923352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ht="18" customHeight="1" x14ac:dyDescent="0.2">
      <c r="A65" s="13">
        <v>2020</v>
      </c>
      <c r="B65" s="13"/>
      <c r="C65" s="13"/>
      <c r="D65" s="13"/>
      <c r="E65" s="13"/>
      <c r="F65" s="13"/>
      <c r="G65" s="13"/>
      <c r="H65" s="109">
        <v>59</v>
      </c>
      <c r="I65" s="109">
        <v>334</v>
      </c>
      <c r="J65" s="109">
        <v>713</v>
      </c>
      <c r="K65" s="109">
        <v>659</v>
      </c>
      <c r="L65" s="109">
        <v>571</v>
      </c>
      <c r="M65" s="109">
        <v>786</v>
      </c>
      <c r="N65" s="89"/>
      <c r="O65" s="13"/>
      <c r="P65" s="13"/>
      <c r="Q65" s="13"/>
      <c r="R65" s="13"/>
      <c r="S65" s="13"/>
      <c r="T65" s="13"/>
      <c r="U65" s="13"/>
      <c r="V65" s="13"/>
      <c r="W65" s="13"/>
      <c r="X65" s="768">
        <v>2156</v>
      </c>
      <c r="Y65" s="7"/>
      <c r="Z65" s="58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s="150" customFormat="1" ht="18" customHeight="1" x14ac:dyDescent="0.2">
      <c r="A66" s="89">
        <v>2021</v>
      </c>
      <c r="B66" s="89"/>
      <c r="C66" s="89"/>
      <c r="D66" s="89"/>
      <c r="E66" s="89"/>
      <c r="F66" s="89"/>
      <c r="G66" s="89">
        <v>100</v>
      </c>
      <c r="H66" s="109">
        <v>255</v>
      </c>
      <c r="I66" s="109">
        <v>456</v>
      </c>
      <c r="J66" s="89"/>
      <c r="K66" s="846">
        <v>667</v>
      </c>
      <c r="L66" s="89"/>
      <c r="M66" s="109">
        <v>1689</v>
      </c>
      <c r="N66" s="89"/>
      <c r="O66" s="89"/>
      <c r="P66" s="89"/>
      <c r="Q66" s="736">
        <v>1120</v>
      </c>
      <c r="R66" s="89"/>
      <c r="S66" s="89"/>
      <c r="T66" s="89"/>
      <c r="U66" s="89"/>
      <c r="V66" s="89"/>
      <c r="W66" s="89"/>
      <c r="X66" s="21">
        <v>4381</v>
      </c>
      <c r="Y66" s="11" t="s">
        <v>5</v>
      </c>
      <c r="Z66" s="92"/>
      <c r="AB66">
        <f>X66/MAX(B66:W66)</f>
        <v>2.5938425103611604</v>
      </c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</row>
    <row r="67" spans="1:47" s="150" customFormat="1" ht="18" customHeight="1" x14ac:dyDescent="0.2">
      <c r="A67" s="89">
        <v>2022</v>
      </c>
      <c r="B67" s="89"/>
      <c r="C67" s="89"/>
      <c r="D67" s="89"/>
      <c r="E67" s="89"/>
      <c r="F67" s="109">
        <v>1</v>
      </c>
      <c r="G67" s="89"/>
      <c r="H67" s="109">
        <v>402</v>
      </c>
      <c r="I67" s="109">
        <v>907</v>
      </c>
      <c r="J67" s="89"/>
      <c r="K67" s="600">
        <v>470</v>
      </c>
      <c r="L67" s="89"/>
      <c r="M67" s="590">
        <v>2876</v>
      </c>
      <c r="N67" s="89"/>
      <c r="O67" s="590">
        <v>1220</v>
      </c>
      <c r="P67" s="155">
        <v>922</v>
      </c>
      <c r="Q67" s="736"/>
      <c r="R67" s="89"/>
      <c r="S67" s="89"/>
      <c r="T67" s="89"/>
      <c r="U67" s="89"/>
      <c r="V67" s="89"/>
      <c r="W67" s="89"/>
      <c r="X67" s="21"/>
      <c r="Y67" s="11"/>
      <c r="Z67" s="92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</row>
    <row r="68" spans="1:47" s="150" customFormat="1" ht="18" customHeight="1" x14ac:dyDescent="0.2">
      <c r="A68" s="89">
        <v>2023</v>
      </c>
      <c r="B68" s="89"/>
      <c r="C68" s="89"/>
      <c r="D68" s="89"/>
      <c r="E68" s="109">
        <v>0</v>
      </c>
      <c r="F68" s="89"/>
      <c r="G68" s="89"/>
      <c r="H68" s="109">
        <v>2</v>
      </c>
      <c r="I68" s="109">
        <v>313</v>
      </c>
      <c r="J68" s="89"/>
      <c r="K68" s="155">
        <v>777</v>
      </c>
      <c r="L68" s="89"/>
      <c r="M68" s="89"/>
      <c r="N68" s="89"/>
      <c r="O68" s="316">
        <v>533</v>
      </c>
      <c r="P68" s="89"/>
      <c r="Q68" s="89"/>
      <c r="R68" s="89"/>
      <c r="S68" s="89"/>
      <c r="T68" s="89"/>
      <c r="U68" s="89"/>
      <c r="V68" s="89"/>
      <c r="W68" s="89"/>
      <c r="X68" s="21"/>
      <c r="Y68" s="11"/>
      <c r="Z68" s="92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</row>
    <row r="69" spans="1:47" ht="18" customHeight="1" x14ac:dyDescent="0.2">
      <c r="A69" s="64" t="s">
        <v>17</v>
      </c>
      <c r="B69" s="16"/>
      <c r="C69" s="16">
        <f>AVERAGE(C40:C54)</f>
        <v>0</v>
      </c>
      <c r="D69" s="16">
        <f t="shared" ref="D69:U69" si="11">AVERAGE(D40:D54)</f>
        <v>1</v>
      </c>
      <c r="E69" s="16">
        <f t="shared" si="11"/>
        <v>2</v>
      </c>
      <c r="F69" s="16">
        <f t="shared" si="11"/>
        <v>49</v>
      </c>
      <c r="G69" s="16">
        <f t="shared" si="11"/>
        <v>248.75</v>
      </c>
      <c r="H69" s="16">
        <f t="shared" si="11"/>
        <v>208.66666666666666</v>
      </c>
      <c r="I69" s="16">
        <f t="shared" si="11"/>
        <v>536.81818181818187</v>
      </c>
      <c r="J69" s="16">
        <f t="shared" si="11"/>
        <v>637.5</v>
      </c>
      <c r="K69" s="16">
        <f t="shared" si="11"/>
        <v>1032.25</v>
      </c>
      <c r="L69" s="16">
        <f t="shared" si="11"/>
        <v>942.42857142857144</v>
      </c>
      <c r="M69" s="16">
        <f t="shared" si="11"/>
        <v>1085</v>
      </c>
      <c r="N69" s="16">
        <f t="shared" si="11"/>
        <v>1133.3333333333333</v>
      </c>
      <c r="O69" s="16">
        <f t="shared" si="11"/>
        <v>1425.75</v>
      </c>
      <c r="P69" s="16">
        <f t="shared" si="11"/>
        <v>615.20000000000005</v>
      </c>
      <c r="Q69" s="16">
        <f t="shared" si="11"/>
        <v>838.75</v>
      </c>
      <c r="R69" s="16">
        <f t="shared" si="11"/>
        <v>591.6</v>
      </c>
      <c r="S69" s="16">
        <f t="shared" si="11"/>
        <v>658.75</v>
      </c>
      <c r="T69" s="16"/>
      <c r="U69" s="16">
        <f t="shared" si="11"/>
        <v>472</v>
      </c>
      <c r="V69" s="16"/>
      <c r="W69" s="16"/>
      <c r="X69" s="16">
        <f>AVERAGE(X40:X62)</f>
        <v>2215.7391304347825</v>
      </c>
      <c r="Y69" s="17"/>
      <c r="Z69" s="16">
        <f>AVERAGE(Z40:Z60)</f>
        <v>39.725000000000001</v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ht="18" customHeight="1" x14ac:dyDescent="0.2">
      <c r="A71" s="1002" t="s">
        <v>630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ht="18" customHeight="1" thickTop="1" thickBot="1" x14ac:dyDescent="0.25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ht="18" customHeight="1" x14ac:dyDescent="0.25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A74" s="2" t="s">
        <v>398</v>
      </c>
      <c r="AB74" t="s">
        <v>142</v>
      </c>
      <c r="AC74"/>
      <c r="AD74"/>
      <c r="AE74"/>
      <c r="AF74"/>
      <c r="AG74" s="269" t="s">
        <v>117</v>
      </c>
      <c r="AH74" s="270" t="s">
        <v>118</v>
      </c>
      <c r="AI74" s="271" t="s">
        <v>119</v>
      </c>
      <c r="AJ74" s="272"/>
      <c r="AK74" s="271" t="s">
        <v>120</v>
      </c>
      <c r="AL74" s="271"/>
      <c r="AM74" s="272"/>
      <c r="AN74" s="273" t="s">
        <v>121</v>
      </c>
      <c r="AO74" s="272"/>
      <c r="AP74" s="274" t="s">
        <v>122</v>
      </c>
      <c r="AQ74"/>
      <c r="AR74"/>
      <c r="AS74"/>
      <c r="AT74"/>
      <c r="AU74"/>
    </row>
    <row r="75" spans="1:47" ht="18" customHeight="1" x14ac:dyDescent="0.2">
      <c r="A75" s="1">
        <v>1995</v>
      </c>
      <c r="B75" s="6"/>
      <c r="C75" s="6"/>
      <c r="D75" s="6"/>
      <c r="E75" s="6"/>
      <c r="F75" s="6"/>
      <c r="G75" s="6"/>
      <c r="H75" s="6"/>
      <c r="I75" s="6">
        <v>3</v>
      </c>
      <c r="J75" s="6">
        <v>160</v>
      </c>
      <c r="K75" s="6">
        <v>551</v>
      </c>
      <c r="L75" s="6">
        <v>1859</v>
      </c>
      <c r="M75" s="6"/>
      <c r="N75" s="6"/>
      <c r="O75" s="6">
        <v>1408</v>
      </c>
      <c r="P75" s="6"/>
      <c r="Q75" s="6"/>
      <c r="R75" s="6"/>
      <c r="S75" s="6"/>
      <c r="T75" s="13"/>
      <c r="U75" s="13"/>
      <c r="V75" s="13"/>
      <c r="W75" s="13"/>
      <c r="X75" s="7">
        <v>2005</v>
      </c>
      <c r="Y75" s="7" t="s">
        <v>5</v>
      </c>
      <c r="Z75" s="10">
        <v>15</v>
      </c>
      <c r="AA75" s="2">
        <f>MAX(B75:W75)</f>
        <v>1859</v>
      </c>
      <c r="AB75">
        <f>X75/MAX(B75:W75)</f>
        <v>1.0785368477676169</v>
      </c>
      <c r="AC75"/>
      <c r="AD75"/>
      <c r="AE75"/>
      <c r="AF75"/>
      <c r="AG75" s="275" t="s">
        <v>35</v>
      </c>
      <c r="AH75" s="830"/>
      <c r="AI75" s="830" t="s">
        <v>146</v>
      </c>
      <c r="AJ75" s="262"/>
      <c r="AK75" s="163" t="s">
        <v>148</v>
      </c>
      <c r="AL75" s="163" t="s">
        <v>147</v>
      </c>
      <c r="AM75" s="262"/>
      <c r="AN75" s="164"/>
      <c r="AO75" s="262"/>
      <c r="AP75" s="276"/>
      <c r="AQ75"/>
      <c r="AR75"/>
      <c r="AS75"/>
      <c r="AT75"/>
      <c r="AU75"/>
    </row>
    <row r="76" spans="1:47" ht="18" customHeight="1" x14ac:dyDescent="0.2">
      <c r="A76" s="1">
        <v>1996</v>
      </c>
      <c r="B76" s="6"/>
      <c r="C76" s="6"/>
      <c r="D76" s="6"/>
      <c r="E76" s="6">
        <v>5</v>
      </c>
      <c r="F76" s="6">
        <v>2</v>
      </c>
      <c r="G76" s="6"/>
      <c r="H76" s="6">
        <v>21</v>
      </c>
      <c r="I76" s="6">
        <v>51</v>
      </c>
      <c r="J76" s="6">
        <v>0</v>
      </c>
      <c r="K76" s="359">
        <v>872</v>
      </c>
      <c r="L76" s="359"/>
      <c r="M76" s="359"/>
      <c r="N76" s="359">
        <v>2841</v>
      </c>
      <c r="O76" s="359"/>
      <c r="P76" s="359">
        <v>96</v>
      </c>
      <c r="Q76" s="6"/>
      <c r="R76" s="6"/>
      <c r="S76" s="6">
        <v>3</v>
      </c>
      <c r="T76" s="13"/>
      <c r="U76" s="13"/>
      <c r="V76" s="13"/>
      <c r="W76" s="13"/>
      <c r="X76" s="7">
        <v>3538</v>
      </c>
      <c r="Y76" s="7" t="s">
        <v>5</v>
      </c>
      <c r="Z76" s="10">
        <v>20</v>
      </c>
      <c r="AA76" s="2">
        <f t="shared" ref="AA76:AA97" si="12">MAX(B76:W76)</f>
        <v>2841</v>
      </c>
      <c r="AB76">
        <f t="shared" ref="AB76:AB97" si="13">X76/MAX(B76:W76)</f>
        <v>1.2453361492432242</v>
      </c>
      <c r="AC76"/>
      <c r="AD76"/>
      <c r="AE76"/>
      <c r="AF76"/>
      <c r="AG76" s="275" t="s">
        <v>127</v>
      </c>
      <c r="AH76" s="229">
        <v>44440</v>
      </c>
      <c r="AI76" s="167"/>
      <c r="AJ76" s="262"/>
      <c r="AK76" s="262"/>
      <c r="AL76" s="263">
        <v>0</v>
      </c>
      <c r="AM76" s="262"/>
      <c r="AN76" s="262"/>
      <c r="AO76" s="262"/>
      <c r="AP76" s="277"/>
      <c r="AQ76"/>
      <c r="AR76"/>
      <c r="AS76"/>
      <c r="AT76"/>
      <c r="AU76"/>
    </row>
    <row r="77" spans="1:47" ht="18" customHeight="1" x14ac:dyDescent="0.2">
      <c r="A77" s="1">
        <v>1997</v>
      </c>
      <c r="B77" s="6"/>
      <c r="C77" s="6"/>
      <c r="D77" s="6">
        <v>7</v>
      </c>
      <c r="E77" s="6"/>
      <c r="F77" s="6"/>
      <c r="G77" s="6">
        <v>0</v>
      </c>
      <c r="H77" s="6">
        <v>0</v>
      </c>
      <c r="I77" s="6">
        <v>3</v>
      </c>
      <c r="J77" s="6"/>
      <c r="K77" s="359">
        <v>502</v>
      </c>
      <c r="L77" s="359"/>
      <c r="M77" s="359">
        <v>2240</v>
      </c>
      <c r="N77" s="359">
        <v>165</v>
      </c>
      <c r="O77" s="359"/>
      <c r="P77" s="359">
        <v>885</v>
      </c>
      <c r="Q77" s="6"/>
      <c r="R77" s="6"/>
      <c r="S77" s="6"/>
      <c r="T77" s="13"/>
      <c r="U77" s="13"/>
      <c r="V77" s="13"/>
      <c r="W77" s="13"/>
      <c r="X77" s="7">
        <v>3193</v>
      </c>
      <c r="Y77" s="7" t="s">
        <v>5</v>
      </c>
      <c r="Z77" s="10">
        <v>25</v>
      </c>
      <c r="AA77" s="2">
        <f t="shared" si="12"/>
        <v>2240</v>
      </c>
      <c r="AB77">
        <f t="shared" si="13"/>
        <v>1.4254464285714286</v>
      </c>
      <c r="AC77"/>
      <c r="AD77"/>
      <c r="AE77"/>
      <c r="AF77"/>
      <c r="AG77" s="275"/>
      <c r="AH77" s="229">
        <v>44447</v>
      </c>
      <c r="AI77" s="263">
        <v>0</v>
      </c>
      <c r="AJ77" s="262"/>
      <c r="AK77" s="264">
        <v>0.9</v>
      </c>
      <c r="AL77" s="265">
        <f t="shared" ref="AL77:AL84" si="14">AI77/AK77</f>
        <v>0</v>
      </c>
      <c r="AM77" s="262"/>
      <c r="AN77" s="265">
        <f>(AH77-AH76)*(AI77+AI76)</f>
        <v>0</v>
      </c>
      <c r="AO77" s="262"/>
      <c r="AP77" s="278">
        <f>(AH77-AH76)*(AL77+AL76)</f>
        <v>0</v>
      </c>
      <c r="AQ77"/>
      <c r="AR77"/>
      <c r="AS77"/>
      <c r="AT77"/>
      <c r="AU77"/>
    </row>
    <row r="78" spans="1:47" ht="18" customHeight="1" x14ac:dyDescent="0.2">
      <c r="A78" s="1">
        <v>1998</v>
      </c>
      <c r="B78" s="6"/>
      <c r="C78" s="6">
        <v>16</v>
      </c>
      <c r="D78" s="6"/>
      <c r="E78" s="6"/>
      <c r="F78" s="6"/>
      <c r="G78" s="6">
        <v>0</v>
      </c>
      <c r="H78" s="6"/>
      <c r="I78" s="6">
        <v>24</v>
      </c>
      <c r="J78" s="6">
        <v>60</v>
      </c>
      <c r="K78" s="359">
        <v>2073</v>
      </c>
      <c r="L78" s="359">
        <v>9919</v>
      </c>
      <c r="M78" s="359">
        <v>5300</v>
      </c>
      <c r="N78" s="359">
        <v>7788</v>
      </c>
      <c r="O78" s="359">
        <v>10202</v>
      </c>
      <c r="P78" s="359"/>
      <c r="Q78" s="6">
        <v>580</v>
      </c>
      <c r="R78" s="6"/>
      <c r="S78" s="6">
        <v>15</v>
      </c>
      <c r="T78" s="13"/>
      <c r="U78" s="13"/>
      <c r="V78" s="13"/>
      <c r="W78" s="13"/>
      <c r="X78" s="7">
        <v>25940</v>
      </c>
      <c r="Y78" s="7" t="s">
        <v>5</v>
      </c>
      <c r="Z78" s="10">
        <v>15</v>
      </c>
      <c r="AA78" s="2">
        <f t="shared" si="12"/>
        <v>10202</v>
      </c>
      <c r="AB78">
        <f t="shared" si="13"/>
        <v>2.5426386982944522</v>
      </c>
      <c r="AC78"/>
      <c r="AD78"/>
      <c r="AE78"/>
      <c r="AF78"/>
      <c r="AG78" s="275"/>
      <c r="AH78" s="229">
        <v>44454</v>
      </c>
      <c r="AI78" s="263">
        <v>8</v>
      </c>
      <c r="AJ78" s="262"/>
      <c r="AK78" s="264">
        <v>0.9</v>
      </c>
      <c r="AL78" s="265">
        <f t="shared" si="14"/>
        <v>8.8888888888888893</v>
      </c>
      <c r="AM78" s="262"/>
      <c r="AN78" s="265">
        <f t="shared" ref="AN78:AN86" si="15">(AH78-AH77)*(AI78+AI77)</f>
        <v>56</v>
      </c>
      <c r="AO78" s="262"/>
      <c r="AP78" s="278">
        <f t="shared" ref="AP78:AP86" si="16">(AH78-AH77)*(AL78+AL77)</f>
        <v>62.222222222222229</v>
      </c>
      <c r="AQ78"/>
      <c r="AR78"/>
      <c r="AS78"/>
      <c r="AT78"/>
      <c r="AU78"/>
    </row>
    <row r="79" spans="1:47" ht="18" customHeight="1" x14ac:dyDescent="0.2">
      <c r="A79" s="1">
        <v>1999</v>
      </c>
      <c r="B79" s="6"/>
      <c r="C79" s="6"/>
      <c r="D79" s="6"/>
      <c r="E79" s="6"/>
      <c r="F79" s="6"/>
      <c r="G79" s="6"/>
      <c r="H79" s="6">
        <v>12</v>
      </c>
      <c r="I79" s="6">
        <v>29</v>
      </c>
      <c r="J79" s="6">
        <v>305</v>
      </c>
      <c r="K79" s="359"/>
      <c r="L79" s="359">
        <v>2373</v>
      </c>
      <c r="M79" s="359">
        <v>5920</v>
      </c>
      <c r="N79" s="359"/>
      <c r="O79" s="359">
        <v>6499</v>
      </c>
      <c r="P79" s="359">
        <v>3613</v>
      </c>
      <c r="Q79" s="6"/>
      <c r="R79" s="6">
        <v>8</v>
      </c>
      <c r="S79" s="6"/>
      <c r="T79" s="13"/>
      <c r="U79" s="13"/>
      <c r="V79" s="13"/>
      <c r="W79" s="13"/>
      <c r="X79" s="9">
        <v>19544</v>
      </c>
      <c r="Y79" s="7" t="s">
        <v>5</v>
      </c>
      <c r="Z79" s="60">
        <v>12.5</v>
      </c>
      <c r="AA79" s="2">
        <f t="shared" si="12"/>
        <v>6499</v>
      </c>
      <c r="AB79">
        <f t="shared" si="13"/>
        <v>3.0072318818279737</v>
      </c>
      <c r="AC79"/>
      <c r="AD79"/>
      <c r="AE79"/>
      <c r="AF79"/>
      <c r="AG79" s="279"/>
      <c r="AH79" s="229">
        <v>44462</v>
      </c>
      <c r="AI79" s="263">
        <v>74</v>
      </c>
      <c r="AJ79" s="262"/>
      <c r="AK79" s="264">
        <v>0.9</v>
      </c>
      <c r="AL79" s="265">
        <f t="shared" si="14"/>
        <v>82.222222222222214</v>
      </c>
      <c r="AM79" s="262"/>
      <c r="AN79" s="265">
        <f t="shared" si="15"/>
        <v>656</v>
      </c>
      <c r="AO79" s="262"/>
      <c r="AP79" s="278">
        <f t="shared" si="16"/>
        <v>728.8888888888888</v>
      </c>
      <c r="AQ79"/>
      <c r="AR79"/>
      <c r="AS79"/>
      <c r="AT79"/>
      <c r="AU79"/>
    </row>
    <row r="80" spans="1:47" ht="18" customHeight="1" x14ac:dyDescent="0.2">
      <c r="A80" s="1">
        <v>2000</v>
      </c>
      <c r="B80" s="6"/>
      <c r="C80" s="6"/>
      <c r="D80" s="6"/>
      <c r="E80" s="6"/>
      <c r="F80" s="6"/>
      <c r="G80" s="6"/>
      <c r="H80" s="6">
        <v>60</v>
      </c>
      <c r="I80" s="6">
        <v>63</v>
      </c>
      <c r="J80" s="6">
        <v>90</v>
      </c>
      <c r="K80" s="359"/>
      <c r="L80" s="359">
        <v>227</v>
      </c>
      <c r="M80" s="359"/>
      <c r="N80" s="359"/>
      <c r="O80" s="359"/>
      <c r="P80" s="359">
        <v>281</v>
      </c>
      <c r="Q80" s="6">
        <v>168</v>
      </c>
      <c r="R80" s="6"/>
      <c r="S80" s="6"/>
      <c r="T80" s="13"/>
      <c r="U80" s="13">
        <v>0</v>
      </c>
      <c r="V80" s="13"/>
      <c r="W80" s="13"/>
      <c r="X80" s="10">
        <v>1447</v>
      </c>
      <c r="Y80" s="7" t="s">
        <v>5</v>
      </c>
      <c r="Z80" s="60">
        <v>15</v>
      </c>
      <c r="AA80" s="2">
        <f t="shared" si="12"/>
        <v>281</v>
      </c>
      <c r="AB80">
        <f t="shared" si="13"/>
        <v>5.1494661921708182</v>
      </c>
      <c r="AC80"/>
      <c r="AD80"/>
      <c r="AE80"/>
      <c r="AF80"/>
      <c r="AG80" s="280"/>
      <c r="AH80" s="229">
        <v>44475</v>
      </c>
      <c r="AI80" s="263">
        <v>343</v>
      </c>
      <c r="AJ80" s="262"/>
      <c r="AK80" s="264">
        <v>0.8</v>
      </c>
      <c r="AL80" s="265">
        <f t="shared" si="14"/>
        <v>428.75</v>
      </c>
      <c r="AM80" s="262"/>
      <c r="AN80" s="265">
        <f t="shared" si="15"/>
        <v>5421</v>
      </c>
      <c r="AO80" s="262"/>
      <c r="AP80" s="278">
        <f t="shared" si="16"/>
        <v>6642.6388888888887</v>
      </c>
      <c r="AQ80"/>
      <c r="AR80"/>
      <c r="AS80"/>
      <c r="AT80"/>
      <c r="AU80"/>
    </row>
    <row r="81" spans="1:47" ht="18" customHeight="1" x14ac:dyDescent="0.2">
      <c r="A81" s="1">
        <v>2001</v>
      </c>
      <c r="B81" s="6"/>
      <c r="C81" s="6"/>
      <c r="D81" s="6"/>
      <c r="E81" s="6"/>
      <c r="F81" s="6"/>
      <c r="G81" s="6"/>
      <c r="H81" s="6">
        <v>2</v>
      </c>
      <c r="I81" s="6"/>
      <c r="J81" s="6">
        <v>445</v>
      </c>
      <c r="K81" s="359"/>
      <c r="L81" s="359">
        <v>430</v>
      </c>
      <c r="M81" s="359"/>
      <c r="N81" s="359"/>
      <c r="O81" s="359"/>
      <c r="P81" s="359"/>
      <c r="Q81" s="6"/>
      <c r="R81" s="6">
        <v>28</v>
      </c>
      <c r="S81" s="6"/>
      <c r="T81" s="13"/>
      <c r="U81" s="13"/>
      <c r="V81" s="13"/>
      <c r="W81" s="13"/>
      <c r="X81" s="7">
        <v>891</v>
      </c>
      <c r="Y81" s="7" t="s">
        <v>5</v>
      </c>
      <c r="Z81" s="60">
        <v>10</v>
      </c>
      <c r="AA81" s="2">
        <f t="shared" si="12"/>
        <v>445</v>
      </c>
      <c r="AB81">
        <f t="shared" si="13"/>
        <v>2.0022471910112358</v>
      </c>
      <c r="AC81"/>
      <c r="AD81"/>
      <c r="AE81"/>
      <c r="AF81"/>
      <c r="AG81" s="280"/>
      <c r="AH81" s="229">
        <v>44487</v>
      </c>
      <c r="AI81" s="263">
        <v>1039</v>
      </c>
      <c r="AJ81" s="262"/>
      <c r="AK81" s="264">
        <v>0.9</v>
      </c>
      <c r="AL81" s="265">
        <f t="shared" si="14"/>
        <v>1154.4444444444443</v>
      </c>
      <c r="AM81" s="262"/>
      <c r="AN81" s="265">
        <f t="shared" si="15"/>
        <v>16584</v>
      </c>
      <c r="AO81" s="262"/>
      <c r="AP81" s="278">
        <f t="shared" si="16"/>
        <v>18998.333333333332</v>
      </c>
      <c r="AQ81"/>
      <c r="AR81"/>
      <c r="AS81"/>
      <c r="AT81"/>
      <c r="AU81"/>
    </row>
    <row r="82" spans="1:47" ht="18" customHeight="1" x14ac:dyDescent="0.2">
      <c r="A82" s="1">
        <v>2002</v>
      </c>
      <c r="B82" s="6"/>
      <c r="C82" s="6"/>
      <c r="D82" s="6"/>
      <c r="E82" s="6"/>
      <c r="F82" s="6"/>
      <c r="G82" s="6"/>
      <c r="H82" s="6">
        <v>7</v>
      </c>
      <c r="I82" s="6"/>
      <c r="J82" s="6">
        <v>118</v>
      </c>
      <c r="K82" s="359"/>
      <c r="L82" s="359"/>
      <c r="M82" s="359"/>
      <c r="N82" s="359">
        <v>1935</v>
      </c>
      <c r="O82" s="359"/>
      <c r="P82" s="359"/>
      <c r="Q82" s="6"/>
      <c r="R82" s="6">
        <v>25</v>
      </c>
      <c r="S82" s="6">
        <v>113</v>
      </c>
      <c r="T82" s="13"/>
      <c r="U82" s="13"/>
      <c r="V82" s="13"/>
      <c r="W82" s="13"/>
      <c r="X82" s="7">
        <v>2813</v>
      </c>
      <c r="Y82" s="7" t="s">
        <v>5</v>
      </c>
      <c r="Z82" s="60">
        <v>25</v>
      </c>
      <c r="AA82" s="2">
        <f t="shared" si="12"/>
        <v>1935</v>
      </c>
      <c r="AB82">
        <f t="shared" si="13"/>
        <v>1.4537467700258397</v>
      </c>
      <c r="AC82"/>
      <c r="AD82"/>
      <c r="AE82"/>
      <c r="AF82"/>
      <c r="AG82" s="280"/>
      <c r="AH82" s="229">
        <v>44517</v>
      </c>
      <c r="AI82" s="263">
        <v>15</v>
      </c>
      <c r="AJ82" s="262"/>
      <c r="AK82" s="264">
        <v>0.9</v>
      </c>
      <c r="AL82" s="265">
        <f t="shared" si="14"/>
        <v>16.666666666666668</v>
      </c>
      <c r="AM82" s="262"/>
      <c r="AN82" s="265">
        <f t="shared" si="15"/>
        <v>31620</v>
      </c>
      <c r="AO82" s="262"/>
      <c r="AP82" s="278">
        <f t="shared" si="16"/>
        <v>35133.333333333336</v>
      </c>
      <c r="AQ82"/>
      <c r="AR82"/>
      <c r="AS82"/>
      <c r="AT82"/>
      <c r="AU82"/>
    </row>
    <row r="83" spans="1:47" ht="18" customHeight="1" x14ac:dyDescent="0.2">
      <c r="A83" s="1">
        <v>2003</v>
      </c>
      <c r="B83" s="6"/>
      <c r="C83" s="6"/>
      <c r="D83" s="6"/>
      <c r="E83" s="6"/>
      <c r="F83" s="6"/>
      <c r="G83" s="6"/>
      <c r="H83" s="6"/>
      <c r="I83" s="6">
        <v>721</v>
      </c>
      <c r="J83" s="6">
        <v>660</v>
      </c>
      <c r="K83" s="359">
        <v>637</v>
      </c>
      <c r="L83" s="359"/>
      <c r="M83" s="359"/>
      <c r="N83" s="359">
        <v>6004</v>
      </c>
      <c r="O83" s="359">
        <v>3852</v>
      </c>
      <c r="P83" s="359"/>
      <c r="Q83" s="6"/>
      <c r="R83" s="6"/>
      <c r="S83" s="6"/>
      <c r="T83" s="13"/>
      <c r="U83" s="13"/>
      <c r="V83" s="13"/>
      <c r="W83" s="13"/>
      <c r="X83" s="7">
        <v>10309</v>
      </c>
      <c r="Y83" s="7" t="s">
        <v>5</v>
      </c>
      <c r="Z83" s="60">
        <v>14</v>
      </c>
      <c r="AA83" s="2">
        <f t="shared" si="12"/>
        <v>6004</v>
      </c>
      <c r="AB83">
        <f t="shared" si="13"/>
        <v>1.7170219853431046</v>
      </c>
      <c r="AC83"/>
      <c r="AD83"/>
      <c r="AE83"/>
      <c r="AF83"/>
      <c r="AG83" s="280"/>
      <c r="AH83" s="229">
        <v>44518</v>
      </c>
      <c r="AI83" s="263">
        <v>0</v>
      </c>
      <c r="AJ83" s="262"/>
      <c r="AK83" s="264">
        <v>0.9</v>
      </c>
      <c r="AL83" s="265">
        <f t="shared" si="14"/>
        <v>0</v>
      </c>
      <c r="AM83" s="262"/>
      <c r="AN83" s="265">
        <f t="shared" si="15"/>
        <v>15</v>
      </c>
      <c r="AO83" s="262"/>
      <c r="AP83" s="278">
        <f t="shared" si="16"/>
        <v>16.666666666666668</v>
      </c>
      <c r="AQ83"/>
      <c r="AR83"/>
      <c r="AS83"/>
      <c r="AT83"/>
      <c r="AU83"/>
    </row>
    <row r="84" spans="1:47" ht="18" customHeight="1" x14ac:dyDescent="0.2">
      <c r="A84" s="1">
        <v>2004</v>
      </c>
      <c r="B84" s="6"/>
      <c r="C84" s="6"/>
      <c r="D84" s="6"/>
      <c r="E84" s="6"/>
      <c r="F84" s="6"/>
      <c r="G84" s="6"/>
      <c r="H84" s="6">
        <v>150</v>
      </c>
      <c r="I84" s="6">
        <v>986</v>
      </c>
      <c r="J84" s="6"/>
      <c r="K84" s="359"/>
      <c r="L84" s="359">
        <v>2705</v>
      </c>
      <c r="M84" s="359"/>
      <c r="N84" s="359">
        <v>5076</v>
      </c>
      <c r="O84" s="359"/>
      <c r="P84" s="359"/>
      <c r="Q84" s="6"/>
      <c r="R84" s="6">
        <v>37</v>
      </c>
      <c r="S84" s="6"/>
      <c r="T84" s="13"/>
      <c r="U84" s="13"/>
      <c r="V84" s="13"/>
      <c r="W84" s="13"/>
      <c r="X84" s="7">
        <v>7824</v>
      </c>
      <c r="Y84" s="7" t="s">
        <v>5</v>
      </c>
      <c r="Z84" s="60">
        <v>26</v>
      </c>
      <c r="AA84" s="2">
        <f t="shared" si="12"/>
        <v>5076</v>
      </c>
      <c r="AB84">
        <f t="shared" si="13"/>
        <v>1.541371158392435</v>
      </c>
      <c r="AC84"/>
      <c r="AD84"/>
      <c r="AE84"/>
      <c r="AF84"/>
      <c r="AG84" s="280"/>
      <c r="AH84" s="229">
        <v>44519</v>
      </c>
      <c r="AI84" s="263">
        <v>0</v>
      </c>
      <c r="AJ84" s="262"/>
      <c r="AK84" s="264">
        <v>0.9</v>
      </c>
      <c r="AL84" s="265">
        <f t="shared" si="14"/>
        <v>0</v>
      </c>
      <c r="AM84" s="262"/>
      <c r="AN84" s="265">
        <f t="shared" si="15"/>
        <v>0</v>
      </c>
      <c r="AO84" s="262"/>
      <c r="AP84" s="278">
        <f t="shared" si="16"/>
        <v>0</v>
      </c>
      <c r="AQ84"/>
      <c r="AR84"/>
      <c r="AS84"/>
      <c r="AT84"/>
      <c r="AU84"/>
    </row>
    <row r="85" spans="1:47" ht="18" customHeight="1" x14ac:dyDescent="0.2">
      <c r="A85" s="1">
        <v>2005</v>
      </c>
      <c r="B85" s="6"/>
      <c r="C85" s="6"/>
      <c r="D85" s="6"/>
      <c r="E85" s="6"/>
      <c r="F85" s="6"/>
      <c r="G85" s="6"/>
      <c r="H85" s="6">
        <v>35</v>
      </c>
      <c r="I85" s="6"/>
      <c r="J85" s="6"/>
      <c r="K85" s="359">
        <v>1732</v>
      </c>
      <c r="L85" s="359"/>
      <c r="M85" s="359"/>
      <c r="N85" s="359"/>
      <c r="O85" s="359"/>
      <c r="P85" s="359">
        <v>5228</v>
      </c>
      <c r="Q85" s="6"/>
      <c r="R85" s="6"/>
      <c r="S85" s="6"/>
      <c r="T85" s="13"/>
      <c r="U85" s="13"/>
      <c r="V85" s="13"/>
      <c r="W85" s="13"/>
      <c r="X85" s="11">
        <v>11514</v>
      </c>
      <c r="Y85" s="7" t="s">
        <v>5</v>
      </c>
      <c r="Z85" s="60">
        <v>20</v>
      </c>
      <c r="AA85" s="2">
        <f t="shared" si="12"/>
        <v>5228</v>
      </c>
      <c r="AB85">
        <f t="shared" si="13"/>
        <v>2.2023718439173678</v>
      </c>
      <c r="AC85"/>
      <c r="AD85"/>
      <c r="AE85"/>
      <c r="AF85"/>
      <c r="AG85" s="290"/>
      <c r="AH85" s="229">
        <v>44520</v>
      </c>
      <c r="AI85" s="55"/>
      <c r="AJ85" s="55"/>
      <c r="AK85" s="55"/>
      <c r="AL85" s="263">
        <v>0</v>
      </c>
      <c r="AM85" s="55"/>
      <c r="AN85" s="265">
        <f t="shared" si="15"/>
        <v>0</v>
      </c>
      <c r="AO85" s="262"/>
      <c r="AP85" s="278">
        <f t="shared" si="16"/>
        <v>0</v>
      </c>
      <c r="AQ85"/>
      <c r="AR85"/>
      <c r="AS85"/>
      <c r="AT85"/>
      <c r="AU85"/>
    </row>
    <row r="86" spans="1:47" ht="18" customHeight="1" x14ac:dyDescent="0.2">
      <c r="A86" s="1">
        <v>2006</v>
      </c>
      <c r="B86" s="6"/>
      <c r="C86" s="6"/>
      <c r="D86" s="6"/>
      <c r="E86" s="6"/>
      <c r="F86" s="6"/>
      <c r="G86" s="6"/>
      <c r="H86" s="6"/>
      <c r="I86" s="6">
        <v>32</v>
      </c>
      <c r="J86" s="6"/>
      <c r="K86" s="359"/>
      <c r="L86" s="359">
        <v>6560</v>
      </c>
      <c r="M86" s="359"/>
      <c r="N86" s="359"/>
      <c r="O86" s="359"/>
      <c r="P86" s="359"/>
      <c r="Q86" s="6"/>
      <c r="R86" s="6">
        <v>0</v>
      </c>
      <c r="S86" s="6"/>
      <c r="T86" s="13"/>
      <c r="U86" s="13"/>
      <c r="V86" s="13"/>
      <c r="W86" s="13"/>
      <c r="X86" s="12">
        <v>6588</v>
      </c>
      <c r="Y86" s="7" t="s">
        <v>9</v>
      </c>
      <c r="Z86" s="60"/>
      <c r="AA86" s="2">
        <f t="shared" si="12"/>
        <v>6560</v>
      </c>
      <c r="AB86">
        <f t="shared" si="13"/>
        <v>1.0042682926829267</v>
      </c>
      <c r="AC86"/>
      <c r="AD86"/>
      <c r="AE86"/>
      <c r="AF86"/>
      <c r="AG86" s="275" t="s">
        <v>128</v>
      </c>
      <c r="AH86" s="229"/>
      <c r="AI86" s="176"/>
      <c r="AJ86" s="262"/>
      <c r="AK86" s="177"/>
      <c r="AL86" s="178">
        <v>0</v>
      </c>
      <c r="AM86" s="179"/>
      <c r="AN86" s="265">
        <f t="shared" si="15"/>
        <v>0</v>
      </c>
      <c r="AO86" s="262"/>
      <c r="AP86" s="278">
        <f t="shared" si="16"/>
        <v>0</v>
      </c>
      <c r="AQ86"/>
      <c r="AR86"/>
      <c r="AS86"/>
      <c r="AT86"/>
      <c r="AU86"/>
    </row>
    <row r="87" spans="1:47" ht="18" customHeight="1" x14ac:dyDescent="0.2">
      <c r="A87" s="1">
        <v>2007</v>
      </c>
      <c r="B87" s="6"/>
      <c r="C87" s="6"/>
      <c r="D87" s="6"/>
      <c r="E87" s="6"/>
      <c r="F87" s="6"/>
      <c r="G87" s="6"/>
      <c r="H87" s="6">
        <v>5</v>
      </c>
      <c r="I87" s="6">
        <v>26</v>
      </c>
      <c r="J87" s="6"/>
      <c r="K87" s="359"/>
      <c r="L87" s="359"/>
      <c r="M87" s="359">
        <v>9033</v>
      </c>
      <c r="N87" s="359"/>
      <c r="O87" s="359"/>
      <c r="P87" s="359"/>
      <c r="Q87" s="6">
        <v>62</v>
      </c>
      <c r="R87" s="6"/>
      <c r="S87" s="6"/>
      <c r="T87" s="13"/>
      <c r="U87" s="13"/>
      <c r="V87" s="13"/>
      <c r="W87" s="13"/>
      <c r="X87" s="12">
        <v>12953</v>
      </c>
      <c r="Y87" s="7" t="s">
        <v>5</v>
      </c>
      <c r="Z87" s="60">
        <v>20</v>
      </c>
      <c r="AA87" s="2">
        <f t="shared" si="12"/>
        <v>9033</v>
      </c>
      <c r="AB87">
        <f t="shared" si="13"/>
        <v>1.4339643529281523</v>
      </c>
      <c r="AC87"/>
      <c r="AD87"/>
      <c r="AE87"/>
      <c r="AF87"/>
      <c r="AG87" s="275" t="s">
        <v>2</v>
      </c>
      <c r="AH87" s="167">
        <v>7</v>
      </c>
      <c r="AI87" s="167"/>
      <c r="AJ87" s="167"/>
      <c r="AK87" s="262"/>
      <c r="AL87" s="262"/>
      <c r="AM87" s="262"/>
      <c r="AN87" s="262"/>
      <c r="AO87" s="262"/>
      <c r="AP87" s="277"/>
      <c r="AQ87"/>
      <c r="AR87"/>
      <c r="AS87"/>
      <c r="AT87"/>
      <c r="AU87"/>
    </row>
    <row r="88" spans="1:47" s="55" customFormat="1" ht="18" customHeight="1" x14ac:dyDescent="0.2">
      <c r="A88" s="13">
        <v>2008</v>
      </c>
      <c r="B88" s="13"/>
      <c r="C88" s="13"/>
      <c r="D88" s="13"/>
      <c r="E88" s="13"/>
      <c r="F88" s="13"/>
      <c r="G88" s="13">
        <v>12</v>
      </c>
      <c r="H88" s="13"/>
      <c r="I88" s="13"/>
      <c r="J88" s="13"/>
      <c r="K88" s="19">
        <v>420</v>
      </c>
      <c r="L88" s="19"/>
      <c r="M88" s="19">
        <v>2031</v>
      </c>
      <c r="N88" s="19"/>
      <c r="O88" s="19"/>
      <c r="P88" s="19"/>
      <c r="Q88" s="13">
        <v>145</v>
      </c>
      <c r="R88" s="13"/>
      <c r="S88" s="13"/>
      <c r="T88" s="13"/>
      <c r="U88" s="13"/>
      <c r="V88" s="13"/>
      <c r="W88" s="13"/>
      <c r="X88" s="13">
        <v>3215</v>
      </c>
      <c r="Y88" s="7" t="s">
        <v>5</v>
      </c>
      <c r="Z88" s="58">
        <v>17.5</v>
      </c>
      <c r="AA88" s="2">
        <f t="shared" si="12"/>
        <v>2031</v>
      </c>
      <c r="AB88">
        <f t="shared" si="13"/>
        <v>1.5829640571147219</v>
      </c>
      <c r="AC88"/>
      <c r="AD88"/>
      <c r="AE88"/>
      <c r="AF88"/>
      <c r="AG88" s="275" t="s">
        <v>129</v>
      </c>
      <c r="AH88" s="167"/>
      <c r="AI88" s="167">
        <f>MAX(AI76:AI86)</f>
        <v>1039</v>
      </c>
      <c r="AJ88" s="167"/>
      <c r="AK88" s="167"/>
      <c r="AL88" s="167">
        <f>MAX(AL76:AL86)</f>
        <v>1154.4444444444443</v>
      </c>
      <c r="AM88" s="167"/>
      <c r="AN88" s="167"/>
      <c r="AO88" s="262"/>
      <c r="AP88" s="277"/>
      <c r="AQ88"/>
      <c r="AR88"/>
      <c r="AS88"/>
      <c r="AT88"/>
      <c r="AU88"/>
    </row>
    <row r="89" spans="1:47" ht="18" customHeight="1" x14ac:dyDescent="0.2">
      <c r="A89" s="13">
        <v>2009</v>
      </c>
      <c r="B89" s="13"/>
      <c r="C89" s="13"/>
      <c r="D89" s="13"/>
      <c r="E89" s="13"/>
      <c r="F89" s="13"/>
      <c r="G89" s="13">
        <v>2</v>
      </c>
      <c r="H89" s="13"/>
      <c r="I89" s="13">
        <v>24</v>
      </c>
      <c r="J89" s="13"/>
      <c r="K89" s="19">
        <v>13</v>
      </c>
      <c r="L89" s="19"/>
      <c r="M89" s="19">
        <v>4029</v>
      </c>
      <c r="N89" s="19"/>
      <c r="O89" s="19"/>
      <c r="P89" s="19"/>
      <c r="Q89" s="13"/>
      <c r="R89" s="13"/>
      <c r="S89" s="13"/>
      <c r="T89" s="13"/>
      <c r="U89" s="13"/>
      <c r="V89" s="13"/>
      <c r="W89" s="13"/>
      <c r="X89" s="13">
        <v>6040</v>
      </c>
      <c r="Y89" s="7" t="s">
        <v>5</v>
      </c>
      <c r="Z89" s="58">
        <v>20</v>
      </c>
      <c r="AA89" s="2">
        <f t="shared" si="12"/>
        <v>4029</v>
      </c>
      <c r="AB89">
        <f t="shared" si="13"/>
        <v>1.4991312980888558</v>
      </c>
      <c r="AC89"/>
      <c r="AD89"/>
      <c r="AE89"/>
      <c r="AF89"/>
      <c r="AG89" s="275" t="s">
        <v>130</v>
      </c>
      <c r="AH89" s="167"/>
      <c r="AI89" s="263">
        <v>15</v>
      </c>
      <c r="AJ89" s="167"/>
      <c r="AK89" s="262"/>
      <c r="AL89" s="263">
        <v>15</v>
      </c>
      <c r="AM89" s="266"/>
      <c r="AN89" s="266"/>
      <c r="AO89" s="262"/>
      <c r="AP89" s="277"/>
      <c r="AQ89"/>
      <c r="AR89"/>
      <c r="AS89"/>
      <c r="AT89"/>
      <c r="AU89"/>
    </row>
    <row r="90" spans="1:47" ht="18" customHeight="1" x14ac:dyDescent="0.2">
      <c r="A90" s="13">
        <v>2010</v>
      </c>
      <c r="B90" s="13"/>
      <c r="C90" s="13"/>
      <c r="D90" s="13"/>
      <c r="E90" s="13"/>
      <c r="F90" s="13"/>
      <c r="G90" s="13">
        <v>0</v>
      </c>
      <c r="H90" s="13">
        <v>3</v>
      </c>
      <c r="I90" s="13">
        <v>29</v>
      </c>
      <c r="J90" s="13">
        <v>593</v>
      </c>
      <c r="K90" s="19">
        <v>1120</v>
      </c>
      <c r="L90" s="19"/>
      <c r="M90" s="19">
        <v>5605</v>
      </c>
      <c r="N90" s="19">
        <v>3607</v>
      </c>
      <c r="O90" s="19"/>
      <c r="P90" s="19"/>
      <c r="Q90" s="13"/>
      <c r="R90" s="13"/>
      <c r="S90" s="13"/>
      <c r="T90" s="13"/>
      <c r="U90" s="13"/>
      <c r="V90" s="13"/>
      <c r="W90" s="13"/>
      <c r="X90" s="13">
        <v>8057</v>
      </c>
      <c r="Y90" s="7" t="s">
        <v>5</v>
      </c>
      <c r="Z90" s="58">
        <v>15</v>
      </c>
      <c r="AA90" s="2">
        <f t="shared" si="12"/>
        <v>5605</v>
      </c>
      <c r="AB90">
        <f t="shared" si="13"/>
        <v>1.4374665477252453</v>
      </c>
      <c r="AC90"/>
      <c r="AD90"/>
      <c r="AE90"/>
      <c r="AF90"/>
      <c r="AG90" s="275" t="s">
        <v>131</v>
      </c>
      <c r="AH90" s="167"/>
      <c r="AI90" s="267">
        <f>(0.5*SUM(AN77:AN86))/AI89</f>
        <v>1811.7333333333333</v>
      </c>
      <c r="AJ90" s="167"/>
      <c r="AK90" s="262"/>
      <c r="AL90" s="267">
        <f>(0.5*SUM(AP77:AP86))/AL89</f>
        <v>2052.7361111111113</v>
      </c>
      <c r="AM90" s="266"/>
      <c r="AN90" s="266"/>
      <c r="AO90" s="262"/>
      <c r="AP90" s="277"/>
      <c r="AQ90"/>
      <c r="AR90"/>
      <c r="AS90"/>
      <c r="AT90"/>
      <c r="AU90"/>
    </row>
    <row r="91" spans="1:47" ht="18" customHeight="1" thickBot="1" x14ac:dyDescent="0.25">
      <c r="A91" s="13">
        <v>2011</v>
      </c>
      <c r="B91" s="13"/>
      <c r="C91" s="13"/>
      <c r="D91" s="13"/>
      <c r="E91" s="13"/>
      <c r="F91" s="13"/>
      <c r="G91" s="13"/>
      <c r="H91" s="13"/>
      <c r="I91" s="13"/>
      <c r="J91" s="13">
        <v>1187</v>
      </c>
      <c r="K91" s="19">
        <v>3202</v>
      </c>
      <c r="L91" s="19">
        <v>11074</v>
      </c>
      <c r="M91" s="19">
        <v>12159</v>
      </c>
      <c r="N91" s="19">
        <v>7794</v>
      </c>
      <c r="O91" s="19"/>
      <c r="P91" s="19">
        <v>1732</v>
      </c>
      <c r="Q91" s="13"/>
      <c r="R91" s="13"/>
      <c r="S91" s="13"/>
      <c r="T91" s="13">
        <v>0</v>
      </c>
      <c r="U91" s="13"/>
      <c r="V91" s="13"/>
      <c r="W91" s="13"/>
      <c r="X91" s="13">
        <v>18500</v>
      </c>
      <c r="Y91" s="7" t="s">
        <v>5</v>
      </c>
      <c r="Z91" s="58">
        <v>20</v>
      </c>
      <c r="AA91" s="2">
        <f t="shared" si="12"/>
        <v>12159</v>
      </c>
      <c r="AB91">
        <f t="shared" si="13"/>
        <v>1.5215067028538531</v>
      </c>
      <c r="AC91"/>
      <c r="AD91"/>
      <c r="AE91"/>
      <c r="AF91"/>
      <c r="AG91" s="291"/>
      <c r="AH91" s="286"/>
      <c r="AI91" s="286"/>
      <c r="AJ91" s="286"/>
      <c r="AK91" s="286"/>
      <c r="AL91" s="286"/>
      <c r="AM91" s="286"/>
      <c r="AN91" s="286"/>
      <c r="AO91" s="286"/>
      <c r="AP91" s="288"/>
      <c r="AQ91"/>
      <c r="AR91"/>
      <c r="AS91"/>
      <c r="AT91"/>
      <c r="AU91"/>
    </row>
    <row r="92" spans="1:47" ht="18" customHeight="1" x14ac:dyDescent="0.2">
      <c r="A92" s="13">
        <v>2012</v>
      </c>
      <c r="B92" s="13"/>
      <c r="C92" s="13"/>
      <c r="D92" s="13"/>
      <c r="E92" s="13"/>
      <c r="F92" s="13">
        <v>0</v>
      </c>
      <c r="G92" s="13">
        <v>4</v>
      </c>
      <c r="H92" s="13">
        <v>4</v>
      </c>
      <c r="I92" s="13">
        <v>4</v>
      </c>
      <c r="J92" s="13">
        <v>163</v>
      </c>
      <c r="K92" s="19">
        <v>344</v>
      </c>
      <c r="L92" s="19"/>
      <c r="M92" s="19">
        <v>5094</v>
      </c>
      <c r="N92" s="19">
        <v>2112</v>
      </c>
      <c r="O92" s="19">
        <v>831</v>
      </c>
      <c r="P92" s="19">
        <v>236</v>
      </c>
      <c r="Q92" s="13"/>
      <c r="R92" s="13">
        <v>12</v>
      </c>
      <c r="S92" s="13"/>
      <c r="T92" s="13"/>
      <c r="U92" s="13"/>
      <c r="V92" s="13"/>
      <c r="W92" s="13"/>
      <c r="X92" s="13">
        <v>6766</v>
      </c>
      <c r="Y92" s="7" t="s">
        <v>5</v>
      </c>
      <c r="Z92" s="58">
        <v>17.5</v>
      </c>
      <c r="AA92" s="2">
        <f t="shared" si="12"/>
        <v>5094</v>
      </c>
      <c r="AB92">
        <f t="shared" si="13"/>
        <v>1.3282292893600314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ht="18" customHeight="1" x14ac:dyDescent="0.2">
      <c r="A93" s="13">
        <v>2013</v>
      </c>
      <c r="B93" s="13"/>
      <c r="C93" s="13"/>
      <c r="D93" s="13"/>
      <c r="E93" s="13"/>
      <c r="F93" s="13"/>
      <c r="G93" s="13">
        <v>0</v>
      </c>
      <c r="H93" s="13">
        <v>9</v>
      </c>
      <c r="I93" s="13">
        <v>1115</v>
      </c>
      <c r="J93" s="13"/>
      <c r="K93" s="19">
        <v>2251</v>
      </c>
      <c r="L93" s="19">
        <v>4077</v>
      </c>
      <c r="M93" s="19">
        <v>4610</v>
      </c>
      <c r="N93" s="19">
        <v>2735</v>
      </c>
      <c r="O93" s="19"/>
      <c r="P93" s="19"/>
      <c r="Q93" s="13">
        <v>2</v>
      </c>
      <c r="R93" s="13"/>
      <c r="S93" s="13"/>
      <c r="T93" s="13"/>
      <c r="U93" s="13"/>
      <c r="V93" s="13"/>
      <c r="W93" s="13"/>
      <c r="X93" s="13">
        <v>8287</v>
      </c>
      <c r="Y93" s="7" t="s">
        <v>5</v>
      </c>
      <c r="Z93" s="58">
        <v>20</v>
      </c>
      <c r="AA93" s="2">
        <f t="shared" si="12"/>
        <v>4610</v>
      </c>
      <c r="AB93">
        <f t="shared" si="13"/>
        <v>1.7976138828633406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ht="18" customHeight="1" x14ac:dyDescent="0.2">
      <c r="A94" s="13">
        <v>2014</v>
      </c>
      <c r="B94" s="13"/>
      <c r="C94" s="13"/>
      <c r="D94" s="13"/>
      <c r="E94" s="13"/>
      <c r="F94" s="109">
        <v>0</v>
      </c>
      <c r="G94" s="155">
        <v>4</v>
      </c>
      <c r="H94" s="13"/>
      <c r="I94" s="155">
        <v>23</v>
      </c>
      <c r="J94" s="155">
        <v>337</v>
      </c>
      <c r="K94" s="155">
        <v>2178</v>
      </c>
      <c r="L94" s="155">
        <v>2703</v>
      </c>
      <c r="M94" s="155">
        <v>2839</v>
      </c>
      <c r="N94" s="19"/>
      <c r="O94" s="437">
        <v>481</v>
      </c>
      <c r="P94" s="19"/>
      <c r="Q94" s="155">
        <v>32</v>
      </c>
      <c r="R94" s="13"/>
      <c r="S94" s="109">
        <v>0</v>
      </c>
      <c r="T94" s="13"/>
      <c r="U94" s="13"/>
      <c r="V94" s="13"/>
      <c r="W94" s="13"/>
      <c r="X94" s="13">
        <v>5714</v>
      </c>
      <c r="Y94" s="7" t="s">
        <v>5</v>
      </c>
      <c r="Z94" s="58">
        <v>15</v>
      </c>
      <c r="AA94" s="2">
        <f t="shared" si="12"/>
        <v>2839</v>
      </c>
      <c r="AB94">
        <f t="shared" si="13"/>
        <v>2.0126805213103207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ht="18" customHeight="1" x14ac:dyDescent="0.2">
      <c r="A95" s="13">
        <v>2015</v>
      </c>
      <c r="B95" s="13"/>
      <c r="C95" s="13"/>
      <c r="D95" s="13"/>
      <c r="E95" s="13"/>
      <c r="F95" s="13"/>
      <c r="G95" s="109">
        <v>10</v>
      </c>
      <c r="H95" s="338">
        <v>105</v>
      </c>
      <c r="I95" s="321">
        <v>1469</v>
      </c>
      <c r="J95" s="321">
        <v>1612</v>
      </c>
      <c r="K95" s="321">
        <v>1825</v>
      </c>
      <c r="L95" s="155">
        <v>5933</v>
      </c>
      <c r="M95" s="19"/>
      <c r="N95" s="155">
        <v>4395</v>
      </c>
      <c r="O95" s="155">
        <v>1179</v>
      </c>
      <c r="P95" s="155">
        <v>207</v>
      </c>
      <c r="Q95" s="13"/>
      <c r="R95" s="13"/>
      <c r="S95" s="13"/>
      <c r="T95" s="13"/>
      <c r="U95" s="109">
        <v>0</v>
      </c>
      <c r="V95" s="13"/>
      <c r="W95" s="13"/>
      <c r="X95" s="13">
        <v>10274</v>
      </c>
      <c r="Y95" s="7" t="s">
        <v>5</v>
      </c>
      <c r="Z95" s="58">
        <v>15</v>
      </c>
      <c r="AA95" s="2">
        <f t="shared" si="12"/>
        <v>5933</v>
      </c>
      <c r="AB95">
        <f t="shared" si="13"/>
        <v>1.7316703185572224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ht="18" customHeight="1" x14ac:dyDescent="0.2">
      <c r="A96" s="13">
        <v>2016</v>
      </c>
      <c r="B96" s="13"/>
      <c r="C96" s="13"/>
      <c r="D96" s="13"/>
      <c r="E96" s="13"/>
      <c r="F96" s="13"/>
      <c r="G96" s="202">
        <v>14</v>
      </c>
      <c r="H96" s="202">
        <v>27</v>
      </c>
      <c r="I96" s="484">
        <v>173</v>
      </c>
      <c r="J96" s="296">
        <v>412</v>
      </c>
      <c r="K96" s="296">
        <v>1190</v>
      </c>
      <c r="L96" s="296">
        <v>1329</v>
      </c>
      <c r="M96" s="19"/>
      <c r="N96" s="296">
        <v>3130</v>
      </c>
      <c r="O96" s="19"/>
      <c r="P96" s="19"/>
      <c r="Q96" s="13"/>
      <c r="R96" s="13"/>
      <c r="S96" s="13"/>
      <c r="T96" s="13"/>
      <c r="U96" s="13">
        <v>0</v>
      </c>
      <c r="V96" s="13"/>
      <c r="W96" s="13"/>
      <c r="X96" s="13">
        <v>6492</v>
      </c>
      <c r="Y96" s="7"/>
      <c r="Z96" s="58">
        <v>15</v>
      </c>
      <c r="AA96" s="2">
        <f t="shared" si="12"/>
        <v>3130</v>
      </c>
      <c r="AB96">
        <f t="shared" si="13"/>
        <v>2.0741214057507986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ht="18" customHeight="1" x14ac:dyDescent="0.2">
      <c r="A97" s="13">
        <v>2017</v>
      </c>
      <c r="B97" s="13"/>
      <c r="C97" s="13"/>
      <c r="D97" s="13"/>
      <c r="E97" s="13"/>
      <c r="F97" s="202">
        <v>2</v>
      </c>
      <c r="G97" s="13"/>
      <c r="H97" s="485">
        <v>74</v>
      </c>
      <c r="I97" s="484">
        <v>276</v>
      </c>
      <c r="J97" s="296">
        <v>827</v>
      </c>
      <c r="K97" s="484">
        <v>1483</v>
      </c>
      <c r="L97" s="13"/>
      <c r="M97" s="13"/>
      <c r="N97" s="296">
        <v>966</v>
      </c>
      <c r="O97" s="13"/>
      <c r="P97" s="13"/>
      <c r="Q97" s="13"/>
      <c r="R97" s="13"/>
      <c r="S97" s="109">
        <v>0</v>
      </c>
      <c r="T97" s="13"/>
      <c r="U97" s="13"/>
      <c r="V97" s="13"/>
      <c r="W97" s="13"/>
      <c r="X97" s="13">
        <v>3245</v>
      </c>
      <c r="Y97" s="7"/>
      <c r="Z97" s="58">
        <v>15</v>
      </c>
      <c r="AA97" s="2">
        <f t="shared" si="12"/>
        <v>1483</v>
      </c>
      <c r="AB97">
        <f t="shared" si="13"/>
        <v>2.1881321645313552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ht="18" customHeight="1" x14ac:dyDescent="0.2">
      <c r="A98" s="13">
        <v>2018</v>
      </c>
      <c r="B98" s="13"/>
      <c r="C98" s="13"/>
      <c r="D98" s="13"/>
      <c r="E98" s="13"/>
      <c r="F98" s="202">
        <v>0</v>
      </c>
      <c r="G98" s="13"/>
      <c r="H98" s="202">
        <v>59</v>
      </c>
      <c r="I98" s="202">
        <v>166</v>
      </c>
      <c r="J98" s="484">
        <v>423</v>
      </c>
      <c r="K98" s="484">
        <v>1379</v>
      </c>
      <c r="L98" s="202">
        <v>887</v>
      </c>
      <c r="M98" s="13"/>
      <c r="N98" s="13"/>
      <c r="O98" s="202">
        <v>188</v>
      </c>
      <c r="P98" s="13"/>
      <c r="Q98" s="13"/>
      <c r="R98" s="13"/>
      <c r="S98" s="13"/>
      <c r="T98" s="13"/>
      <c r="U98" s="13"/>
      <c r="V98" s="13"/>
      <c r="W98" s="13"/>
      <c r="X98" s="13">
        <v>2184</v>
      </c>
      <c r="Y98" s="7" t="s">
        <v>5</v>
      </c>
      <c r="Z98" s="58">
        <v>15</v>
      </c>
      <c r="AA98" s="2">
        <f>MAX(B98:W98)</f>
        <v>1379</v>
      </c>
      <c r="AB98">
        <f>X98/MAX(B98:W98)</f>
        <v>1.5837563451776651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ht="18" customHeight="1" x14ac:dyDescent="0.2">
      <c r="A99" s="13">
        <v>2019</v>
      </c>
      <c r="B99" s="13"/>
      <c r="C99" s="13"/>
      <c r="D99" s="13"/>
      <c r="E99" s="13"/>
      <c r="F99" s="109">
        <v>0</v>
      </c>
      <c r="G99" s="13"/>
      <c r="H99" s="109">
        <v>155</v>
      </c>
      <c r="I99" s="109">
        <v>262</v>
      </c>
      <c r="J99" s="590">
        <v>388</v>
      </c>
      <c r="K99" s="590">
        <v>424</v>
      </c>
      <c r="L99" s="13"/>
      <c r="M99" s="155">
        <v>1222</v>
      </c>
      <c r="N99" s="155">
        <v>696</v>
      </c>
      <c r="O99" s="13"/>
      <c r="P99" s="13"/>
      <c r="Q99" s="13"/>
      <c r="R99" s="13"/>
      <c r="S99" s="13"/>
      <c r="T99" s="13"/>
      <c r="U99" s="13"/>
      <c r="V99" s="13"/>
      <c r="W99" s="13"/>
      <c r="X99" s="13">
        <v>1756</v>
      </c>
      <c r="Y99" s="7" t="s">
        <v>5</v>
      </c>
      <c r="Z99" s="58">
        <v>20</v>
      </c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ht="18" customHeight="1" x14ac:dyDescent="0.2">
      <c r="A100" s="13">
        <v>2020</v>
      </c>
      <c r="B100" s="13"/>
      <c r="C100" s="13"/>
      <c r="D100" s="13"/>
      <c r="E100" s="13"/>
      <c r="F100" s="13"/>
      <c r="G100" s="13"/>
      <c r="H100" s="109">
        <v>0</v>
      </c>
      <c r="I100" s="109">
        <v>10</v>
      </c>
      <c r="J100" s="590">
        <v>217</v>
      </c>
      <c r="K100" s="155">
        <v>169</v>
      </c>
      <c r="L100" s="590">
        <v>725</v>
      </c>
      <c r="M100" s="155">
        <v>1534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47">
        <v>3931</v>
      </c>
      <c r="Y100" s="7"/>
      <c r="Z100" s="58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s="150" customFormat="1" ht="18" customHeight="1" x14ac:dyDescent="0.2">
      <c r="A101" s="89">
        <v>2021</v>
      </c>
      <c r="B101" s="89"/>
      <c r="C101" s="89"/>
      <c r="D101" s="89"/>
      <c r="E101" s="89"/>
      <c r="F101" s="89"/>
      <c r="G101" s="89"/>
      <c r="H101" s="109">
        <v>8</v>
      </c>
      <c r="I101" s="109">
        <v>74</v>
      </c>
      <c r="J101" s="736"/>
      <c r="K101" s="756">
        <v>323</v>
      </c>
      <c r="L101" s="736"/>
      <c r="M101" s="155">
        <v>1135</v>
      </c>
      <c r="N101" s="89"/>
      <c r="O101" s="89"/>
      <c r="P101" s="89"/>
      <c r="Q101" s="737">
        <v>15</v>
      </c>
      <c r="R101" s="89"/>
      <c r="S101" s="89"/>
      <c r="T101" s="89"/>
      <c r="U101" s="89"/>
      <c r="V101" s="89"/>
      <c r="W101" s="89"/>
      <c r="X101" s="89">
        <v>2420</v>
      </c>
      <c r="Y101" s="11" t="s">
        <v>5</v>
      </c>
      <c r="Z101" s="92"/>
      <c r="AB101">
        <f t="shared" ref="AB101" si="17">X101/MAX(B101:W101)</f>
        <v>2.1321585903083702</v>
      </c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</row>
    <row r="102" spans="1:47" s="150" customFormat="1" ht="18" customHeight="1" x14ac:dyDescent="0.2">
      <c r="A102" s="89">
        <v>2022</v>
      </c>
      <c r="B102" s="89"/>
      <c r="C102" s="89"/>
      <c r="D102" s="89"/>
      <c r="E102" s="89"/>
      <c r="F102" s="109">
        <v>0</v>
      </c>
      <c r="G102" s="89"/>
      <c r="H102" s="109">
        <v>4</v>
      </c>
      <c r="I102" s="109">
        <v>12</v>
      </c>
      <c r="J102" s="736"/>
      <c r="K102" s="600">
        <v>8</v>
      </c>
      <c r="L102" s="736"/>
      <c r="M102" s="155">
        <v>1181</v>
      </c>
      <c r="N102" s="89"/>
      <c r="O102" s="155">
        <v>995</v>
      </c>
      <c r="P102" s="155">
        <v>871</v>
      </c>
      <c r="Q102" s="737"/>
      <c r="R102" s="89"/>
      <c r="S102" s="89"/>
      <c r="T102" s="89"/>
      <c r="U102" s="89"/>
      <c r="V102" s="89"/>
      <c r="W102" s="89"/>
      <c r="X102" s="89"/>
      <c r="Y102" s="11"/>
      <c r="Z102" s="92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</row>
    <row r="103" spans="1:47" s="150" customFormat="1" ht="18" customHeight="1" x14ac:dyDescent="0.2">
      <c r="A103" s="89">
        <v>2023</v>
      </c>
      <c r="B103" s="89"/>
      <c r="C103" s="89"/>
      <c r="D103" s="89"/>
      <c r="E103" s="109">
        <v>0</v>
      </c>
      <c r="F103" s="89"/>
      <c r="G103" s="89"/>
      <c r="H103" s="109">
        <v>0</v>
      </c>
      <c r="I103" s="109">
        <v>237</v>
      </c>
      <c r="J103" s="89"/>
      <c r="K103" s="155">
        <v>2049</v>
      </c>
      <c r="L103" s="89"/>
      <c r="M103" s="89"/>
      <c r="N103" s="89"/>
      <c r="O103" s="316">
        <v>543</v>
      </c>
      <c r="P103" s="89"/>
      <c r="Q103" s="89"/>
      <c r="R103" s="89"/>
      <c r="S103" s="89"/>
      <c r="T103" s="89"/>
      <c r="U103" s="89"/>
      <c r="V103" s="89"/>
      <c r="W103" s="89"/>
      <c r="X103" s="89"/>
      <c r="Y103" s="11"/>
      <c r="Z103" s="92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</row>
    <row r="104" spans="1:47" ht="18" customHeight="1" x14ac:dyDescent="0.2">
      <c r="A104" s="64" t="s">
        <v>17</v>
      </c>
      <c r="B104" s="16"/>
      <c r="C104" s="16">
        <f>AVERAGE(C75:C89)</f>
        <v>16</v>
      </c>
      <c r="D104" s="16">
        <f t="shared" ref="D104:U104" si="18">AVERAGE(D75:D89)</f>
        <v>7</v>
      </c>
      <c r="E104" s="16">
        <f t="shared" si="18"/>
        <v>5</v>
      </c>
      <c r="F104" s="16">
        <f t="shared" si="18"/>
        <v>2</v>
      </c>
      <c r="G104" s="16">
        <f t="shared" si="18"/>
        <v>3.5</v>
      </c>
      <c r="H104" s="16">
        <f t="shared" si="18"/>
        <v>32.444444444444443</v>
      </c>
      <c r="I104" s="16">
        <f t="shared" si="18"/>
        <v>178.36363636363637</v>
      </c>
      <c r="J104" s="16">
        <f t="shared" si="18"/>
        <v>229.75</v>
      </c>
      <c r="K104" s="16">
        <f t="shared" si="18"/>
        <v>850</v>
      </c>
      <c r="L104" s="16">
        <f t="shared" si="18"/>
        <v>3439</v>
      </c>
      <c r="M104" s="16">
        <f t="shared" si="18"/>
        <v>4758.833333333333</v>
      </c>
      <c r="N104" s="16">
        <f t="shared" si="18"/>
        <v>3968.1666666666665</v>
      </c>
      <c r="O104" s="16">
        <f t="shared" si="18"/>
        <v>5490.25</v>
      </c>
      <c r="P104" s="16">
        <f t="shared" si="18"/>
        <v>2020.6</v>
      </c>
      <c r="Q104" s="16">
        <f t="shared" si="18"/>
        <v>238.75</v>
      </c>
      <c r="R104" s="16">
        <f t="shared" si="18"/>
        <v>19.600000000000001</v>
      </c>
      <c r="S104" s="16">
        <f t="shared" si="18"/>
        <v>43.666666666666664</v>
      </c>
      <c r="T104" s="16"/>
      <c r="U104" s="16">
        <f t="shared" si="18"/>
        <v>0</v>
      </c>
      <c r="V104" s="16"/>
      <c r="W104" s="16"/>
      <c r="X104" s="16">
        <f>AVERAGE(X75:X101)</f>
        <v>7238.5185185185182</v>
      </c>
      <c r="Y104" s="17"/>
      <c r="Z104" s="16">
        <f>AVERAGE(Z75:Z94)</f>
        <v>18.026315789473685</v>
      </c>
    </row>
  </sheetData>
  <mergeCells count="18">
    <mergeCell ref="A1:I1"/>
    <mergeCell ref="B3:W3"/>
    <mergeCell ref="X3:X4"/>
    <mergeCell ref="A36:I36"/>
    <mergeCell ref="A3:A4"/>
    <mergeCell ref="Z3:Z4"/>
    <mergeCell ref="Y38:Y39"/>
    <mergeCell ref="Z38:Z39"/>
    <mergeCell ref="A38:A39"/>
    <mergeCell ref="B38:W38"/>
    <mergeCell ref="X38:X39"/>
    <mergeCell ref="Y3:Y4"/>
    <mergeCell ref="Z73:Z74"/>
    <mergeCell ref="Y73:Y74"/>
    <mergeCell ref="A71:I71"/>
    <mergeCell ref="A73:A74"/>
    <mergeCell ref="B73:W73"/>
    <mergeCell ref="X73:X74"/>
  </mergeCells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AW104"/>
  <sheetViews>
    <sheetView topLeftCell="A85" zoomScale="75" workbookViewId="0">
      <selection activeCell="E104" sqref="E104"/>
    </sheetView>
  </sheetViews>
  <sheetFormatPr defaultColWidth="9.140625" defaultRowHeight="12.75" x14ac:dyDescent="0.2"/>
  <cols>
    <col min="1" max="1" width="10.28515625" style="2" customWidth="1"/>
    <col min="2" max="10" width="6.5703125" style="2" customWidth="1"/>
    <col min="11" max="11" width="7.7109375" style="2" customWidth="1"/>
    <col min="12" max="12" width="6.5703125" style="2" customWidth="1"/>
    <col min="13" max="13" width="7.7109375" style="2" customWidth="1"/>
    <col min="14" max="23" width="6.5703125" style="2" customWidth="1"/>
    <col min="24" max="25" width="9.140625" style="2"/>
    <col min="26" max="26" width="11.7109375" style="56" customWidth="1"/>
    <col min="27" max="33" width="9.140625" style="2"/>
    <col min="34" max="34" width="14.42578125" style="2" bestFit="1" customWidth="1"/>
    <col min="35" max="43" width="9.140625" style="2"/>
    <col min="44" max="44" width="13.85546875" style="2" bestFit="1" customWidth="1"/>
    <col min="45" max="45" width="10.42578125" style="2" bestFit="1" customWidth="1"/>
    <col min="46" max="16384" width="9.140625" style="2"/>
  </cols>
  <sheetData>
    <row r="1" spans="1:49" ht="18" customHeight="1" x14ac:dyDescent="0.2">
      <c r="A1" s="1002" t="s">
        <v>631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9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9" ht="18" customHeight="1" thickTop="1" x14ac:dyDescent="0.25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B3"/>
      <c r="AC3"/>
      <c r="AD3"/>
      <c r="AE3"/>
      <c r="AF3"/>
      <c r="AG3" s="269" t="s">
        <v>117</v>
      </c>
      <c r="AH3" s="270" t="s">
        <v>118</v>
      </c>
      <c r="AI3" s="271" t="s">
        <v>119</v>
      </c>
      <c r="AJ3" s="272"/>
      <c r="AK3" s="271" t="s">
        <v>120</v>
      </c>
      <c r="AL3" s="271"/>
      <c r="AM3" s="272"/>
      <c r="AN3" s="273" t="s">
        <v>121</v>
      </c>
      <c r="AO3" s="272"/>
      <c r="AP3" s="274" t="s">
        <v>122</v>
      </c>
      <c r="AQ3"/>
      <c r="AR3"/>
      <c r="AS3"/>
      <c r="AT3" s="575" t="s">
        <v>176</v>
      </c>
      <c r="AU3" s="835" t="s">
        <v>178</v>
      </c>
      <c r="AV3" s="669" t="s">
        <v>177</v>
      </c>
      <c r="AW3" s="840" t="s">
        <v>365</v>
      </c>
    </row>
    <row r="4" spans="1:49" ht="18" customHeight="1" x14ac:dyDescent="0.25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68" t="s">
        <v>44</v>
      </c>
      <c r="AB4" t="s">
        <v>142</v>
      </c>
      <c r="AC4"/>
      <c r="AD4"/>
      <c r="AE4"/>
      <c r="AF4"/>
      <c r="AG4" s="275" t="s">
        <v>36</v>
      </c>
      <c r="AH4" s="830"/>
      <c r="AI4" s="830" t="s">
        <v>146</v>
      </c>
      <c r="AJ4" s="262"/>
      <c r="AK4" s="163" t="s">
        <v>148</v>
      </c>
      <c r="AL4" s="163" t="s">
        <v>147</v>
      </c>
      <c r="AM4" s="262"/>
      <c r="AN4" s="164"/>
      <c r="AO4" s="262"/>
      <c r="AP4" s="276"/>
      <c r="AQ4"/>
      <c r="AR4" s="847" t="s">
        <v>493</v>
      </c>
      <c r="AS4" s="847" t="s">
        <v>106</v>
      </c>
      <c r="AT4" s="847" t="s">
        <v>496</v>
      </c>
      <c r="AU4" s="847" t="s">
        <v>496</v>
      </c>
      <c r="AV4" s="847" t="s">
        <v>496</v>
      </c>
      <c r="AW4" s="847" t="s">
        <v>496</v>
      </c>
    </row>
    <row r="5" spans="1:49" s="8" customFormat="1" ht="18" customHeight="1" x14ac:dyDescent="0.25">
      <c r="A5" s="1">
        <v>1995</v>
      </c>
      <c r="B5" s="6"/>
      <c r="C5" s="6"/>
      <c r="D5" s="6"/>
      <c r="E5" s="6"/>
      <c r="F5" s="6"/>
      <c r="G5" s="6"/>
      <c r="H5" s="6">
        <v>0</v>
      </c>
      <c r="I5" s="6">
        <v>1</v>
      </c>
      <c r="J5" s="198">
        <v>99</v>
      </c>
      <c r="K5" s="6">
        <v>79</v>
      </c>
      <c r="L5" s="6">
        <v>25</v>
      </c>
      <c r="M5" s="6">
        <v>0</v>
      </c>
      <c r="N5" s="6"/>
      <c r="O5" s="6"/>
      <c r="P5" s="6"/>
      <c r="Q5" s="6"/>
      <c r="R5" s="6"/>
      <c r="S5" s="6"/>
      <c r="T5" s="1"/>
      <c r="U5" s="1"/>
      <c r="V5" s="1"/>
      <c r="W5" s="1"/>
      <c r="X5" s="7">
        <v>99</v>
      </c>
      <c r="Y5" s="7"/>
      <c r="Z5" s="10"/>
      <c r="AB5">
        <f>X5/MAX(B5:W5)</f>
        <v>1</v>
      </c>
      <c r="AC5"/>
      <c r="AD5"/>
      <c r="AE5"/>
      <c r="AF5"/>
      <c r="AG5" s="275" t="s">
        <v>127</v>
      </c>
      <c r="AH5" s="229">
        <v>44440</v>
      </c>
      <c r="AI5" s="167"/>
      <c r="AJ5" s="262"/>
      <c r="AK5" s="262"/>
      <c r="AL5" s="263">
        <v>0</v>
      </c>
      <c r="AM5" s="262"/>
      <c r="AN5" s="262"/>
      <c r="AO5" s="262"/>
      <c r="AP5" s="277"/>
      <c r="AQ5"/>
      <c r="AR5" s="848" t="s">
        <v>535</v>
      </c>
      <c r="AS5" s="849">
        <v>44455</v>
      </c>
      <c r="AT5" s="850">
        <v>91</v>
      </c>
      <c r="AU5" s="850">
        <v>147</v>
      </c>
      <c r="AV5" s="850">
        <v>14</v>
      </c>
      <c r="AW5" s="850">
        <v>3</v>
      </c>
    </row>
    <row r="6" spans="1:49" s="8" customFormat="1" ht="18" customHeight="1" x14ac:dyDescent="0.25">
      <c r="A6" s="1">
        <v>1996</v>
      </c>
      <c r="B6" s="6"/>
      <c r="C6" s="6"/>
      <c r="D6" s="6"/>
      <c r="E6" s="6"/>
      <c r="F6" s="6"/>
      <c r="G6" s="6">
        <v>14</v>
      </c>
      <c r="H6" s="6"/>
      <c r="I6" s="6">
        <v>9</v>
      </c>
      <c r="J6" s="6"/>
      <c r="K6" s="6">
        <v>42</v>
      </c>
      <c r="L6" s="6"/>
      <c r="M6" s="6"/>
      <c r="N6" s="6">
        <v>0</v>
      </c>
      <c r="O6" s="6">
        <v>0</v>
      </c>
      <c r="P6" s="6"/>
      <c r="Q6" s="6"/>
      <c r="R6" s="6">
        <v>0</v>
      </c>
      <c r="S6" s="6"/>
      <c r="T6" s="1"/>
      <c r="U6" s="1"/>
      <c r="V6" s="1"/>
      <c r="W6" s="1"/>
      <c r="X6" s="7">
        <v>53</v>
      </c>
      <c r="Y6" s="7" t="s">
        <v>5</v>
      </c>
      <c r="Z6" s="10">
        <v>20</v>
      </c>
      <c r="AB6">
        <f t="shared" ref="AB6:AB28" si="0">X6/MAX(B6:W6)</f>
        <v>1.2619047619047619</v>
      </c>
      <c r="AC6"/>
      <c r="AD6"/>
      <c r="AE6"/>
      <c r="AF6"/>
      <c r="AG6" s="275"/>
      <c r="AH6" s="229">
        <v>44455</v>
      </c>
      <c r="AI6" s="263">
        <v>91</v>
      </c>
      <c r="AJ6" s="262"/>
      <c r="AK6" s="264">
        <v>0.8</v>
      </c>
      <c r="AL6" s="265">
        <f t="shared" ref="AL6:AL13" si="1">AI6/AK6</f>
        <v>113.75</v>
      </c>
      <c r="AM6" s="262"/>
      <c r="AN6" s="265">
        <f>(AH6-AH5)*(AI6+AI5)</f>
        <v>1365</v>
      </c>
      <c r="AO6" s="262"/>
      <c r="AP6" s="278">
        <f>(AH6-AH5)*(AL6+AL5)</f>
        <v>1706.25</v>
      </c>
      <c r="AQ6"/>
      <c r="AR6" s="848" t="s">
        <v>535</v>
      </c>
      <c r="AS6" s="849">
        <v>44476</v>
      </c>
      <c r="AT6" s="850">
        <v>131</v>
      </c>
      <c r="AU6" s="850">
        <v>991</v>
      </c>
      <c r="AV6" s="850">
        <v>1072</v>
      </c>
      <c r="AW6" s="850">
        <v>3</v>
      </c>
    </row>
    <row r="7" spans="1:49" s="8" customFormat="1" ht="18" customHeight="1" x14ac:dyDescent="0.25">
      <c r="A7" s="1">
        <v>1997</v>
      </c>
      <c r="B7" s="6"/>
      <c r="C7" s="6"/>
      <c r="D7" s="6">
        <v>0</v>
      </c>
      <c r="E7" s="6"/>
      <c r="F7" s="6"/>
      <c r="G7" s="6">
        <v>43</v>
      </c>
      <c r="H7" s="6">
        <v>126</v>
      </c>
      <c r="I7" s="6">
        <v>105</v>
      </c>
      <c r="J7" s="6"/>
      <c r="K7" s="198">
        <v>247</v>
      </c>
      <c r="L7" s="6">
        <v>57</v>
      </c>
      <c r="M7" s="6">
        <v>27</v>
      </c>
      <c r="N7" s="6"/>
      <c r="O7" s="6"/>
      <c r="P7" s="6">
        <v>5</v>
      </c>
      <c r="Q7" s="6"/>
      <c r="R7" s="6"/>
      <c r="S7" s="6"/>
      <c r="T7" s="1"/>
      <c r="U7" s="1"/>
      <c r="V7" s="1"/>
      <c r="W7" s="1"/>
      <c r="X7" s="7">
        <v>402</v>
      </c>
      <c r="Y7" s="7" t="s">
        <v>5</v>
      </c>
      <c r="Z7" s="61">
        <v>20</v>
      </c>
      <c r="AB7">
        <f t="shared" si="0"/>
        <v>1.6275303643724697</v>
      </c>
      <c r="AC7"/>
      <c r="AD7"/>
      <c r="AE7"/>
      <c r="AF7"/>
      <c r="AG7" s="275"/>
      <c r="AH7" s="229">
        <v>44476</v>
      </c>
      <c r="AI7" s="263">
        <v>131</v>
      </c>
      <c r="AJ7" s="262"/>
      <c r="AK7" s="264">
        <v>0.8</v>
      </c>
      <c r="AL7" s="265">
        <f t="shared" si="1"/>
        <v>163.75</v>
      </c>
      <c r="AM7" s="262"/>
      <c r="AN7" s="265">
        <f t="shared" ref="AN7:AN15" si="2">(AH7-AH6)*(AI7+AI6)</f>
        <v>4662</v>
      </c>
      <c r="AO7" s="262"/>
      <c r="AP7" s="278">
        <f t="shared" ref="AP7:AP15" si="3">(AH7-AH6)*(AL7+AL6)</f>
        <v>5827.5</v>
      </c>
      <c r="AQ7"/>
      <c r="AR7" s="848" t="s">
        <v>535</v>
      </c>
      <c r="AS7" s="849">
        <v>44488</v>
      </c>
      <c r="AT7" s="850">
        <v>8</v>
      </c>
      <c r="AU7" s="850">
        <v>1519</v>
      </c>
      <c r="AV7" s="850">
        <v>2029</v>
      </c>
      <c r="AW7" s="850">
        <v>1</v>
      </c>
    </row>
    <row r="8" spans="1:49" s="8" customFormat="1" ht="18" customHeight="1" x14ac:dyDescent="0.25">
      <c r="A8" s="1">
        <v>1998</v>
      </c>
      <c r="B8" s="6"/>
      <c r="C8" s="6"/>
      <c r="D8" s="6"/>
      <c r="E8" s="6"/>
      <c r="F8" s="6"/>
      <c r="G8" s="6">
        <v>52</v>
      </c>
      <c r="H8" s="6">
        <v>62</v>
      </c>
      <c r="I8" s="6">
        <v>43</v>
      </c>
      <c r="J8" s="6">
        <v>59</v>
      </c>
      <c r="K8" s="6">
        <v>148</v>
      </c>
      <c r="L8" s="6"/>
      <c r="M8" s="198">
        <v>157</v>
      </c>
      <c r="N8" s="6">
        <v>42</v>
      </c>
      <c r="O8" s="6">
        <v>9</v>
      </c>
      <c r="P8" s="6"/>
      <c r="Q8" s="6"/>
      <c r="R8" s="6">
        <v>3</v>
      </c>
      <c r="S8" s="6"/>
      <c r="T8" s="1">
        <v>0</v>
      </c>
      <c r="U8" s="1"/>
      <c r="V8" s="1">
        <v>0</v>
      </c>
      <c r="W8" s="1"/>
      <c r="X8" s="7">
        <v>300</v>
      </c>
      <c r="Y8" s="7" t="s">
        <v>5</v>
      </c>
      <c r="Z8" s="61">
        <v>20</v>
      </c>
      <c r="AB8">
        <f t="shared" si="0"/>
        <v>1.910828025477707</v>
      </c>
      <c r="AC8"/>
      <c r="AD8"/>
      <c r="AE8"/>
      <c r="AF8"/>
      <c r="AG8" s="279"/>
      <c r="AH8" s="229">
        <v>44488</v>
      </c>
      <c r="AI8" s="263">
        <v>8</v>
      </c>
      <c r="AJ8" s="262"/>
      <c r="AK8" s="264">
        <v>0.9</v>
      </c>
      <c r="AL8" s="265">
        <f t="shared" si="1"/>
        <v>8.8888888888888893</v>
      </c>
      <c r="AM8" s="262"/>
      <c r="AN8" s="265">
        <f t="shared" si="2"/>
        <v>1668</v>
      </c>
      <c r="AO8" s="262"/>
      <c r="AP8" s="278">
        <f t="shared" si="3"/>
        <v>2071.6666666666665</v>
      </c>
      <c r="AQ8"/>
      <c r="AR8" s="848" t="s">
        <v>535</v>
      </c>
      <c r="AS8" s="849">
        <v>44501</v>
      </c>
      <c r="AT8" s="850">
        <v>30</v>
      </c>
      <c r="AU8" s="850">
        <v>1067</v>
      </c>
      <c r="AV8" s="850">
        <v>1060</v>
      </c>
      <c r="AW8" s="850">
        <v>7</v>
      </c>
    </row>
    <row r="9" spans="1:49" s="8" customFormat="1" ht="18" customHeight="1" x14ac:dyDescent="0.2">
      <c r="A9" s="1">
        <v>1999</v>
      </c>
      <c r="B9" s="6"/>
      <c r="C9" s="6"/>
      <c r="D9" s="6"/>
      <c r="E9" s="6"/>
      <c r="F9" s="6"/>
      <c r="G9" s="6">
        <v>49</v>
      </c>
      <c r="H9" s="6"/>
      <c r="I9" s="6"/>
      <c r="J9" s="198">
        <v>330</v>
      </c>
      <c r="K9" s="6"/>
      <c r="L9" s="6"/>
      <c r="M9" s="6">
        <v>69</v>
      </c>
      <c r="N9" s="6">
        <v>0</v>
      </c>
      <c r="O9" s="6">
        <v>2</v>
      </c>
      <c r="P9" s="6"/>
      <c r="Q9" s="6">
        <v>1</v>
      </c>
      <c r="R9" s="6"/>
      <c r="S9" s="6"/>
      <c r="T9" s="1">
        <v>0</v>
      </c>
      <c r="U9" s="1"/>
      <c r="V9" s="1"/>
      <c r="W9" s="1"/>
      <c r="X9" s="9">
        <v>539</v>
      </c>
      <c r="Y9" s="7" t="s">
        <v>5</v>
      </c>
      <c r="Z9" s="62">
        <v>15</v>
      </c>
      <c r="AB9">
        <f t="shared" si="0"/>
        <v>1.6333333333333333</v>
      </c>
      <c r="AC9"/>
      <c r="AD9"/>
      <c r="AE9"/>
      <c r="AF9"/>
      <c r="AG9" s="280"/>
      <c r="AH9" s="229">
        <v>44501</v>
      </c>
      <c r="AI9" s="263">
        <v>30</v>
      </c>
      <c r="AJ9" s="262"/>
      <c r="AK9" s="264">
        <v>0.9</v>
      </c>
      <c r="AL9" s="265">
        <f t="shared" si="1"/>
        <v>33.333333333333336</v>
      </c>
      <c r="AM9" s="262"/>
      <c r="AN9" s="265">
        <f t="shared" si="2"/>
        <v>494</v>
      </c>
      <c r="AO9" s="262"/>
      <c r="AP9" s="278">
        <f t="shared" si="3"/>
        <v>548.88888888888891</v>
      </c>
      <c r="AQ9"/>
      <c r="AR9"/>
      <c r="AS9"/>
      <c r="AT9"/>
      <c r="AU9"/>
      <c r="AV9" s="2"/>
      <c r="AW9" s="2"/>
    </row>
    <row r="10" spans="1:49" s="8" customFormat="1" ht="18" customHeight="1" x14ac:dyDescent="0.2">
      <c r="A10" s="1">
        <v>2000</v>
      </c>
      <c r="B10" s="6"/>
      <c r="C10" s="6"/>
      <c r="D10" s="6"/>
      <c r="E10" s="6"/>
      <c r="F10" s="6"/>
      <c r="G10" s="6"/>
      <c r="H10" s="6">
        <v>15</v>
      </c>
      <c r="I10" s="6">
        <v>9</v>
      </c>
      <c r="J10" s="6"/>
      <c r="K10" s="198">
        <v>35</v>
      </c>
      <c r="L10" s="6"/>
      <c r="M10" s="6"/>
      <c r="N10" s="6"/>
      <c r="O10" s="6"/>
      <c r="P10" s="6">
        <v>0</v>
      </c>
      <c r="Q10" s="6"/>
      <c r="R10" s="6"/>
      <c r="S10" s="6"/>
      <c r="T10" s="1">
        <v>0</v>
      </c>
      <c r="U10" s="1">
        <v>0</v>
      </c>
      <c r="V10" s="1"/>
      <c r="W10" s="1"/>
      <c r="X10" s="10">
        <v>75</v>
      </c>
      <c r="Y10" s="7" t="s">
        <v>5</v>
      </c>
      <c r="Z10" s="62">
        <v>15</v>
      </c>
      <c r="AB10">
        <f t="shared" si="0"/>
        <v>2.1428571428571428</v>
      </c>
      <c r="AC10"/>
      <c r="AD10"/>
      <c r="AE10"/>
      <c r="AF10"/>
      <c r="AG10" s="280"/>
      <c r="AH10" s="229">
        <v>44515</v>
      </c>
      <c r="AI10" s="263">
        <v>0</v>
      </c>
      <c r="AJ10" s="262"/>
      <c r="AK10" s="264">
        <v>0.9</v>
      </c>
      <c r="AL10" s="265">
        <f t="shared" si="1"/>
        <v>0</v>
      </c>
      <c r="AM10" s="262"/>
      <c r="AN10" s="265">
        <f t="shared" si="2"/>
        <v>420</v>
      </c>
      <c r="AO10" s="262"/>
      <c r="AP10" s="278">
        <f t="shared" si="3"/>
        <v>466.66666666666669</v>
      </c>
      <c r="AQ10"/>
      <c r="AR10"/>
      <c r="AS10"/>
      <c r="AT10"/>
      <c r="AU10"/>
      <c r="AV10" s="2"/>
      <c r="AW10" s="2"/>
    </row>
    <row r="11" spans="1:49" s="8" customFormat="1" ht="18" customHeight="1" x14ac:dyDescent="0.2">
      <c r="A11" s="1">
        <v>2001</v>
      </c>
      <c r="B11" s="6"/>
      <c r="C11" s="6"/>
      <c r="D11" s="6"/>
      <c r="E11" s="6"/>
      <c r="F11" s="6"/>
      <c r="G11" s="6"/>
      <c r="H11" s="6">
        <v>31</v>
      </c>
      <c r="I11" s="6"/>
      <c r="J11" s="198">
        <v>106</v>
      </c>
      <c r="K11" s="6"/>
      <c r="L11" s="6"/>
      <c r="M11" s="6"/>
      <c r="N11" s="6"/>
      <c r="O11" s="6"/>
      <c r="P11" s="6"/>
      <c r="Q11" s="6"/>
      <c r="R11" s="6"/>
      <c r="S11" s="6"/>
      <c r="T11" s="1"/>
      <c r="U11" s="1"/>
      <c r="V11" s="1"/>
      <c r="W11" s="1"/>
      <c r="X11" s="7">
        <v>139</v>
      </c>
      <c r="Y11" s="7" t="s">
        <v>7</v>
      </c>
      <c r="Z11" s="62"/>
      <c r="AB11">
        <f t="shared" si="0"/>
        <v>1.3113207547169812</v>
      </c>
      <c r="AC11"/>
      <c r="AD11"/>
      <c r="AE11"/>
      <c r="AF11"/>
      <c r="AG11" s="280"/>
      <c r="AH11" s="229">
        <v>44516</v>
      </c>
      <c r="AI11" s="263">
        <v>0</v>
      </c>
      <c r="AJ11" s="262"/>
      <c r="AK11" s="264">
        <v>0.9</v>
      </c>
      <c r="AL11" s="265">
        <f t="shared" si="1"/>
        <v>0</v>
      </c>
      <c r="AM11" s="262"/>
      <c r="AN11" s="265">
        <f t="shared" si="2"/>
        <v>0</v>
      </c>
      <c r="AO11" s="262"/>
      <c r="AP11" s="278">
        <f t="shared" si="3"/>
        <v>0</v>
      </c>
      <c r="AQ11"/>
      <c r="AR11"/>
      <c r="AS11"/>
      <c r="AT11"/>
      <c r="AU11"/>
      <c r="AV11" s="2"/>
      <c r="AW11" s="2"/>
    </row>
    <row r="12" spans="1:49" s="8" customFormat="1" ht="18" customHeight="1" x14ac:dyDescent="0.2">
      <c r="A12" s="1">
        <v>2002</v>
      </c>
      <c r="B12" s="6"/>
      <c r="C12" s="6"/>
      <c r="D12" s="6"/>
      <c r="E12" s="6"/>
      <c r="F12" s="6"/>
      <c r="G12" s="6"/>
      <c r="H12" s="6">
        <v>35</v>
      </c>
      <c r="I12" s="6"/>
      <c r="J12" s="6">
        <v>34</v>
      </c>
      <c r="K12" s="6"/>
      <c r="L12" s="6"/>
      <c r="M12" s="198">
        <v>39</v>
      </c>
      <c r="N12" s="6"/>
      <c r="O12" s="6">
        <v>2</v>
      </c>
      <c r="P12" s="6"/>
      <c r="Q12" s="6"/>
      <c r="R12" s="6">
        <v>2</v>
      </c>
      <c r="S12" s="6"/>
      <c r="T12" s="1"/>
      <c r="U12" s="1"/>
      <c r="V12" s="1"/>
      <c r="W12" s="1"/>
      <c r="X12" s="7">
        <v>41</v>
      </c>
      <c r="Y12" s="7" t="s">
        <v>9</v>
      </c>
      <c r="Z12" s="62"/>
      <c r="AB12">
        <f t="shared" si="0"/>
        <v>1.0512820512820513</v>
      </c>
      <c r="AC12"/>
      <c r="AD12"/>
      <c r="AE12"/>
      <c r="AF12"/>
      <c r="AG12" s="280"/>
      <c r="AH12" s="229">
        <v>44517</v>
      </c>
      <c r="AI12" s="263">
        <v>0</v>
      </c>
      <c r="AJ12" s="262"/>
      <c r="AK12" s="264">
        <v>0.9</v>
      </c>
      <c r="AL12" s="265">
        <f t="shared" si="1"/>
        <v>0</v>
      </c>
      <c r="AM12" s="262"/>
      <c r="AN12" s="265">
        <f t="shared" si="2"/>
        <v>0</v>
      </c>
      <c r="AO12" s="262"/>
      <c r="AP12" s="278">
        <f t="shared" si="3"/>
        <v>0</v>
      </c>
      <c r="AQ12"/>
      <c r="AR12"/>
      <c r="AS12"/>
      <c r="AT12"/>
      <c r="AU12"/>
      <c r="AV12" s="2"/>
      <c r="AW12" s="2"/>
    </row>
    <row r="13" spans="1:49" s="8" customFormat="1" ht="18" customHeight="1" x14ac:dyDescent="0.2">
      <c r="A13" s="1">
        <v>2003</v>
      </c>
      <c r="B13" s="6"/>
      <c r="C13" s="6"/>
      <c r="D13" s="6"/>
      <c r="E13" s="6"/>
      <c r="F13" s="6"/>
      <c r="G13" s="6"/>
      <c r="H13" s="6"/>
      <c r="I13" s="198">
        <v>305</v>
      </c>
      <c r="J13" s="6">
        <v>97</v>
      </c>
      <c r="K13" s="6"/>
      <c r="L13" s="6">
        <v>72</v>
      </c>
      <c r="M13" s="6"/>
      <c r="N13" s="6">
        <v>1</v>
      </c>
      <c r="O13" s="6">
        <v>0</v>
      </c>
      <c r="P13" s="6"/>
      <c r="Q13" s="6"/>
      <c r="R13" s="6"/>
      <c r="S13" s="6"/>
      <c r="T13" s="1"/>
      <c r="U13" s="1"/>
      <c r="V13" s="1"/>
      <c r="W13" s="1"/>
      <c r="X13" s="7">
        <v>379</v>
      </c>
      <c r="Y13" s="7" t="s">
        <v>5</v>
      </c>
      <c r="Z13" s="62">
        <v>12</v>
      </c>
      <c r="AB13">
        <f t="shared" si="0"/>
        <v>1.2426229508196722</v>
      </c>
      <c r="AC13"/>
      <c r="AD13"/>
      <c r="AE13"/>
      <c r="AF13"/>
      <c r="AG13" s="280"/>
      <c r="AH13" s="229">
        <v>44518</v>
      </c>
      <c r="AI13" s="263">
        <v>0</v>
      </c>
      <c r="AJ13" s="262"/>
      <c r="AK13" s="264">
        <v>0.9</v>
      </c>
      <c r="AL13" s="265">
        <f t="shared" si="1"/>
        <v>0</v>
      </c>
      <c r="AM13" s="262"/>
      <c r="AN13" s="265">
        <f t="shared" si="2"/>
        <v>0</v>
      </c>
      <c r="AO13" s="262"/>
      <c r="AP13" s="278">
        <f t="shared" si="3"/>
        <v>0</v>
      </c>
      <c r="AQ13"/>
      <c r="AR13"/>
      <c r="AS13"/>
      <c r="AT13"/>
      <c r="AU13"/>
      <c r="AV13" s="2"/>
      <c r="AW13" s="2"/>
    </row>
    <row r="14" spans="1:49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198">
        <v>412</v>
      </c>
      <c r="I14" s="6"/>
      <c r="J14" s="6">
        <v>336</v>
      </c>
      <c r="K14" s="6"/>
      <c r="L14" s="6">
        <v>158</v>
      </c>
      <c r="M14" s="6"/>
      <c r="N14" s="6">
        <v>0</v>
      </c>
      <c r="O14" s="6"/>
      <c r="P14" s="6"/>
      <c r="Q14" s="6"/>
      <c r="R14" s="6"/>
      <c r="S14" s="6">
        <v>0</v>
      </c>
      <c r="T14" s="1"/>
      <c r="U14" s="1"/>
      <c r="V14" s="1"/>
      <c r="W14" s="1"/>
      <c r="X14" s="11">
        <v>454</v>
      </c>
      <c r="Y14" s="7" t="s">
        <v>5</v>
      </c>
      <c r="Z14" s="62">
        <v>28</v>
      </c>
      <c r="AB14">
        <f t="shared" si="0"/>
        <v>1.1019417475728155</v>
      </c>
      <c r="AC14"/>
      <c r="AD14"/>
      <c r="AE14"/>
      <c r="AF14"/>
      <c r="AG14" s="290"/>
      <c r="AH14" s="229">
        <v>44519</v>
      </c>
      <c r="AI14" s="55"/>
      <c r="AJ14" s="55"/>
      <c r="AK14" s="55"/>
      <c r="AL14" s="263">
        <v>0</v>
      </c>
      <c r="AM14" s="55"/>
      <c r="AN14" s="265">
        <f t="shared" si="2"/>
        <v>0</v>
      </c>
      <c r="AO14" s="262"/>
      <c r="AP14" s="278">
        <f t="shared" si="3"/>
        <v>0</v>
      </c>
      <c r="AQ14"/>
      <c r="AR14"/>
      <c r="AS14"/>
      <c r="AT14"/>
      <c r="AU14"/>
      <c r="AV14" s="2"/>
      <c r="AW14" s="2"/>
    </row>
    <row r="15" spans="1:49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6">
        <v>1</v>
      </c>
      <c r="I15" s="6"/>
      <c r="J15" s="6"/>
      <c r="K15" s="198">
        <v>159</v>
      </c>
      <c r="L15" s="6"/>
      <c r="M15" s="6"/>
      <c r="N15" s="6"/>
      <c r="O15" s="6"/>
      <c r="P15" s="6">
        <v>0</v>
      </c>
      <c r="Q15" s="6"/>
      <c r="R15" s="6"/>
      <c r="S15" s="6"/>
      <c r="T15" s="1"/>
      <c r="U15" s="1"/>
      <c r="V15" s="1"/>
      <c r="W15" s="1"/>
      <c r="X15" s="11">
        <v>199</v>
      </c>
      <c r="Y15" s="7" t="s">
        <v>9</v>
      </c>
      <c r="Z15" s="52"/>
      <c r="AB15">
        <f t="shared" si="0"/>
        <v>1.2515723270440251</v>
      </c>
      <c r="AC15"/>
      <c r="AD15"/>
      <c r="AE15"/>
      <c r="AF15"/>
      <c r="AG15" s="275" t="s">
        <v>128</v>
      </c>
      <c r="AH15" s="229"/>
      <c r="AI15" s="176"/>
      <c r="AJ15" s="262"/>
      <c r="AK15" s="177"/>
      <c r="AL15" s="178">
        <v>0</v>
      </c>
      <c r="AM15" s="179"/>
      <c r="AN15" s="265">
        <f t="shared" si="2"/>
        <v>0</v>
      </c>
      <c r="AO15" s="262"/>
      <c r="AP15" s="278">
        <f t="shared" si="3"/>
        <v>0</v>
      </c>
      <c r="AQ15"/>
      <c r="AR15"/>
      <c r="AS15"/>
      <c r="AT15"/>
      <c r="AU15"/>
      <c r="AV15" s="2"/>
      <c r="AW15" s="2"/>
    </row>
    <row r="16" spans="1:49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6">
        <v>25</v>
      </c>
      <c r="I16" s="6"/>
      <c r="J16" s="6"/>
      <c r="K16" s="198">
        <v>188</v>
      </c>
      <c r="L16" s="6"/>
      <c r="M16" s="6"/>
      <c r="N16" s="6">
        <v>26</v>
      </c>
      <c r="O16" s="6"/>
      <c r="P16" s="6"/>
      <c r="Q16" s="6"/>
      <c r="R16" s="6"/>
      <c r="S16" s="6"/>
      <c r="T16" s="1"/>
      <c r="U16" s="1"/>
      <c r="V16" s="1"/>
      <c r="W16" s="1"/>
      <c r="X16" s="12">
        <v>228</v>
      </c>
      <c r="Y16" s="7" t="s">
        <v>5</v>
      </c>
      <c r="Z16" s="54">
        <v>21</v>
      </c>
      <c r="AB16">
        <f t="shared" si="0"/>
        <v>1.2127659574468086</v>
      </c>
      <c r="AC16"/>
      <c r="AD16"/>
      <c r="AE16"/>
      <c r="AF16"/>
      <c r="AG16" s="275" t="s">
        <v>2</v>
      </c>
      <c r="AH16" s="167">
        <v>7</v>
      </c>
      <c r="AI16" s="167"/>
      <c r="AJ16" s="167"/>
      <c r="AK16" s="262"/>
      <c r="AL16" s="262"/>
      <c r="AM16" s="262"/>
      <c r="AN16" s="262"/>
      <c r="AO16" s="262"/>
      <c r="AP16" s="277"/>
      <c r="AQ16"/>
      <c r="AR16"/>
      <c r="AS16"/>
      <c r="AT16"/>
      <c r="AU16"/>
      <c r="AV16" s="2"/>
      <c r="AW16" s="2"/>
    </row>
    <row r="17" spans="1:49" s="8" customFormat="1" ht="18" customHeight="1" x14ac:dyDescent="0.2">
      <c r="A17" s="1">
        <v>2007</v>
      </c>
      <c r="B17" s="6"/>
      <c r="C17" s="6"/>
      <c r="D17" s="6"/>
      <c r="E17" s="6"/>
      <c r="F17" s="6"/>
      <c r="G17" s="6"/>
      <c r="H17" s="6">
        <v>115</v>
      </c>
      <c r="I17" s="6"/>
      <c r="J17" s="198">
        <v>129</v>
      </c>
      <c r="K17" s="6"/>
      <c r="L17" s="6"/>
      <c r="M17" s="6"/>
      <c r="N17" s="6"/>
      <c r="O17" s="6"/>
      <c r="P17" s="6"/>
      <c r="Q17" s="6">
        <v>0</v>
      </c>
      <c r="R17" s="6">
        <v>0</v>
      </c>
      <c r="S17" s="6"/>
      <c r="T17" s="1"/>
      <c r="U17" s="1"/>
      <c r="V17" s="1"/>
      <c r="W17" s="1"/>
      <c r="X17" s="12">
        <v>162</v>
      </c>
      <c r="Y17" s="7" t="s">
        <v>5</v>
      </c>
      <c r="Z17" s="54">
        <v>30</v>
      </c>
      <c r="AB17">
        <f t="shared" si="0"/>
        <v>1.2558139534883721</v>
      </c>
      <c r="AC17"/>
      <c r="AD17"/>
      <c r="AE17"/>
      <c r="AF17"/>
      <c r="AG17" s="275" t="s">
        <v>129</v>
      </c>
      <c r="AH17" s="167"/>
      <c r="AI17" s="167">
        <f>MAX(AI5:AI15)</f>
        <v>131</v>
      </c>
      <c r="AJ17" s="167"/>
      <c r="AK17" s="167"/>
      <c r="AL17" s="167">
        <f>MAX(AL5:AL15)</f>
        <v>163.75</v>
      </c>
      <c r="AM17" s="167"/>
      <c r="AN17" s="167"/>
      <c r="AO17" s="262"/>
      <c r="AP17" s="277"/>
      <c r="AQ17"/>
      <c r="AR17"/>
      <c r="AS17"/>
      <c r="AT17"/>
      <c r="AU17"/>
      <c r="AV17" s="55"/>
      <c r="AW17" s="55"/>
    </row>
    <row r="18" spans="1:49" s="8" customFormat="1" ht="18" customHeight="1" x14ac:dyDescent="0.2">
      <c r="A18" s="1">
        <v>2008</v>
      </c>
      <c r="B18" s="1"/>
      <c r="C18" s="1"/>
      <c r="D18" s="1"/>
      <c r="E18" s="1"/>
      <c r="F18" s="1"/>
      <c r="G18" s="129">
        <v>183</v>
      </c>
      <c r="H18" s="1"/>
      <c r="I18" s="1"/>
      <c r="J18" s="1">
        <v>137</v>
      </c>
      <c r="K18" s="1">
        <v>70</v>
      </c>
      <c r="L18" s="1"/>
      <c r="M18" s="1"/>
      <c r="N18" s="1">
        <v>1</v>
      </c>
      <c r="O18" s="1"/>
      <c r="P18" s="1"/>
      <c r="Q18" s="1"/>
      <c r="R18" s="1">
        <v>0</v>
      </c>
      <c r="S18" s="1"/>
      <c r="T18" s="1"/>
      <c r="U18" s="1"/>
      <c r="V18" s="1"/>
      <c r="W18" s="1"/>
      <c r="X18" s="1">
        <v>200</v>
      </c>
      <c r="Y18" s="7" t="s">
        <v>5</v>
      </c>
      <c r="Z18" s="62">
        <v>28</v>
      </c>
      <c r="AB18">
        <f t="shared" si="0"/>
        <v>1.0928961748633881</v>
      </c>
      <c r="AC18"/>
      <c r="AD18"/>
      <c r="AE18"/>
      <c r="AF18"/>
      <c r="AG18" s="275" t="s">
        <v>130</v>
      </c>
      <c r="AH18" s="167"/>
      <c r="AI18" s="263">
        <v>20</v>
      </c>
      <c r="AJ18" s="167"/>
      <c r="AK18" s="262"/>
      <c r="AL18" s="263">
        <v>20</v>
      </c>
      <c r="AM18" s="266"/>
      <c r="AN18" s="266"/>
      <c r="AO18" s="262"/>
      <c r="AP18" s="277"/>
      <c r="AQ18"/>
      <c r="AR18"/>
      <c r="AS18"/>
      <c r="AT18"/>
      <c r="AU18"/>
      <c r="AV18" s="2"/>
      <c r="AW18" s="2"/>
    </row>
    <row r="19" spans="1:49" s="8" customFormat="1" ht="18" customHeight="1" x14ac:dyDescent="0.2">
      <c r="A19" s="1">
        <v>2009</v>
      </c>
      <c r="B19" s="1"/>
      <c r="C19" s="1"/>
      <c r="D19" s="1"/>
      <c r="E19" s="1"/>
      <c r="F19" s="1"/>
      <c r="G19" s="1"/>
      <c r="H19" s="1"/>
      <c r="I19" s="129">
        <v>132</v>
      </c>
      <c r="J19" s="1">
        <v>91</v>
      </c>
      <c r="K19" s="1">
        <v>86</v>
      </c>
      <c r="L19" s="1"/>
      <c r="M19" s="1">
        <v>50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>
        <v>215</v>
      </c>
      <c r="Y19" s="7" t="s">
        <v>5</v>
      </c>
      <c r="Z19" s="62">
        <v>30</v>
      </c>
      <c r="AB19">
        <f t="shared" si="0"/>
        <v>1.6287878787878789</v>
      </c>
      <c r="AC19"/>
      <c r="AD19"/>
      <c r="AE19"/>
      <c r="AF19"/>
      <c r="AG19" s="275" t="s">
        <v>131</v>
      </c>
      <c r="AH19" s="167"/>
      <c r="AI19" s="267">
        <f>(0.5*SUM(AN6:AN15))/AI18</f>
        <v>215.22499999999999</v>
      </c>
      <c r="AJ19" s="167"/>
      <c r="AK19" s="262"/>
      <c r="AL19" s="267">
        <f>(0.5*SUM(AP6:AP15))/AL18</f>
        <v>265.52430555555554</v>
      </c>
      <c r="AM19" s="266"/>
      <c r="AN19" s="266"/>
      <c r="AO19" s="262"/>
      <c r="AP19" s="277"/>
      <c r="AQ19"/>
      <c r="AR19"/>
      <c r="AS19"/>
      <c r="AT19"/>
      <c r="AU19"/>
      <c r="AV19" s="2"/>
      <c r="AW19" s="2"/>
    </row>
    <row r="20" spans="1:49" s="8" customFormat="1" ht="18" customHeight="1" thickBot="1" x14ac:dyDescent="0.25">
      <c r="A20" s="1">
        <v>2010</v>
      </c>
      <c r="B20" s="1"/>
      <c r="C20" s="1"/>
      <c r="D20" s="1"/>
      <c r="E20" s="1"/>
      <c r="F20" s="1"/>
      <c r="G20" s="1">
        <v>0</v>
      </c>
      <c r="H20" s="1"/>
      <c r="I20" s="1"/>
      <c r="J20" s="129">
        <v>65</v>
      </c>
      <c r="K20" s="1"/>
      <c r="L20" s="1"/>
      <c r="M20" s="1">
        <v>9</v>
      </c>
      <c r="N20" s="1"/>
      <c r="O20" s="1">
        <v>0</v>
      </c>
      <c r="P20" s="1"/>
      <c r="Q20" s="1"/>
      <c r="R20" s="1"/>
      <c r="S20" s="1"/>
      <c r="T20" s="1"/>
      <c r="U20" s="1"/>
      <c r="V20" s="1"/>
      <c r="W20" s="1"/>
      <c r="X20" s="1">
        <v>110</v>
      </c>
      <c r="Y20" s="7"/>
      <c r="Z20" s="62"/>
      <c r="AA20" s="8">
        <v>4</v>
      </c>
      <c r="AB20">
        <f t="shared" si="0"/>
        <v>1.6923076923076923</v>
      </c>
      <c r="AC20"/>
      <c r="AD20"/>
      <c r="AE20"/>
      <c r="AF20"/>
      <c r="AG20" s="291"/>
      <c r="AH20" s="286"/>
      <c r="AI20" s="286"/>
      <c r="AJ20" s="286"/>
      <c r="AK20" s="286"/>
      <c r="AL20" s="286"/>
      <c r="AM20" s="286"/>
      <c r="AN20" s="286"/>
      <c r="AO20" s="286"/>
      <c r="AP20" s="288"/>
      <c r="AQ20"/>
      <c r="AR20"/>
      <c r="AS20"/>
      <c r="AT20"/>
      <c r="AU20"/>
      <c r="AV20" s="2"/>
      <c r="AW20" s="2"/>
    </row>
    <row r="21" spans="1:49" s="8" customFormat="1" ht="18" customHeight="1" x14ac:dyDescent="0.2">
      <c r="A21" s="1">
        <v>2011</v>
      </c>
      <c r="B21" s="1"/>
      <c r="C21" s="1"/>
      <c r="D21" s="1"/>
      <c r="E21" s="1"/>
      <c r="F21" s="1"/>
      <c r="G21" s="1"/>
      <c r="H21" s="1"/>
      <c r="I21" s="1"/>
      <c r="J21" s="1"/>
      <c r="K21" s="129">
        <v>53</v>
      </c>
      <c r="L21" s="1"/>
      <c r="M21" s="1">
        <v>14</v>
      </c>
      <c r="N21" s="1">
        <v>4</v>
      </c>
      <c r="O21" s="1">
        <v>2</v>
      </c>
      <c r="P21" s="1"/>
      <c r="Q21" s="1">
        <v>0</v>
      </c>
      <c r="R21" s="1"/>
      <c r="S21" s="1"/>
      <c r="T21" s="1"/>
      <c r="U21" s="1">
        <v>0</v>
      </c>
      <c r="V21" s="1"/>
      <c r="W21" s="1"/>
      <c r="X21" s="1">
        <v>85</v>
      </c>
      <c r="Y21" s="7" t="s">
        <v>5</v>
      </c>
      <c r="Z21" s="62">
        <v>20</v>
      </c>
      <c r="AA21" s="8">
        <v>4</v>
      </c>
      <c r="AB21">
        <f t="shared" si="0"/>
        <v>1.6037735849056605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9" s="8" customFormat="1" ht="18" customHeight="1" x14ac:dyDescent="0.2">
      <c r="A22" s="1">
        <v>2012</v>
      </c>
      <c r="B22" s="1"/>
      <c r="C22" s="1"/>
      <c r="D22" s="1"/>
      <c r="E22" s="1"/>
      <c r="F22" s="1">
        <v>0</v>
      </c>
      <c r="G22" s="1">
        <v>49</v>
      </c>
      <c r="H22" s="1">
        <v>47</v>
      </c>
      <c r="I22" s="1">
        <v>48</v>
      </c>
      <c r="J22" s="1">
        <v>76</v>
      </c>
      <c r="K22" s="129">
        <v>77</v>
      </c>
      <c r="L22" s="1"/>
      <c r="M22" s="1">
        <v>29</v>
      </c>
      <c r="N22" s="1">
        <v>3</v>
      </c>
      <c r="O22" s="1">
        <v>0</v>
      </c>
      <c r="P22" s="1"/>
      <c r="Q22" s="1"/>
      <c r="R22" s="1">
        <v>0</v>
      </c>
      <c r="S22" s="1"/>
      <c r="T22" s="1"/>
      <c r="U22" s="1"/>
      <c r="V22" s="1"/>
      <c r="W22" s="1"/>
      <c r="X22" s="1">
        <v>141</v>
      </c>
      <c r="Y22" s="7" t="s">
        <v>5</v>
      </c>
      <c r="Z22" s="62">
        <v>20</v>
      </c>
      <c r="AB22">
        <f t="shared" si="0"/>
        <v>1.8311688311688312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9" s="8" customFormat="1" ht="18" customHeight="1" x14ac:dyDescent="0.2">
      <c r="A23" s="1">
        <v>2013</v>
      </c>
      <c r="B23" s="1"/>
      <c r="C23" s="1"/>
      <c r="D23" s="1"/>
      <c r="E23" s="1"/>
      <c r="F23" s="13">
        <v>110</v>
      </c>
      <c r="G23" s="13">
        <v>87</v>
      </c>
      <c r="H23" s="13">
        <v>86</v>
      </c>
      <c r="I23" s="130">
        <v>252</v>
      </c>
      <c r="J23" s="13">
        <v>42</v>
      </c>
      <c r="K23" s="13">
        <v>22</v>
      </c>
      <c r="L23" s="13"/>
      <c r="M23" s="13">
        <v>2</v>
      </c>
      <c r="N23" s="13">
        <v>1</v>
      </c>
      <c r="O23" s="13"/>
      <c r="P23" s="13"/>
      <c r="Q23" s="13"/>
      <c r="R23" s="13">
        <v>0</v>
      </c>
      <c r="S23" s="1">
        <v>0</v>
      </c>
      <c r="T23" s="1"/>
      <c r="U23" s="1"/>
      <c r="V23" s="1"/>
      <c r="W23" s="1"/>
      <c r="X23" s="1">
        <v>399</v>
      </c>
      <c r="Y23" s="7" t="s">
        <v>5</v>
      </c>
      <c r="Z23" s="62">
        <v>20</v>
      </c>
      <c r="AB23">
        <f t="shared" si="0"/>
        <v>1.5833333333333333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9" s="8" customFormat="1" ht="18" customHeight="1" x14ac:dyDescent="0.2">
      <c r="A24" s="1">
        <v>2014</v>
      </c>
      <c r="B24" s="1"/>
      <c r="C24" s="1"/>
      <c r="D24" s="1"/>
      <c r="E24" s="1"/>
      <c r="F24" s="200">
        <v>1</v>
      </c>
      <c r="G24" s="200">
        <v>0</v>
      </c>
      <c r="H24" s="201"/>
      <c r="I24" s="296">
        <v>72</v>
      </c>
      <c r="J24" s="202">
        <v>17</v>
      </c>
      <c r="K24" s="200">
        <v>23</v>
      </c>
      <c r="L24" s="201"/>
      <c r="M24" s="200">
        <v>1</v>
      </c>
      <c r="N24" s="201"/>
      <c r="O24" s="200">
        <v>0</v>
      </c>
      <c r="P24" s="201"/>
      <c r="Q24" s="203"/>
      <c r="R24" s="200">
        <v>0</v>
      </c>
      <c r="S24" s="1"/>
      <c r="T24" s="1"/>
      <c r="U24" s="1"/>
      <c r="V24" s="1"/>
      <c r="W24" s="1"/>
      <c r="X24" s="1">
        <v>91</v>
      </c>
      <c r="Y24" s="7" t="s">
        <v>5</v>
      </c>
      <c r="Z24" s="62">
        <v>8</v>
      </c>
      <c r="AA24" s="8" t="s">
        <v>133</v>
      </c>
      <c r="AB24">
        <f t="shared" si="0"/>
        <v>1.2638888888888888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9" s="8" customFormat="1" ht="18" customHeight="1" x14ac:dyDescent="0.2">
      <c r="A25" s="1">
        <v>2015</v>
      </c>
      <c r="B25" s="1"/>
      <c r="C25" s="1"/>
      <c r="D25" s="1"/>
      <c r="E25" s="1"/>
      <c r="F25" s="202">
        <v>15</v>
      </c>
      <c r="G25" s="202">
        <v>771</v>
      </c>
      <c r="H25" s="484">
        <v>782</v>
      </c>
      <c r="I25" s="1"/>
      <c r="J25" s="296">
        <v>196</v>
      </c>
      <c r="K25" s="296">
        <v>127</v>
      </c>
      <c r="L25" s="296">
        <v>36</v>
      </c>
      <c r="M25" s="296">
        <v>10</v>
      </c>
      <c r="N25" s="296">
        <v>2</v>
      </c>
      <c r="O25" s="296">
        <v>3</v>
      </c>
      <c r="P25" s="1"/>
      <c r="Q25" s="1"/>
      <c r="R25" s="1"/>
      <c r="S25" s="1"/>
      <c r="T25" s="1"/>
      <c r="U25" s="1"/>
      <c r="V25" s="1"/>
      <c r="W25" s="1"/>
      <c r="X25" s="1">
        <v>1113</v>
      </c>
      <c r="Y25" s="7" t="s">
        <v>5</v>
      </c>
      <c r="Z25" s="62">
        <v>20</v>
      </c>
      <c r="AB25">
        <f t="shared" si="0"/>
        <v>1.4232736572890026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9" s="8" customFormat="1" ht="18" customHeight="1" x14ac:dyDescent="0.2">
      <c r="A26" s="1">
        <v>2016</v>
      </c>
      <c r="B26" s="1"/>
      <c r="C26" s="1"/>
      <c r="D26" s="1"/>
      <c r="E26" s="1"/>
      <c r="F26" s="1"/>
      <c r="G26" s="202">
        <v>114</v>
      </c>
      <c r="H26" s="484">
        <v>121</v>
      </c>
      <c r="I26" s="1"/>
      <c r="J26" s="296">
        <v>85</v>
      </c>
      <c r="K26" s="296">
        <v>55</v>
      </c>
      <c r="L26" s="1"/>
      <c r="M26" s="296">
        <v>4</v>
      </c>
      <c r="N26" s="1"/>
      <c r="O26" s="202">
        <v>6</v>
      </c>
      <c r="P26" s="1"/>
      <c r="Q26" s="1"/>
      <c r="R26" s="1"/>
      <c r="S26" s="1"/>
      <c r="T26" s="1"/>
      <c r="U26" s="1"/>
      <c r="V26" s="1"/>
      <c r="W26" s="1"/>
      <c r="X26" s="1">
        <v>166</v>
      </c>
      <c r="Y26" s="7" t="s">
        <v>5</v>
      </c>
      <c r="Z26" s="62">
        <v>25</v>
      </c>
      <c r="AB26">
        <f t="shared" si="0"/>
        <v>1.3719008264462811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9" s="8" customFormat="1" ht="18" customHeight="1" x14ac:dyDescent="0.2">
      <c r="A27" s="1">
        <v>2017</v>
      </c>
      <c r="B27" s="1"/>
      <c r="C27" s="1"/>
      <c r="D27" s="1"/>
      <c r="E27" s="1"/>
      <c r="F27" s="200">
        <v>1</v>
      </c>
      <c r="G27" s="1"/>
      <c r="H27" s="200">
        <v>200</v>
      </c>
      <c r="I27" s="200">
        <v>203</v>
      </c>
      <c r="J27" s="200">
        <v>130</v>
      </c>
      <c r="K27" s="200">
        <v>52</v>
      </c>
      <c r="L27" s="1"/>
      <c r="M27" s="483">
        <v>3</v>
      </c>
      <c r="N27" s="483">
        <v>1</v>
      </c>
      <c r="O27" s="1"/>
      <c r="P27" s="1"/>
      <c r="Q27" s="1"/>
      <c r="R27" s="1"/>
      <c r="S27" s="1"/>
      <c r="T27" s="1"/>
      <c r="U27" s="1"/>
      <c r="V27" s="1"/>
      <c r="W27" s="1"/>
      <c r="X27" s="1">
        <v>274</v>
      </c>
      <c r="Y27" s="7"/>
      <c r="Z27" s="62"/>
      <c r="AB27">
        <f t="shared" si="0"/>
        <v>1.3497536945812807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9" s="8" customFormat="1" ht="18" customHeight="1" x14ac:dyDescent="0.2">
      <c r="A28" s="1">
        <v>2018</v>
      </c>
      <c r="B28" s="1"/>
      <c r="C28" s="1"/>
      <c r="D28" s="1"/>
      <c r="E28" s="1"/>
      <c r="F28" s="1"/>
      <c r="G28" s="200">
        <v>287</v>
      </c>
      <c r="H28" s="530">
        <v>163</v>
      </c>
      <c r="I28" s="483">
        <v>191</v>
      </c>
      <c r="J28" s="530">
        <v>375</v>
      </c>
      <c r="K28" s="483">
        <v>125</v>
      </c>
      <c r="L28" s="1"/>
      <c r="M28" s="200">
        <v>9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>
        <v>555</v>
      </c>
      <c r="Y28" s="7" t="s">
        <v>5</v>
      </c>
      <c r="Z28" s="62">
        <v>20</v>
      </c>
      <c r="AB28">
        <f t="shared" si="0"/>
        <v>1.48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9" s="8" customFormat="1" ht="18" customHeight="1" x14ac:dyDescent="0.2">
      <c r="A29" s="1">
        <v>2019</v>
      </c>
      <c r="B29" s="1"/>
      <c r="C29" s="1"/>
      <c r="D29" s="1"/>
      <c r="E29" s="1"/>
      <c r="F29" s="109">
        <v>94</v>
      </c>
      <c r="G29" s="1"/>
      <c r="H29" s="106">
        <v>227</v>
      </c>
      <c r="I29" s="106">
        <v>196</v>
      </c>
      <c r="J29" s="536">
        <v>173</v>
      </c>
      <c r="K29" s="156">
        <v>93</v>
      </c>
      <c r="L29" s="1"/>
      <c r="M29" s="106">
        <v>4</v>
      </c>
      <c r="N29" s="156">
        <v>23</v>
      </c>
      <c r="O29" s="1"/>
      <c r="P29" s="1"/>
      <c r="Q29" s="1"/>
      <c r="R29" s="1"/>
      <c r="S29" s="1"/>
      <c r="T29" s="1"/>
      <c r="U29" s="1"/>
      <c r="V29" s="1"/>
      <c r="W29" s="1"/>
      <c r="X29" s="1">
        <v>441</v>
      </c>
      <c r="Y29" s="7" t="s">
        <v>5</v>
      </c>
      <c r="Z29" s="62">
        <v>20</v>
      </c>
      <c r="AB29">
        <f>X29/MAX(B29:W29)</f>
        <v>1.9427312775330396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9" s="8" customFormat="1" ht="18" customHeight="1" x14ac:dyDescent="0.2">
      <c r="A30" s="1">
        <v>2020</v>
      </c>
      <c r="B30" s="1"/>
      <c r="C30" s="1"/>
      <c r="D30" s="1"/>
      <c r="E30" s="1"/>
      <c r="F30" s="1"/>
      <c r="G30" s="106">
        <v>35</v>
      </c>
      <c r="H30" s="106">
        <v>71</v>
      </c>
      <c r="I30" s="1"/>
      <c r="J30" s="693">
        <v>69</v>
      </c>
      <c r="K30" s="1"/>
      <c r="L30" s="106">
        <v>10</v>
      </c>
      <c r="M30" s="1"/>
      <c r="N30" s="156">
        <v>9</v>
      </c>
      <c r="O30" s="536">
        <v>6</v>
      </c>
      <c r="P30" s="1"/>
      <c r="Q30" s="1"/>
      <c r="R30" s="1"/>
      <c r="S30" s="1"/>
      <c r="T30" s="1"/>
      <c r="U30" s="1"/>
      <c r="V30" s="1"/>
      <c r="W30" s="1"/>
      <c r="X30" s="1">
        <v>117</v>
      </c>
      <c r="Y30" s="7" t="s">
        <v>5</v>
      </c>
      <c r="Z30" s="62">
        <v>20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 s="94" customFormat="1" ht="18" customHeight="1" x14ac:dyDescent="0.2">
      <c r="A31" s="227">
        <v>2021</v>
      </c>
      <c r="B31" s="227"/>
      <c r="C31" s="227"/>
      <c r="D31" s="227"/>
      <c r="E31" s="227"/>
      <c r="F31" s="227"/>
      <c r="G31" s="227"/>
      <c r="H31" s="106">
        <v>91</v>
      </c>
      <c r="I31" s="227"/>
      <c r="J31" s="752"/>
      <c r="K31" s="106">
        <v>132</v>
      </c>
      <c r="L31" s="227"/>
      <c r="M31" s="106">
        <v>8</v>
      </c>
      <c r="N31" s="558"/>
      <c r="O31" s="156">
        <v>30</v>
      </c>
      <c r="P31" s="227"/>
      <c r="Q31" s="227"/>
      <c r="R31" s="227"/>
      <c r="S31" s="227"/>
      <c r="T31" s="227"/>
      <c r="U31" s="227"/>
      <c r="V31" s="227"/>
      <c r="W31" s="227"/>
      <c r="X31" s="227">
        <v>242</v>
      </c>
      <c r="Y31" s="7" t="s">
        <v>5</v>
      </c>
      <c r="Z31" s="750"/>
      <c r="AB31">
        <f t="shared" ref="AB31" si="4">X31/MAX(B31:W31)</f>
        <v>1.8333333333333333</v>
      </c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</row>
    <row r="32" spans="1:49" s="94" customFormat="1" ht="18" customHeight="1" x14ac:dyDescent="0.2">
      <c r="A32" s="227">
        <v>2022</v>
      </c>
      <c r="B32" s="227"/>
      <c r="C32" s="227"/>
      <c r="D32" s="227"/>
      <c r="E32" s="227"/>
      <c r="F32" s="106">
        <v>0</v>
      </c>
      <c r="G32" s="227"/>
      <c r="H32" s="427">
        <v>60</v>
      </c>
      <c r="I32" s="227"/>
      <c r="J32" s="897">
        <v>91</v>
      </c>
      <c r="K32" s="227"/>
      <c r="L32" s="227"/>
      <c r="M32" s="227"/>
      <c r="N32" s="558"/>
      <c r="O32" s="156">
        <v>1</v>
      </c>
      <c r="P32" s="106">
        <v>1</v>
      </c>
      <c r="Q32" s="227"/>
      <c r="R32" s="227"/>
      <c r="S32" s="227"/>
      <c r="T32" s="227"/>
      <c r="U32" s="227"/>
      <c r="V32" s="227"/>
      <c r="W32" s="227"/>
      <c r="X32" s="227"/>
      <c r="Y32" s="11"/>
      <c r="Z32" s="750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</row>
    <row r="33" spans="1:47" s="94" customFormat="1" ht="18" customHeight="1" x14ac:dyDescent="0.2">
      <c r="A33" s="227">
        <v>2023</v>
      </c>
      <c r="B33" s="227"/>
      <c r="C33" s="227"/>
      <c r="D33" s="227"/>
      <c r="E33" s="106">
        <v>7</v>
      </c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11"/>
      <c r="Z33" s="750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</row>
    <row r="34" spans="1:47" s="8" customFormat="1" ht="18" customHeight="1" x14ac:dyDescent="0.2">
      <c r="A34" s="64" t="s">
        <v>17</v>
      </c>
      <c r="B34" s="16"/>
      <c r="C34" s="16"/>
      <c r="D34" s="16">
        <f t="shared" ref="D34:V34" si="5">AVERAGE(D5:D19)</f>
        <v>0</v>
      </c>
      <c r="E34" s="16"/>
      <c r="F34" s="16"/>
      <c r="G34" s="16">
        <f t="shared" si="5"/>
        <v>68.2</v>
      </c>
      <c r="H34" s="16">
        <f t="shared" si="5"/>
        <v>82.2</v>
      </c>
      <c r="I34" s="16">
        <f t="shared" si="5"/>
        <v>86.285714285714292</v>
      </c>
      <c r="J34" s="16">
        <f t="shared" si="5"/>
        <v>141.80000000000001</v>
      </c>
      <c r="K34" s="16">
        <f t="shared" si="5"/>
        <v>117.11111111111111</v>
      </c>
      <c r="L34" s="16">
        <f t="shared" si="5"/>
        <v>78</v>
      </c>
      <c r="M34" s="16">
        <f t="shared" si="5"/>
        <v>57</v>
      </c>
      <c r="N34" s="16">
        <f t="shared" si="5"/>
        <v>10</v>
      </c>
      <c r="O34" s="16">
        <f t="shared" si="5"/>
        <v>2.6</v>
      </c>
      <c r="P34" s="16">
        <f t="shared" si="5"/>
        <v>1.6666666666666667</v>
      </c>
      <c r="Q34" s="16">
        <f t="shared" si="5"/>
        <v>0.5</v>
      </c>
      <c r="R34" s="16">
        <f t="shared" si="5"/>
        <v>1</v>
      </c>
      <c r="S34" s="16">
        <f t="shared" si="5"/>
        <v>0</v>
      </c>
      <c r="T34" s="16">
        <f t="shared" si="5"/>
        <v>0</v>
      </c>
      <c r="U34" s="16">
        <f t="shared" si="5"/>
        <v>0</v>
      </c>
      <c r="V34" s="16">
        <f t="shared" si="5"/>
        <v>0</v>
      </c>
      <c r="W34" s="16"/>
      <c r="X34" s="16">
        <f>AVERAGE(X5:X19)</f>
        <v>232.33333333333334</v>
      </c>
      <c r="Y34" s="17"/>
      <c r="Z34" s="16">
        <f>AVERAGE(Z5:Z18)</f>
        <v>20.9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ht="18" customHeight="1" x14ac:dyDescent="0.2">
      <c r="A36" s="1002" t="s">
        <v>632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ht="18" customHeight="1" thickTop="1" thickBot="1" x14ac:dyDescent="0.25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8" customHeight="1" x14ac:dyDescent="0.25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B39" t="s">
        <v>142</v>
      </c>
      <c r="AC39"/>
      <c r="AD39"/>
      <c r="AE39"/>
      <c r="AF39"/>
      <c r="AG39" s="269" t="s">
        <v>117</v>
      </c>
      <c r="AH39" s="270" t="s">
        <v>118</v>
      </c>
      <c r="AI39" s="271" t="s">
        <v>119</v>
      </c>
      <c r="AJ39" s="272"/>
      <c r="AK39" s="271" t="s">
        <v>120</v>
      </c>
      <c r="AL39" s="271"/>
      <c r="AM39" s="272"/>
      <c r="AN39" s="273" t="s">
        <v>121</v>
      </c>
      <c r="AO39" s="272"/>
      <c r="AP39" s="274" t="s">
        <v>122</v>
      </c>
      <c r="AQ39"/>
      <c r="AR39"/>
      <c r="AS39"/>
      <c r="AT39"/>
      <c r="AU39"/>
    </row>
    <row r="40" spans="1:47" ht="18" customHeight="1" x14ac:dyDescent="0.2">
      <c r="A40" s="1">
        <v>1995</v>
      </c>
      <c r="B40" s="6"/>
      <c r="C40" s="6"/>
      <c r="D40" s="6"/>
      <c r="E40" s="6"/>
      <c r="F40" s="6"/>
      <c r="G40" s="6"/>
      <c r="H40" s="6">
        <v>15</v>
      </c>
      <c r="I40" s="6">
        <v>5</v>
      </c>
      <c r="J40" s="6">
        <v>160</v>
      </c>
      <c r="K40" s="6"/>
      <c r="L40" s="6"/>
      <c r="M40" s="6">
        <v>0</v>
      </c>
      <c r="N40" s="6"/>
      <c r="O40" s="6"/>
      <c r="P40" s="6"/>
      <c r="Q40" s="6"/>
      <c r="R40" s="6"/>
      <c r="S40" s="6"/>
      <c r="T40" s="13"/>
      <c r="U40" s="13"/>
      <c r="V40" s="13"/>
      <c r="W40" s="13"/>
      <c r="X40" s="29">
        <v>160</v>
      </c>
      <c r="Y40" s="7" t="s">
        <v>7</v>
      </c>
      <c r="Z40" s="58"/>
      <c r="AB40">
        <f>X40/MAX(B40:W40)</f>
        <v>1</v>
      </c>
      <c r="AC40"/>
      <c r="AD40"/>
      <c r="AE40"/>
      <c r="AF40"/>
      <c r="AG40" s="275" t="s">
        <v>36</v>
      </c>
      <c r="AH40" s="830"/>
      <c r="AI40" s="830" t="s">
        <v>146</v>
      </c>
      <c r="AJ40" s="262"/>
      <c r="AK40" s="163" t="s">
        <v>148</v>
      </c>
      <c r="AL40" s="163" t="s">
        <v>147</v>
      </c>
      <c r="AM40" s="262"/>
      <c r="AN40" s="164"/>
      <c r="AO40" s="262"/>
      <c r="AP40" s="276"/>
      <c r="AQ40"/>
      <c r="AR40"/>
      <c r="AS40"/>
      <c r="AT40"/>
      <c r="AU40"/>
    </row>
    <row r="41" spans="1:47" ht="18" customHeight="1" x14ac:dyDescent="0.2">
      <c r="A41" s="1">
        <v>1996</v>
      </c>
      <c r="B41" s="6"/>
      <c r="C41" s="6"/>
      <c r="D41" s="6"/>
      <c r="E41" s="6"/>
      <c r="F41" s="6"/>
      <c r="G41" s="6">
        <v>11</v>
      </c>
      <c r="H41" s="6"/>
      <c r="I41" s="6">
        <v>32</v>
      </c>
      <c r="J41" s="6"/>
      <c r="K41" s="6">
        <v>168</v>
      </c>
      <c r="L41" s="6"/>
      <c r="M41" s="6"/>
      <c r="N41" s="6">
        <v>70</v>
      </c>
      <c r="O41" s="6">
        <v>168</v>
      </c>
      <c r="P41" s="6"/>
      <c r="Q41" s="6"/>
      <c r="R41" s="6">
        <v>82</v>
      </c>
      <c r="S41" s="6"/>
      <c r="T41" s="13"/>
      <c r="U41" s="13"/>
      <c r="V41" s="13"/>
      <c r="W41" s="13"/>
      <c r="X41" s="29">
        <v>212</v>
      </c>
      <c r="Y41" s="7" t="s">
        <v>5</v>
      </c>
      <c r="Z41" s="60">
        <v>55</v>
      </c>
      <c r="AB41">
        <f t="shared" ref="AB41:AB66" si="6">X41/MAX(B41:W41)</f>
        <v>1.2619047619047619</v>
      </c>
      <c r="AC41"/>
      <c r="AD41"/>
      <c r="AE41"/>
      <c r="AF41"/>
      <c r="AG41" s="275" t="s">
        <v>127</v>
      </c>
      <c r="AH41" s="229">
        <v>44440</v>
      </c>
      <c r="AI41" s="167"/>
      <c r="AJ41" s="262"/>
      <c r="AK41" s="262"/>
      <c r="AL41" s="263">
        <v>0</v>
      </c>
      <c r="AM41" s="262"/>
      <c r="AN41" s="262"/>
      <c r="AO41" s="262"/>
      <c r="AP41" s="277"/>
      <c r="AQ41"/>
      <c r="AR41"/>
      <c r="AS41"/>
      <c r="AT41"/>
      <c r="AU41"/>
    </row>
    <row r="42" spans="1:47" ht="18" customHeight="1" x14ac:dyDescent="0.2">
      <c r="A42" s="1">
        <v>1997</v>
      </c>
      <c r="B42" s="6"/>
      <c r="C42" s="6"/>
      <c r="D42" s="6">
        <v>0</v>
      </c>
      <c r="E42" s="6"/>
      <c r="F42" s="6"/>
      <c r="G42" s="6">
        <v>20</v>
      </c>
      <c r="H42" s="6">
        <v>64</v>
      </c>
      <c r="I42" s="6">
        <v>105</v>
      </c>
      <c r="J42" s="6"/>
      <c r="K42" s="6">
        <v>341</v>
      </c>
      <c r="L42" s="6">
        <v>138</v>
      </c>
      <c r="M42" s="6">
        <v>318</v>
      </c>
      <c r="N42" s="6"/>
      <c r="O42" s="6"/>
      <c r="P42" s="6">
        <v>351</v>
      </c>
      <c r="Q42" s="6"/>
      <c r="R42" s="6"/>
      <c r="S42" s="6"/>
      <c r="T42" s="13"/>
      <c r="U42" s="13"/>
      <c r="V42" s="13"/>
      <c r="W42" s="13"/>
      <c r="X42" s="29">
        <v>678</v>
      </c>
      <c r="Y42" s="7" t="s">
        <v>5</v>
      </c>
      <c r="Z42" s="58">
        <v>35</v>
      </c>
      <c r="AB42">
        <f t="shared" si="6"/>
        <v>1.9316239316239316</v>
      </c>
      <c r="AC42"/>
      <c r="AD42"/>
      <c r="AE42"/>
      <c r="AF42"/>
      <c r="AG42" s="275"/>
      <c r="AH42" s="229">
        <v>44455</v>
      </c>
      <c r="AI42" s="263">
        <v>147</v>
      </c>
      <c r="AJ42" s="262"/>
      <c r="AK42" s="264">
        <v>0.8</v>
      </c>
      <c r="AL42" s="265">
        <f t="shared" ref="AL42:AL49" si="7">AI42/AK42</f>
        <v>183.75</v>
      </c>
      <c r="AM42" s="262"/>
      <c r="AN42" s="265">
        <f>(AH42-AH41)*(AI42+AI41)</f>
        <v>2205</v>
      </c>
      <c r="AO42" s="262"/>
      <c r="AP42" s="278">
        <f>(AH42-AH41)*(AL42+AL41)</f>
        <v>2756.25</v>
      </c>
      <c r="AQ42"/>
      <c r="AR42"/>
      <c r="AS42"/>
      <c r="AT42"/>
      <c r="AU42"/>
    </row>
    <row r="43" spans="1:47" ht="18" customHeight="1" x14ac:dyDescent="0.2">
      <c r="A43" s="1">
        <v>1998</v>
      </c>
      <c r="B43" s="6"/>
      <c r="C43" s="6"/>
      <c r="D43" s="6"/>
      <c r="E43" s="6"/>
      <c r="F43" s="6"/>
      <c r="G43" s="6">
        <v>99</v>
      </c>
      <c r="H43" s="6">
        <v>105</v>
      </c>
      <c r="I43" s="6">
        <v>122</v>
      </c>
      <c r="J43" s="6">
        <v>102</v>
      </c>
      <c r="K43" s="6">
        <v>532</v>
      </c>
      <c r="L43" s="6"/>
      <c r="M43" s="6">
        <v>1050</v>
      </c>
      <c r="N43" s="6">
        <v>703</v>
      </c>
      <c r="O43" s="6">
        <v>999</v>
      </c>
      <c r="P43" s="6"/>
      <c r="Q43" s="6"/>
      <c r="R43" s="6">
        <v>536</v>
      </c>
      <c r="S43" s="6"/>
      <c r="T43" s="13">
        <v>415</v>
      </c>
      <c r="U43" s="13"/>
      <c r="V43" s="13">
        <v>386</v>
      </c>
      <c r="W43" s="13"/>
      <c r="X43" s="29">
        <v>2002</v>
      </c>
      <c r="Y43" s="7" t="s">
        <v>5</v>
      </c>
      <c r="Z43" s="58">
        <v>35</v>
      </c>
      <c r="AB43">
        <f t="shared" si="6"/>
        <v>1.9066666666666667</v>
      </c>
      <c r="AC43"/>
      <c r="AD43"/>
      <c r="AE43"/>
      <c r="AF43"/>
      <c r="AG43" s="275"/>
      <c r="AH43" s="229">
        <v>44476</v>
      </c>
      <c r="AI43" s="263">
        <v>991</v>
      </c>
      <c r="AJ43" s="262"/>
      <c r="AK43" s="264">
        <v>0.8</v>
      </c>
      <c r="AL43" s="265">
        <f t="shared" si="7"/>
        <v>1238.75</v>
      </c>
      <c r="AM43" s="262"/>
      <c r="AN43" s="265">
        <f t="shared" ref="AN43:AN51" si="8">(AH43-AH42)*(AI43+AI42)</f>
        <v>23898</v>
      </c>
      <c r="AO43" s="262"/>
      <c r="AP43" s="278">
        <f t="shared" ref="AP43:AP51" si="9">(AH43-AH42)*(AL43+AL42)</f>
        <v>29872.5</v>
      </c>
      <c r="AQ43"/>
      <c r="AR43"/>
      <c r="AS43"/>
      <c r="AT43"/>
      <c r="AU43"/>
    </row>
    <row r="44" spans="1:47" ht="18" customHeight="1" x14ac:dyDescent="0.2">
      <c r="A44" s="1">
        <v>1999</v>
      </c>
      <c r="B44" s="6"/>
      <c r="C44" s="6"/>
      <c r="D44" s="6"/>
      <c r="E44" s="6"/>
      <c r="F44" s="6"/>
      <c r="G44" s="6">
        <v>24</v>
      </c>
      <c r="H44" s="6"/>
      <c r="I44" s="6"/>
      <c r="J44" s="6">
        <v>96</v>
      </c>
      <c r="K44" s="6"/>
      <c r="L44" s="6"/>
      <c r="M44" s="6">
        <v>189</v>
      </c>
      <c r="N44" s="6">
        <v>187</v>
      </c>
      <c r="O44" s="6">
        <v>211</v>
      </c>
      <c r="P44" s="6"/>
      <c r="Q44" s="6">
        <v>148</v>
      </c>
      <c r="R44" s="6"/>
      <c r="S44" s="6"/>
      <c r="T44" s="13">
        <v>16</v>
      </c>
      <c r="U44" s="13"/>
      <c r="V44" s="13"/>
      <c r="W44" s="13"/>
      <c r="X44" s="29">
        <v>501</v>
      </c>
      <c r="Y44" s="7" t="s">
        <v>5</v>
      </c>
      <c r="Z44" s="58">
        <v>25</v>
      </c>
      <c r="AB44">
        <f t="shared" si="6"/>
        <v>2.3744075829383888</v>
      </c>
      <c r="AC44"/>
      <c r="AD44"/>
      <c r="AE44"/>
      <c r="AF44"/>
      <c r="AG44" s="279"/>
      <c r="AH44" s="229">
        <v>44488</v>
      </c>
      <c r="AI44" s="263">
        <v>1519</v>
      </c>
      <c r="AJ44" s="262"/>
      <c r="AK44" s="264">
        <v>0.9</v>
      </c>
      <c r="AL44" s="265">
        <f t="shared" si="7"/>
        <v>1687.7777777777778</v>
      </c>
      <c r="AM44" s="262"/>
      <c r="AN44" s="265">
        <f t="shared" si="8"/>
        <v>30120</v>
      </c>
      <c r="AO44" s="262"/>
      <c r="AP44" s="278">
        <f t="shared" si="9"/>
        <v>35118.333333333336</v>
      </c>
      <c r="AQ44"/>
      <c r="AR44"/>
      <c r="AS44"/>
      <c r="AT44"/>
      <c r="AU44"/>
    </row>
    <row r="45" spans="1:47" ht="18" customHeight="1" x14ac:dyDescent="0.2">
      <c r="A45" s="1">
        <v>2000</v>
      </c>
      <c r="B45" s="6"/>
      <c r="C45" s="6"/>
      <c r="D45" s="6"/>
      <c r="E45" s="6"/>
      <c r="F45" s="6"/>
      <c r="G45" s="6"/>
      <c r="H45" s="6">
        <v>18</v>
      </c>
      <c r="I45" s="6">
        <v>85</v>
      </c>
      <c r="J45" s="6"/>
      <c r="K45" s="6">
        <v>304</v>
      </c>
      <c r="L45" s="6"/>
      <c r="M45" s="6"/>
      <c r="N45" s="6"/>
      <c r="O45" s="6"/>
      <c r="P45" s="6">
        <v>393</v>
      </c>
      <c r="Q45" s="6"/>
      <c r="R45" s="6"/>
      <c r="S45" s="6"/>
      <c r="T45" s="13">
        <v>192</v>
      </c>
      <c r="U45" s="13">
        <v>278</v>
      </c>
      <c r="V45" s="13"/>
      <c r="W45" s="13"/>
      <c r="X45" s="29">
        <v>925</v>
      </c>
      <c r="Y45" s="7" t="s">
        <v>5</v>
      </c>
      <c r="Z45" s="58">
        <v>30</v>
      </c>
      <c r="AB45">
        <f t="shared" si="6"/>
        <v>2.3536895674300253</v>
      </c>
      <c r="AC45"/>
      <c r="AD45"/>
      <c r="AE45"/>
      <c r="AF45"/>
      <c r="AG45" s="280"/>
      <c r="AH45" s="229">
        <v>44501</v>
      </c>
      <c r="AI45" s="263">
        <v>1067</v>
      </c>
      <c r="AJ45" s="262"/>
      <c r="AK45" s="264">
        <v>0.9</v>
      </c>
      <c r="AL45" s="265">
        <f t="shared" si="7"/>
        <v>1185.5555555555554</v>
      </c>
      <c r="AM45" s="262"/>
      <c r="AN45" s="265">
        <f t="shared" si="8"/>
        <v>33618</v>
      </c>
      <c r="AO45" s="262"/>
      <c r="AP45" s="278">
        <f t="shared" si="9"/>
        <v>37353.333333333328</v>
      </c>
      <c r="AQ45"/>
      <c r="AR45"/>
      <c r="AS45"/>
      <c r="AT45"/>
      <c r="AU45"/>
    </row>
    <row r="46" spans="1:47" ht="18" customHeight="1" x14ac:dyDescent="0.2">
      <c r="A46" s="1">
        <v>2001</v>
      </c>
      <c r="B46" s="6"/>
      <c r="C46" s="6"/>
      <c r="D46" s="6"/>
      <c r="E46" s="6"/>
      <c r="F46" s="6"/>
      <c r="G46" s="6"/>
      <c r="H46" s="6">
        <v>112</v>
      </c>
      <c r="I46" s="6"/>
      <c r="J46" s="6">
        <v>471</v>
      </c>
      <c r="K46" s="6"/>
      <c r="L46" s="6">
        <v>165</v>
      </c>
      <c r="M46" s="6"/>
      <c r="N46" s="6"/>
      <c r="O46" s="6"/>
      <c r="P46" s="6"/>
      <c r="Q46" s="6"/>
      <c r="R46" s="6">
        <v>274</v>
      </c>
      <c r="S46" s="6"/>
      <c r="T46" s="13"/>
      <c r="U46" s="13"/>
      <c r="V46" s="13"/>
      <c r="W46" s="13"/>
      <c r="X46" s="29">
        <v>610</v>
      </c>
      <c r="Y46" s="7" t="s">
        <v>7</v>
      </c>
      <c r="Z46" s="58"/>
      <c r="AB46">
        <f t="shared" si="6"/>
        <v>1.2951167728237791</v>
      </c>
      <c r="AC46"/>
      <c r="AD46"/>
      <c r="AE46"/>
      <c r="AF46"/>
      <c r="AG46" s="280"/>
      <c r="AH46" s="229">
        <v>44531</v>
      </c>
      <c r="AI46" s="263">
        <v>0</v>
      </c>
      <c r="AJ46" s="262"/>
      <c r="AK46" s="264">
        <v>0.9</v>
      </c>
      <c r="AL46" s="265">
        <f t="shared" si="7"/>
        <v>0</v>
      </c>
      <c r="AM46" s="262"/>
      <c r="AN46" s="265">
        <f t="shared" si="8"/>
        <v>32010</v>
      </c>
      <c r="AO46" s="262"/>
      <c r="AP46" s="278">
        <f t="shared" si="9"/>
        <v>35566.666666666664</v>
      </c>
      <c r="AQ46"/>
      <c r="AR46"/>
      <c r="AS46"/>
      <c r="AT46"/>
      <c r="AU46"/>
    </row>
    <row r="47" spans="1:47" ht="18" customHeight="1" x14ac:dyDescent="0.2">
      <c r="A47" s="1">
        <v>2002</v>
      </c>
      <c r="B47" s="6"/>
      <c r="C47" s="6"/>
      <c r="D47" s="6"/>
      <c r="E47" s="6"/>
      <c r="F47" s="6"/>
      <c r="G47" s="6"/>
      <c r="H47" s="6">
        <v>131</v>
      </c>
      <c r="I47" s="6"/>
      <c r="J47" s="6">
        <v>156</v>
      </c>
      <c r="K47" s="6"/>
      <c r="L47" s="6"/>
      <c r="M47" s="197">
        <v>795</v>
      </c>
      <c r="N47" s="6"/>
      <c r="O47" s="6">
        <v>584</v>
      </c>
      <c r="P47" s="6"/>
      <c r="Q47" s="6"/>
      <c r="R47" s="6">
        <v>318</v>
      </c>
      <c r="S47" s="6"/>
      <c r="T47" s="13"/>
      <c r="U47" s="13"/>
      <c r="V47" s="13"/>
      <c r="W47" s="13"/>
      <c r="X47" s="29">
        <v>965</v>
      </c>
      <c r="Y47" s="7" t="s">
        <v>5</v>
      </c>
      <c r="Z47" s="60">
        <v>45</v>
      </c>
      <c r="AB47">
        <f t="shared" si="6"/>
        <v>1.2138364779874213</v>
      </c>
      <c r="AC47"/>
      <c r="AD47"/>
      <c r="AE47"/>
      <c r="AF47"/>
      <c r="AG47" s="280"/>
      <c r="AH47" s="229">
        <v>44516</v>
      </c>
      <c r="AI47" s="263">
        <v>0</v>
      </c>
      <c r="AJ47" s="262"/>
      <c r="AK47" s="264">
        <v>0.9</v>
      </c>
      <c r="AL47" s="265">
        <f t="shared" si="7"/>
        <v>0</v>
      </c>
      <c r="AM47" s="262"/>
      <c r="AN47" s="265">
        <f t="shared" si="8"/>
        <v>0</v>
      </c>
      <c r="AO47" s="262"/>
      <c r="AP47" s="278">
        <f t="shared" si="9"/>
        <v>0</v>
      </c>
      <c r="AQ47"/>
      <c r="AR47"/>
      <c r="AS47"/>
      <c r="AT47"/>
      <c r="AU47"/>
    </row>
    <row r="48" spans="1:47" ht="18" customHeight="1" x14ac:dyDescent="0.2">
      <c r="A48" s="1">
        <v>2003</v>
      </c>
      <c r="B48" s="6"/>
      <c r="C48" s="6"/>
      <c r="D48" s="6"/>
      <c r="E48" s="6"/>
      <c r="F48" s="6"/>
      <c r="G48" s="6"/>
      <c r="H48" s="6"/>
      <c r="I48" s="6">
        <v>403</v>
      </c>
      <c r="J48" s="6">
        <v>383</v>
      </c>
      <c r="K48" s="6"/>
      <c r="L48" s="197">
        <v>1264</v>
      </c>
      <c r="M48" s="6"/>
      <c r="N48" s="6">
        <v>1039</v>
      </c>
      <c r="O48" s="6">
        <v>642</v>
      </c>
      <c r="P48" s="6"/>
      <c r="Q48" s="6"/>
      <c r="R48" s="6"/>
      <c r="S48" s="6"/>
      <c r="T48" s="13"/>
      <c r="U48" s="13"/>
      <c r="V48" s="13"/>
      <c r="W48" s="13"/>
      <c r="X48" s="29">
        <v>1492</v>
      </c>
      <c r="Y48" s="7" t="s">
        <v>5</v>
      </c>
      <c r="Z48" s="58">
        <v>22</v>
      </c>
      <c r="AB48">
        <f t="shared" si="6"/>
        <v>1.1803797468354431</v>
      </c>
      <c r="AC48"/>
      <c r="AD48"/>
      <c r="AE48"/>
      <c r="AF48"/>
      <c r="AG48" s="280"/>
      <c r="AH48" s="229">
        <v>44517</v>
      </c>
      <c r="AI48" s="263">
        <v>0</v>
      </c>
      <c r="AJ48" s="262"/>
      <c r="AK48" s="264">
        <v>0.9</v>
      </c>
      <c r="AL48" s="265">
        <f t="shared" si="7"/>
        <v>0</v>
      </c>
      <c r="AM48" s="262"/>
      <c r="AN48" s="265">
        <f t="shared" si="8"/>
        <v>0</v>
      </c>
      <c r="AO48" s="262"/>
      <c r="AP48" s="278">
        <f t="shared" si="9"/>
        <v>0</v>
      </c>
      <c r="AQ48"/>
      <c r="AR48"/>
      <c r="AS48"/>
      <c r="AT48"/>
      <c r="AU48"/>
    </row>
    <row r="49" spans="1:47" ht="18" customHeight="1" x14ac:dyDescent="0.2">
      <c r="A49" s="1">
        <v>2004</v>
      </c>
      <c r="B49" s="6"/>
      <c r="C49" s="6"/>
      <c r="D49" s="6"/>
      <c r="E49" s="6"/>
      <c r="F49" s="6"/>
      <c r="G49" s="6"/>
      <c r="H49" s="6">
        <v>357</v>
      </c>
      <c r="I49" s="6"/>
      <c r="J49" s="6">
        <v>403</v>
      </c>
      <c r="K49" s="6"/>
      <c r="L49" s="6">
        <v>993</v>
      </c>
      <c r="M49" s="6"/>
      <c r="N49" s="197">
        <v>1213</v>
      </c>
      <c r="O49" s="6"/>
      <c r="P49" s="6"/>
      <c r="Q49" s="6"/>
      <c r="R49" s="6"/>
      <c r="S49" s="6">
        <v>312</v>
      </c>
      <c r="T49" s="13"/>
      <c r="U49" s="13"/>
      <c r="V49" s="13"/>
      <c r="W49" s="13"/>
      <c r="X49" s="21">
        <v>1683</v>
      </c>
      <c r="Y49" s="7" t="s">
        <v>5</v>
      </c>
      <c r="Z49" s="59">
        <v>40</v>
      </c>
      <c r="AB49">
        <f t="shared" si="6"/>
        <v>1.3874690849134377</v>
      </c>
      <c r="AC49"/>
      <c r="AD49"/>
      <c r="AE49"/>
      <c r="AF49"/>
      <c r="AG49" s="280"/>
      <c r="AH49" s="229">
        <v>44518</v>
      </c>
      <c r="AI49" s="263">
        <v>0</v>
      </c>
      <c r="AJ49" s="262"/>
      <c r="AK49" s="264">
        <v>0.9</v>
      </c>
      <c r="AL49" s="265">
        <f t="shared" si="7"/>
        <v>0</v>
      </c>
      <c r="AM49" s="262"/>
      <c r="AN49" s="265">
        <f t="shared" si="8"/>
        <v>0</v>
      </c>
      <c r="AO49" s="262"/>
      <c r="AP49" s="278">
        <f t="shared" si="9"/>
        <v>0</v>
      </c>
      <c r="AQ49"/>
      <c r="AR49"/>
      <c r="AS49"/>
      <c r="AT49"/>
      <c r="AU49"/>
    </row>
    <row r="50" spans="1:47" ht="18" customHeight="1" x14ac:dyDescent="0.2">
      <c r="A50" s="1">
        <v>2005</v>
      </c>
      <c r="B50" s="6"/>
      <c r="C50" s="6"/>
      <c r="D50" s="6"/>
      <c r="E50" s="6"/>
      <c r="F50" s="6"/>
      <c r="G50" s="6"/>
      <c r="H50" s="6">
        <v>8</v>
      </c>
      <c r="I50" s="6"/>
      <c r="J50" s="6"/>
      <c r="K50" s="6">
        <v>413</v>
      </c>
      <c r="L50" s="6"/>
      <c r="M50" s="6"/>
      <c r="N50" s="6"/>
      <c r="O50" s="6"/>
      <c r="P50" s="6">
        <v>430</v>
      </c>
      <c r="Q50" s="6"/>
      <c r="R50" s="6"/>
      <c r="S50" s="6"/>
      <c r="T50" s="13"/>
      <c r="U50" s="13"/>
      <c r="V50" s="13"/>
      <c r="W50" s="13"/>
      <c r="X50" s="29">
        <v>636</v>
      </c>
      <c r="Y50" s="7" t="s">
        <v>5</v>
      </c>
      <c r="Z50" s="60">
        <v>37.5</v>
      </c>
      <c r="AB50">
        <f t="shared" si="6"/>
        <v>1.4790697674418605</v>
      </c>
      <c r="AC50"/>
      <c r="AD50"/>
      <c r="AE50"/>
      <c r="AF50"/>
      <c r="AG50" s="290"/>
      <c r="AH50" s="229">
        <v>44519</v>
      </c>
      <c r="AI50" s="55"/>
      <c r="AJ50" s="55"/>
      <c r="AK50" s="55"/>
      <c r="AL50" s="263">
        <v>0</v>
      </c>
      <c r="AM50" s="55"/>
      <c r="AN50" s="265">
        <f t="shared" si="8"/>
        <v>0</v>
      </c>
      <c r="AO50" s="262"/>
      <c r="AP50" s="278">
        <f t="shared" si="9"/>
        <v>0</v>
      </c>
      <c r="AQ50"/>
      <c r="AR50"/>
      <c r="AS50"/>
      <c r="AT50"/>
      <c r="AU50"/>
    </row>
    <row r="51" spans="1:47" ht="18" customHeight="1" x14ac:dyDescent="0.2">
      <c r="A51" s="1">
        <v>2006</v>
      </c>
      <c r="B51" s="6"/>
      <c r="C51" s="6"/>
      <c r="D51" s="6"/>
      <c r="E51" s="6"/>
      <c r="F51" s="6"/>
      <c r="G51" s="6"/>
      <c r="H51" s="6">
        <v>2</v>
      </c>
      <c r="I51" s="6"/>
      <c r="J51" s="6"/>
      <c r="K51" s="6">
        <v>90</v>
      </c>
      <c r="L51" s="6"/>
      <c r="M51" s="6"/>
      <c r="N51" s="197">
        <v>550</v>
      </c>
      <c r="O51" s="6"/>
      <c r="P51" s="6"/>
      <c r="Q51" s="6"/>
      <c r="R51" s="6"/>
      <c r="S51" s="6"/>
      <c r="T51" s="13"/>
      <c r="U51" s="13"/>
      <c r="V51" s="13"/>
      <c r="W51" s="13"/>
      <c r="X51" s="30">
        <v>632</v>
      </c>
      <c r="Y51" s="7" t="s">
        <v>5</v>
      </c>
      <c r="Z51" s="60">
        <v>37.5</v>
      </c>
      <c r="AB51">
        <f t="shared" si="6"/>
        <v>1.1490909090909092</v>
      </c>
      <c r="AC51"/>
      <c r="AD51"/>
      <c r="AE51"/>
      <c r="AF51"/>
      <c r="AG51" s="275" t="s">
        <v>128</v>
      </c>
      <c r="AH51" s="229"/>
      <c r="AI51" s="176"/>
      <c r="AJ51" s="262"/>
      <c r="AK51" s="177"/>
      <c r="AL51" s="178">
        <v>0</v>
      </c>
      <c r="AM51" s="179"/>
      <c r="AN51" s="265">
        <f t="shared" si="8"/>
        <v>0</v>
      </c>
      <c r="AO51" s="262"/>
      <c r="AP51" s="278">
        <f t="shared" si="9"/>
        <v>0</v>
      </c>
      <c r="AQ51"/>
      <c r="AR51"/>
      <c r="AS51"/>
      <c r="AT51"/>
      <c r="AU51"/>
    </row>
    <row r="52" spans="1:47" ht="18" customHeight="1" x14ac:dyDescent="0.2">
      <c r="A52" s="1">
        <v>2007</v>
      </c>
      <c r="B52" s="6"/>
      <c r="C52" s="6"/>
      <c r="D52" s="6"/>
      <c r="E52" s="6"/>
      <c r="F52" s="6"/>
      <c r="G52" s="6"/>
      <c r="H52" s="6">
        <v>72</v>
      </c>
      <c r="I52" s="6"/>
      <c r="J52" s="197">
        <v>441</v>
      </c>
      <c r="K52" s="6"/>
      <c r="L52" s="6"/>
      <c r="M52" s="6"/>
      <c r="N52" s="6"/>
      <c r="O52" s="6"/>
      <c r="P52" s="6"/>
      <c r="Q52" s="6">
        <v>317</v>
      </c>
      <c r="R52" s="6">
        <v>202</v>
      </c>
      <c r="S52" s="6"/>
      <c r="T52" s="13"/>
      <c r="U52" s="13"/>
      <c r="V52" s="13"/>
      <c r="W52" s="13"/>
      <c r="X52" s="30">
        <v>623</v>
      </c>
      <c r="Y52" s="7" t="s">
        <v>5</v>
      </c>
      <c r="Z52" s="60">
        <v>45</v>
      </c>
      <c r="AB52">
        <f t="shared" si="6"/>
        <v>1.4126984126984128</v>
      </c>
      <c r="AC52"/>
      <c r="AD52"/>
      <c r="AE52"/>
      <c r="AF52"/>
      <c r="AG52" s="275" t="s">
        <v>2</v>
      </c>
      <c r="AH52" s="167">
        <v>7</v>
      </c>
      <c r="AI52" s="167"/>
      <c r="AJ52" s="167"/>
      <c r="AK52" s="262"/>
      <c r="AL52" s="262"/>
      <c r="AM52" s="262"/>
      <c r="AN52" s="262"/>
      <c r="AO52" s="262"/>
      <c r="AP52" s="277"/>
      <c r="AQ52"/>
      <c r="AR52"/>
      <c r="AS52"/>
      <c r="AT52"/>
      <c r="AU52"/>
    </row>
    <row r="53" spans="1:47" s="55" customFormat="1" ht="18" customHeight="1" x14ac:dyDescent="0.2">
      <c r="A53" s="13">
        <v>2008</v>
      </c>
      <c r="B53" s="13"/>
      <c r="C53" s="13"/>
      <c r="D53" s="13"/>
      <c r="E53" s="13"/>
      <c r="F53" s="13"/>
      <c r="G53" s="13">
        <v>87</v>
      </c>
      <c r="H53" s="13"/>
      <c r="I53" s="13"/>
      <c r="J53" s="13">
        <v>52</v>
      </c>
      <c r="K53" s="196">
        <v>663</v>
      </c>
      <c r="L53" s="13"/>
      <c r="M53" s="13"/>
      <c r="N53" s="13">
        <v>295</v>
      </c>
      <c r="O53" s="13"/>
      <c r="P53" s="13"/>
      <c r="Q53" s="13"/>
      <c r="R53" s="13">
        <v>343</v>
      </c>
      <c r="S53" s="13"/>
      <c r="T53" s="13"/>
      <c r="U53" s="13"/>
      <c r="V53" s="13"/>
      <c r="W53" s="13"/>
      <c r="X53" s="29">
        <v>770</v>
      </c>
      <c r="Y53" s="7" t="s">
        <v>5</v>
      </c>
      <c r="Z53" s="58">
        <v>37.5</v>
      </c>
      <c r="AB53">
        <f t="shared" si="6"/>
        <v>1.1613876319758674</v>
      </c>
      <c r="AC53"/>
      <c r="AD53"/>
      <c r="AE53"/>
      <c r="AF53"/>
      <c r="AG53" s="275" t="s">
        <v>129</v>
      </c>
      <c r="AH53" s="167"/>
      <c r="AI53" s="167">
        <f>MAX(AI41:AI51)</f>
        <v>1519</v>
      </c>
      <c r="AJ53" s="167"/>
      <c r="AK53" s="167"/>
      <c r="AL53" s="167">
        <f>MAX(AL41:AL51)</f>
        <v>1687.7777777777778</v>
      </c>
      <c r="AM53" s="167"/>
      <c r="AN53" s="167"/>
      <c r="AO53" s="262"/>
      <c r="AP53" s="277"/>
      <c r="AQ53"/>
      <c r="AR53"/>
      <c r="AS53"/>
      <c r="AT53"/>
      <c r="AU53"/>
    </row>
    <row r="54" spans="1:47" ht="18" customHeight="1" x14ac:dyDescent="0.2">
      <c r="A54" s="13">
        <v>2009</v>
      </c>
      <c r="B54" s="13"/>
      <c r="C54" s="13"/>
      <c r="D54" s="13"/>
      <c r="E54" s="13"/>
      <c r="F54" s="13"/>
      <c r="G54" s="13"/>
      <c r="H54" s="13"/>
      <c r="I54" s="13">
        <v>894</v>
      </c>
      <c r="J54" s="13">
        <v>545</v>
      </c>
      <c r="K54" s="13">
        <v>1209</v>
      </c>
      <c r="L54" s="13"/>
      <c r="M54" s="196">
        <v>1337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29">
        <v>2160</v>
      </c>
      <c r="Y54" s="7" t="s">
        <v>5</v>
      </c>
      <c r="Z54" s="58">
        <v>40</v>
      </c>
      <c r="AB54">
        <f t="shared" si="6"/>
        <v>1.6155572176514585</v>
      </c>
      <c r="AC54"/>
      <c r="AD54"/>
      <c r="AE54"/>
      <c r="AF54"/>
      <c r="AG54" s="275" t="s">
        <v>130</v>
      </c>
      <c r="AH54" s="167"/>
      <c r="AI54" s="263">
        <v>35</v>
      </c>
      <c r="AJ54" s="167"/>
      <c r="AK54" s="262"/>
      <c r="AL54" s="263">
        <v>35</v>
      </c>
      <c r="AM54" s="266"/>
      <c r="AN54" s="266"/>
      <c r="AO54" s="262"/>
      <c r="AP54" s="277"/>
      <c r="AQ54"/>
      <c r="AR54"/>
      <c r="AS54"/>
      <c r="AT54"/>
      <c r="AU54"/>
    </row>
    <row r="55" spans="1:47" ht="18" customHeight="1" x14ac:dyDescent="0.2">
      <c r="A55" s="13">
        <v>2010</v>
      </c>
      <c r="B55" s="13"/>
      <c r="C55" s="13"/>
      <c r="D55" s="13"/>
      <c r="E55" s="13"/>
      <c r="F55" s="13"/>
      <c r="G55" s="13">
        <v>4</v>
      </c>
      <c r="H55" s="13"/>
      <c r="I55" s="13"/>
      <c r="J55" s="196">
        <v>454</v>
      </c>
      <c r="K55" s="13"/>
      <c r="L55" s="13"/>
      <c r="M55" s="13">
        <v>382</v>
      </c>
      <c r="N55" s="13"/>
      <c r="O55" s="13">
        <v>39</v>
      </c>
      <c r="P55" s="13"/>
      <c r="Q55" s="13"/>
      <c r="R55" s="13"/>
      <c r="S55" s="13"/>
      <c r="T55" s="13"/>
      <c r="U55" s="13"/>
      <c r="V55" s="13"/>
      <c r="W55" s="13"/>
      <c r="X55" s="29">
        <v>890</v>
      </c>
      <c r="Y55" s="7"/>
      <c r="Z55" s="58"/>
      <c r="AA55" s="55"/>
      <c r="AB55">
        <f t="shared" si="6"/>
        <v>1.9603524229074889</v>
      </c>
      <c r="AC55"/>
      <c r="AD55"/>
      <c r="AE55"/>
      <c r="AF55"/>
      <c r="AG55" s="275" t="s">
        <v>131</v>
      </c>
      <c r="AH55" s="167"/>
      <c r="AI55" s="267">
        <f>(0.5*SUM(AN42:AN51))/AI54</f>
        <v>1740.7285714285715</v>
      </c>
      <c r="AJ55" s="167"/>
      <c r="AK55" s="262"/>
      <c r="AL55" s="267">
        <f>(0.5*SUM(AP42:AP51))/AL54</f>
        <v>2009.5297619047622</v>
      </c>
      <c r="AM55" s="266"/>
      <c r="AN55" s="266"/>
      <c r="AO55" s="262"/>
      <c r="AP55" s="277"/>
      <c r="AQ55"/>
      <c r="AR55"/>
      <c r="AS55"/>
      <c r="AT55"/>
      <c r="AU55"/>
    </row>
    <row r="56" spans="1:47" ht="18" customHeight="1" thickBot="1" x14ac:dyDescent="0.25">
      <c r="A56" s="13">
        <v>2011</v>
      </c>
      <c r="B56" s="13"/>
      <c r="C56" s="13"/>
      <c r="D56" s="13"/>
      <c r="E56" s="13"/>
      <c r="F56" s="13"/>
      <c r="G56" s="13"/>
      <c r="H56" s="13"/>
      <c r="I56" s="13"/>
      <c r="J56" s="13"/>
      <c r="K56" s="13">
        <v>985</v>
      </c>
      <c r="L56" s="13"/>
      <c r="M56" s="196">
        <v>1448</v>
      </c>
      <c r="N56" s="13">
        <v>637</v>
      </c>
      <c r="O56" s="13">
        <v>1059</v>
      </c>
      <c r="P56" s="13"/>
      <c r="Q56" s="13">
        <v>763</v>
      </c>
      <c r="R56" s="13"/>
      <c r="S56" s="13"/>
      <c r="T56" s="13"/>
      <c r="U56" s="13">
        <v>292</v>
      </c>
      <c r="V56" s="13"/>
      <c r="W56" s="13"/>
      <c r="X56" s="29">
        <v>1800</v>
      </c>
      <c r="Y56" s="7" t="s">
        <v>5</v>
      </c>
      <c r="Z56" s="58">
        <v>37.5</v>
      </c>
      <c r="AB56">
        <f t="shared" si="6"/>
        <v>1.2430939226519337</v>
      </c>
      <c r="AC56"/>
      <c r="AD56"/>
      <c r="AE56"/>
      <c r="AF56"/>
      <c r="AG56" s="291"/>
      <c r="AH56" s="286"/>
      <c r="AI56" s="286"/>
      <c r="AJ56" s="286"/>
      <c r="AK56" s="286"/>
      <c r="AL56" s="286"/>
      <c r="AM56" s="286"/>
      <c r="AN56" s="286"/>
      <c r="AO56" s="286"/>
      <c r="AP56" s="288"/>
      <c r="AQ56"/>
      <c r="AR56"/>
      <c r="AS56"/>
      <c r="AT56"/>
      <c r="AU56"/>
    </row>
    <row r="57" spans="1:47" ht="18" customHeight="1" x14ac:dyDescent="0.2">
      <c r="A57" s="13">
        <v>2012</v>
      </c>
      <c r="B57" s="13"/>
      <c r="C57" s="13"/>
      <c r="D57" s="13"/>
      <c r="E57" s="13"/>
      <c r="F57" s="13">
        <v>3</v>
      </c>
      <c r="G57" s="13">
        <v>23</v>
      </c>
      <c r="H57" s="13">
        <v>8</v>
      </c>
      <c r="I57" s="13">
        <v>27</v>
      </c>
      <c r="J57" s="13">
        <v>258</v>
      </c>
      <c r="K57" s="13">
        <v>180</v>
      </c>
      <c r="L57" s="13"/>
      <c r="M57" s="196">
        <v>929</v>
      </c>
      <c r="N57" s="13">
        <v>666</v>
      </c>
      <c r="O57" s="13">
        <v>480</v>
      </c>
      <c r="P57" s="13"/>
      <c r="Q57" s="13"/>
      <c r="R57" s="13">
        <v>366</v>
      </c>
      <c r="S57" s="13"/>
      <c r="T57" s="13"/>
      <c r="U57" s="13"/>
      <c r="V57" s="13"/>
      <c r="W57" s="13"/>
      <c r="X57" s="29">
        <v>1312</v>
      </c>
      <c r="Y57" s="7" t="s">
        <v>5</v>
      </c>
      <c r="Z57" s="58">
        <v>32.5</v>
      </c>
      <c r="AB57">
        <f t="shared" si="6"/>
        <v>1.4122712594187299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8" customHeight="1" x14ac:dyDescent="0.2">
      <c r="A58" s="13">
        <v>2013</v>
      </c>
      <c r="B58" s="13"/>
      <c r="C58" s="13"/>
      <c r="D58" s="13"/>
      <c r="E58" s="13"/>
      <c r="F58" s="13">
        <v>105</v>
      </c>
      <c r="G58" s="13">
        <v>91</v>
      </c>
      <c r="H58" s="13">
        <v>99</v>
      </c>
      <c r="I58" s="13">
        <v>1160</v>
      </c>
      <c r="J58" s="13">
        <v>676</v>
      </c>
      <c r="K58" s="13">
        <v>1357</v>
      </c>
      <c r="L58" s="13"/>
      <c r="M58" s="13">
        <v>1110</v>
      </c>
      <c r="N58" s="204">
        <v>1466</v>
      </c>
      <c r="O58" s="13"/>
      <c r="P58" s="13"/>
      <c r="Q58" s="13"/>
      <c r="R58" s="13">
        <v>478</v>
      </c>
      <c r="S58" s="13">
        <v>518</v>
      </c>
      <c r="T58" s="13"/>
      <c r="U58" s="13"/>
      <c r="V58" s="13"/>
      <c r="W58" s="13"/>
      <c r="X58" s="29">
        <v>3062</v>
      </c>
      <c r="Y58" s="7" t="s">
        <v>5</v>
      </c>
      <c r="Z58" s="58">
        <v>35</v>
      </c>
      <c r="AB58">
        <f t="shared" si="6"/>
        <v>2.0886766712141882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8" customHeight="1" x14ac:dyDescent="0.2">
      <c r="A59" s="13">
        <v>2014</v>
      </c>
      <c r="B59" s="13"/>
      <c r="C59" s="13"/>
      <c r="D59" s="13"/>
      <c r="E59" s="13"/>
      <c r="F59" s="200">
        <v>5</v>
      </c>
      <c r="G59" s="200">
        <v>0</v>
      </c>
      <c r="H59" s="201"/>
      <c r="I59" s="202">
        <v>968</v>
      </c>
      <c r="J59" s="202">
        <v>741</v>
      </c>
      <c r="K59" s="200">
        <v>1085</v>
      </c>
      <c r="L59" s="201"/>
      <c r="M59" s="200">
        <v>323</v>
      </c>
      <c r="N59" s="201"/>
      <c r="O59" s="200">
        <v>402</v>
      </c>
      <c r="P59" s="201"/>
      <c r="Q59" s="203"/>
      <c r="R59" s="200">
        <v>620</v>
      </c>
      <c r="S59" s="13"/>
      <c r="T59" s="13"/>
      <c r="U59" s="13"/>
      <c r="V59" s="13"/>
      <c r="W59" s="13"/>
      <c r="X59" s="29">
        <v>1789</v>
      </c>
      <c r="Y59" s="7" t="s">
        <v>5</v>
      </c>
      <c r="Z59" s="58">
        <v>35</v>
      </c>
      <c r="AB59">
        <f t="shared" si="6"/>
        <v>1.648847926267281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8" customHeight="1" x14ac:dyDescent="0.2">
      <c r="A60" s="13">
        <v>2015</v>
      </c>
      <c r="B60" s="13"/>
      <c r="C60" s="13"/>
      <c r="D60" s="13"/>
      <c r="E60" s="13"/>
      <c r="F60" s="202">
        <v>46</v>
      </c>
      <c r="G60" s="202">
        <v>310</v>
      </c>
      <c r="H60" s="202">
        <v>383</v>
      </c>
      <c r="I60" s="1"/>
      <c r="J60" s="485">
        <v>740</v>
      </c>
      <c r="K60" s="202">
        <v>560</v>
      </c>
      <c r="L60" s="485">
        <v>723</v>
      </c>
      <c r="M60" s="485">
        <v>843</v>
      </c>
      <c r="N60" s="484">
        <v>852</v>
      </c>
      <c r="O60" s="484">
        <v>569</v>
      </c>
      <c r="P60" s="13"/>
      <c r="Q60" s="13"/>
      <c r="R60" s="13"/>
      <c r="S60" s="13"/>
      <c r="T60" s="13"/>
      <c r="U60" s="13"/>
      <c r="V60" s="13"/>
      <c r="W60" s="13"/>
      <c r="X60" s="29">
        <v>1404</v>
      </c>
      <c r="Y60" s="7" t="s">
        <v>5</v>
      </c>
      <c r="Z60" s="58">
        <v>35</v>
      </c>
      <c r="AB60">
        <f t="shared" si="6"/>
        <v>1.647887323943662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8" customHeight="1" x14ac:dyDescent="0.2">
      <c r="A61" s="13">
        <v>2016</v>
      </c>
      <c r="B61" s="13"/>
      <c r="C61" s="13"/>
      <c r="D61" s="13"/>
      <c r="E61" s="13"/>
      <c r="F61" s="13"/>
      <c r="G61" s="202">
        <v>71</v>
      </c>
      <c r="H61" s="202">
        <v>128</v>
      </c>
      <c r="I61" s="13"/>
      <c r="J61" s="202">
        <v>231</v>
      </c>
      <c r="K61" s="202">
        <v>288</v>
      </c>
      <c r="L61" s="13"/>
      <c r="M61" s="202">
        <v>291</v>
      </c>
      <c r="N61" s="13"/>
      <c r="O61" s="202">
        <v>728</v>
      </c>
      <c r="P61" s="13"/>
      <c r="Q61" s="13"/>
      <c r="R61" s="13"/>
      <c r="S61" s="13"/>
      <c r="T61" s="13"/>
      <c r="U61" s="13"/>
      <c r="V61" s="13"/>
      <c r="W61" s="13"/>
      <c r="X61" s="29">
        <v>963</v>
      </c>
      <c r="Y61" s="7" t="s">
        <v>5</v>
      </c>
      <c r="Z61" s="58">
        <v>35</v>
      </c>
      <c r="AB61">
        <f t="shared" si="6"/>
        <v>1.3228021978021978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8" customHeight="1" x14ac:dyDescent="0.2">
      <c r="A62" s="13">
        <v>2017</v>
      </c>
      <c r="B62" s="13"/>
      <c r="C62" s="13"/>
      <c r="D62" s="13"/>
      <c r="E62" s="13"/>
      <c r="F62" s="200">
        <v>0</v>
      </c>
      <c r="G62" s="13"/>
      <c r="H62" s="200">
        <v>151</v>
      </c>
      <c r="I62" s="200">
        <v>339</v>
      </c>
      <c r="J62" s="200">
        <v>640</v>
      </c>
      <c r="K62" s="200">
        <v>1093</v>
      </c>
      <c r="L62" s="13"/>
      <c r="M62" s="496">
        <v>804</v>
      </c>
      <c r="N62" s="202">
        <v>434</v>
      </c>
      <c r="O62" s="13"/>
      <c r="P62" s="13"/>
      <c r="Q62" s="13"/>
      <c r="R62" s="13"/>
      <c r="S62" s="13"/>
      <c r="T62" s="13"/>
      <c r="U62" s="13"/>
      <c r="V62" s="13"/>
      <c r="W62" s="13"/>
      <c r="X62" s="29">
        <v>1236</v>
      </c>
      <c r="Y62" s="7" t="s">
        <v>5</v>
      </c>
      <c r="Z62" s="58">
        <v>35</v>
      </c>
      <c r="AB62">
        <f t="shared" si="6"/>
        <v>1.1308325709057641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ht="18" customHeight="1" x14ac:dyDescent="0.2">
      <c r="A63" s="13">
        <v>2018</v>
      </c>
      <c r="B63" s="13"/>
      <c r="C63" s="13"/>
      <c r="D63" s="13"/>
      <c r="E63" s="13"/>
      <c r="F63" s="13"/>
      <c r="G63" s="200">
        <v>939</v>
      </c>
      <c r="H63" s="200">
        <v>994</v>
      </c>
      <c r="I63" s="496">
        <v>1500</v>
      </c>
      <c r="J63" s="496">
        <v>1430</v>
      </c>
      <c r="K63" s="599">
        <v>1086</v>
      </c>
      <c r="L63" s="13"/>
      <c r="M63" s="599">
        <v>2003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29">
        <v>2692</v>
      </c>
      <c r="Y63" s="7"/>
      <c r="Z63" s="58">
        <v>35</v>
      </c>
      <c r="AB63">
        <f t="shared" si="6"/>
        <v>1.3439840239640539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ht="18" customHeight="1" x14ac:dyDescent="0.2">
      <c r="A64" s="13">
        <v>2019</v>
      </c>
      <c r="B64" s="13"/>
      <c r="C64" s="13"/>
      <c r="D64" s="13"/>
      <c r="E64" s="13"/>
      <c r="F64" s="109">
        <v>0</v>
      </c>
      <c r="G64" s="13"/>
      <c r="H64" s="109">
        <v>187</v>
      </c>
      <c r="I64" s="109">
        <v>375</v>
      </c>
      <c r="J64" s="109">
        <v>373</v>
      </c>
      <c r="K64" s="109">
        <v>324</v>
      </c>
      <c r="L64" s="13"/>
      <c r="M64" s="109">
        <v>268</v>
      </c>
      <c r="N64" s="109">
        <v>363</v>
      </c>
      <c r="O64" s="599">
        <v>278</v>
      </c>
      <c r="P64" s="13"/>
      <c r="Q64" s="13"/>
      <c r="R64" s="13"/>
      <c r="S64" s="13"/>
      <c r="T64" s="13"/>
      <c r="U64" s="13"/>
      <c r="V64" s="13"/>
      <c r="W64" s="13"/>
      <c r="X64" s="29">
        <v>833</v>
      </c>
      <c r="Y64" s="7"/>
      <c r="Z64" s="317">
        <v>30</v>
      </c>
      <c r="AB64">
        <f t="shared" si="6"/>
        <v>2.2213333333333334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ht="18" customHeight="1" x14ac:dyDescent="0.2">
      <c r="A65" s="13">
        <v>2020</v>
      </c>
      <c r="B65" s="13"/>
      <c r="C65" s="13"/>
      <c r="D65" s="13"/>
      <c r="E65" s="13"/>
      <c r="F65" s="13"/>
      <c r="G65" s="109">
        <v>23</v>
      </c>
      <c r="H65" s="109">
        <v>46</v>
      </c>
      <c r="I65" s="13"/>
      <c r="J65" s="109">
        <v>201</v>
      </c>
      <c r="K65" s="13"/>
      <c r="L65" s="155">
        <v>308</v>
      </c>
      <c r="M65" s="13"/>
      <c r="N65" s="338">
        <v>238</v>
      </c>
      <c r="O65" s="590">
        <v>253</v>
      </c>
      <c r="P65" s="13"/>
      <c r="Q65" s="13"/>
      <c r="R65" s="13"/>
      <c r="S65" s="13"/>
      <c r="T65" s="13"/>
      <c r="U65" s="13"/>
      <c r="V65" s="13"/>
      <c r="W65" s="13"/>
      <c r="X65" s="729">
        <v>692</v>
      </c>
      <c r="Y65" s="729" t="s">
        <v>5</v>
      </c>
      <c r="Z65" s="60">
        <v>25</v>
      </c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s="150" customFormat="1" ht="18" customHeight="1" x14ac:dyDescent="0.2">
      <c r="A66" s="89">
        <v>2021</v>
      </c>
      <c r="B66" s="89"/>
      <c r="C66" s="89"/>
      <c r="D66" s="89"/>
      <c r="E66" s="89"/>
      <c r="F66" s="89"/>
      <c r="G66" s="89"/>
      <c r="H66" s="109">
        <v>147</v>
      </c>
      <c r="I66" s="89"/>
      <c r="J66" s="89"/>
      <c r="K66" s="109">
        <v>961</v>
      </c>
      <c r="L66" s="737"/>
      <c r="M66" s="109">
        <v>1520</v>
      </c>
      <c r="N66" s="735"/>
      <c r="O66" s="590">
        <v>1067</v>
      </c>
      <c r="P66" s="89"/>
      <c r="Q66" s="89"/>
      <c r="R66" s="89"/>
      <c r="S66" s="89"/>
      <c r="T66" s="89"/>
      <c r="U66" s="89"/>
      <c r="V66" s="89"/>
      <c r="W66" s="89"/>
      <c r="X66" s="743">
        <v>3533</v>
      </c>
      <c r="Y66" s="865" t="s">
        <v>5</v>
      </c>
      <c r="Z66" s="404"/>
      <c r="AB66">
        <f t="shared" si="6"/>
        <v>2.3243421052631579</v>
      </c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</row>
    <row r="67" spans="1:47" s="150" customFormat="1" ht="18" customHeight="1" x14ac:dyDescent="0.2">
      <c r="A67" s="89">
        <v>2022</v>
      </c>
      <c r="B67" s="89"/>
      <c r="C67" s="89"/>
      <c r="D67" s="89"/>
      <c r="E67" s="89"/>
      <c r="F67" s="590">
        <v>14</v>
      </c>
      <c r="G67" s="89"/>
      <c r="H67" s="338">
        <v>227</v>
      </c>
      <c r="I67" s="89"/>
      <c r="J67" s="338">
        <v>297</v>
      </c>
      <c r="K67" s="89"/>
      <c r="L67" s="737"/>
      <c r="M67" s="89"/>
      <c r="N67" s="735"/>
      <c r="O67" s="590">
        <v>623</v>
      </c>
      <c r="P67" s="590">
        <v>555</v>
      </c>
      <c r="Q67" s="89"/>
      <c r="R67" s="89"/>
      <c r="S67" s="89"/>
      <c r="T67" s="89"/>
      <c r="U67" s="89"/>
      <c r="V67" s="89"/>
      <c r="W67" s="89"/>
      <c r="X67" s="743"/>
      <c r="Y67" s="743"/>
      <c r="Z67" s="404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</row>
    <row r="68" spans="1:47" s="150" customFormat="1" ht="18" customHeight="1" x14ac:dyDescent="0.2">
      <c r="A68" s="89">
        <v>2023</v>
      </c>
      <c r="B68" s="89"/>
      <c r="C68" s="89"/>
      <c r="D68" s="89"/>
      <c r="E68" s="109">
        <v>0</v>
      </c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743"/>
      <c r="Y68" s="743"/>
      <c r="Z68" s="404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</row>
    <row r="69" spans="1:47" ht="18" customHeight="1" x14ac:dyDescent="0.2">
      <c r="A69" s="64" t="s">
        <v>17</v>
      </c>
      <c r="B69" s="16"/>
      <c r="C69" s="16"/>
      <c r="D69" s="16">
        <f t="shared" ref="D69:V69" si="10">AVERAGE(D40:D54)</f>
        <v>0</v>
      </c>
      <c r="E69" s="16"/>
      <c r="F69" s="16"/>
      <c r="G69" s="16">
        <f t="shared" si="10"/>
        <v>48.2</v>
      </c>
      <c r="H69" s="16">
        <f t="shared" si="10"/>
        <v>88.4</v>
      </c>
      <c r="I69" s="16">
        <f t="shared" si="10"/>
        <v>235.14285714285714</v>
      </c>
      <c r="J69" s="16">
        <f t="shared" si="10"/>
        <v>280.89999999999998</v>
      </c>
      <c r="K69" s="16">
        <f t="shared" si="10"/>
        <v>465</v>
      </c>
      <c r="L69" s="16">
        <f t="shared" si="10"/>
        <v>640</v>
      </c>
      <c r="M69" s="16">
        <f t="shared" si="10"/>
        <v>614.83333333333337</v>
      </c>
      <c r="N69" s="16">
        <f t="shared" si="10"/>
        <v>579.57142857142856</v>
      </c>
      <c r="O69" s="16">
        <f t="shared" si="10"/>
        <v>520.79999999999995</v>
      </c>
      <c r="P69" s="16">
        <f t="shared" si="10"/>
        <v>391.33333333333331</v>
      </c>
      <c r="Q69" s="16">
        <f t="shared" si="10"/>
        <v>232.5</v>
      </c>
      <c r="R69" s="16">
        <f t="shared" si="10"/>
        <v>292.5</v>
      </c>
      <c r="S69" s="16">
        <f t="shared" si="10"/>
        <v>312</v>
      </c>
      <c r="T69" s="16">
        <f t="shared" si="10"/>
        <v>207.66666666666666</v>
      </c>
      <c r="U69" s="16">
        <f t="shared" si="10"/>
        <v>278</v>
      </c>
      <c r="V69" s="16">
        <f t="shared" si="10"/>
        <v>386</v>
      </c>
      <c r="W69" s="16"/>
      <c r="X69" s="16">
        <f>AVERAGE(X40:X54)</f>
        <v>936.6</v>
      </c>
      <c r="Y69" s="17"/>
      <c r="Z69" s="16">
        <f>AVERAGE(Z40:Z54)</f>
        <v>37.269230769230766</v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ht="18" customHeight="1" x14ac:dyDescent="0.2">
      <c r="A71" s="1002" t="s">
        <v>633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ht="18" customHeight="1" thickTop="1" thickBot="1" x14ac:dyDescent="0.25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ht="18" customHeight="1" x14ac:dyDescent="0.25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A74" s="2" t="s">
        <v>398</v>
      </c>
      <c r="AB74" t="s">
        <v>142</v>
      </c>
      <c r="AC74"/>
      <c r="AD74"/>
      <c r="AE74"/>
      <c r="AF74"/>
      <c r="AG74" s="269" t="s">
        <v>117</v>
      </c>
      <c r="AH74" s="270" t="s">
        <v>118</v>
      </c>
      <c r="AI74" s="271" t="s">
        <v>119</v>
      </c>
      <c r="AJ74" s="272"/>
      <c r="AK74" s="271" t="s">
        <v>120</v>
      </c>
      <c r="AL74" s="271"/>
      <c r="AM74" s="272"/>
      <c r="AN74" s="273" t="s">
        <v>121</v>
      </c>
      <c r="AO74" s="272"/>
      <c r="AP74" s="274" t="s">
        <v>122</v>
      </c>
    </row>
    <row r="75" spans="1:47" ht="18" customHeight="1" x14ac:dyDescent="0.2">
      <c r="A75" s="1">
        <v>1995</v>
      </c>
      <c r="B75" s="6"/>
      <c r="C75" s="6"/>
      <c r="D75" s="6"/>
      <c r="E75" s="6"/>
      <c r="F75" s="6"/>
      <c r="G75" s="6"/>
      <c r="H75" s="6">
        <v>1</v>
      </c>
      <c r="I75" s="6">
        <v>0</v>
      </c>
      <c r="J75" s="6">
        <v>4</v>
      </c>
      <c r="K75" s="6"/>
      <c r="L75" s="6"/>
      <c r="M75" s="6">
        <v>600</v>
      </c>
      <c r="N75" s="6"/>
      <c r="O75" s="6"/>
      <c r="P75" s="6"/>
      <c r="Q75" s="6"/>
      <c r="R75" s="6"/>
      <c r="S75" s="6"/>
      <c r="T75" s="13"/>
      <c r="U75" s="13"/>
      <c r="V75" s="13"/>
      <c r="W75" s="13"/>
      <c r="X75" s="7">
        <v>1704</v>
      </c>
      <c r="Y75" s="7" t="s">
        <v>7</v>
      </c>
      <c r="Z75" s="10"/>
      <c r="AA75" s="2">
        <f>MAX(B75:W75)</f>
        <v>600</v>
      </c>
      <c r="AB75">
        <f>X75/MAX(B75:W75)</f>
        <v>2.84</v>
      </c>
      <c r="AC75"/>
      <c r="AD75"/>
      <c r="AE75"/>
      <c r="AF75"/>
      <c r="AG75" s="275" t="s">
        <v>36</v>
      </c>
      <c r="AH75" s="830"/>
      <c r="AI75" s="830" t="s">
        <v>146</v>
      </c>
      <c r="AJ75" s="262"/>
      <c r="AK75" s="163" t="s">
        <v>148</v>
      </c>
      <c r="AL75" s="163" t="s">
        <v>147</v>
      </c>
      <c r="AM75" s="262"/>
      <c r="AN75" s="164"/>
      <c r="AO75" s="262"/>
      <c r="AP75" s="276"/>
    </row>
    <row r="76" spans="1:47" ht="18" customHeight="1" x14ac:dyDescent="0.2">
      <c r="A76" s="1">
        <v>1996</v>
      </c>
      <c r="B76" s="6"/>
      <c r="C76" s="6"/>
      <c r="D76" s="6"/>
      <c r="E76" s="6"/>
      <c r="F76" s="6"/>
      <c r="G76" s="6">
        <v>0</v>
      </c>
      <c r="H76" s="6"/>
      <c r="I76" s="6">
        <v>0</v>
      </c>
      <c r="J76" s="6"/>
      <c r="K76" s="6">
        <v>46</v>
      </c>
      <c r="L76" s="6"/>
      <c r="M76" s="6">
        <v>1000</v>
      </c>
      <c r="N76" s="6">
        <v>129</v>
      </c>
      <c r="O76" s="6">
        <v>371</v>
      </c>
      <c r="P76" s="6"/>
      <c r="Q76" s="6"/>
      <c r="R76" s="6">
        <v>3</v>
      </c>
      <c r="S76" s="6"/>
      <c r="T76" s="13"/>
      <c r="U76" s="13"/>
      <c r="V76" s="13"/>
      <c r="W76" s="13"/>
      <c r="X76" s="7">
        <v>1251</v>
      </c>
      <c r="Y76" s="7" t="s">
        <v>5</v>
      </c>
      <c r="Z76" s="10">
        <v>14</v>
      </c>
      <c r="AA76" s="2">
        <f t="shared" ref="AA76:AA97" si="11">MAX(B76:W76)</f>
        <v>1000</v>
      </c>
      <c r="AB76">
        <f t="shared" ref="AB76:AB97" si="12">X76/MAX(B76:W76)</f>
        <v>1.2509999999999999</v>
      </c>
      <c r="AC76"/>
      <c r="AD76"/>
      <c r="AE76"/>
      <c r="AF76"/>
      <c r="AG76" s="275" t="s">
        <v>127</v>
      </c>
      <c r="AH76" s="229">
        <v>44440</v>
      </c>
      <c r="AI76" s="167"/>
      <c r="AJ76" s="262"/>
      <c r="AK76" s="262"/>
      <c r="AL76" s="263">
        <v>0</v>
      </c>
      <c r="AM76" s="262"/>
      <c r="AN76" s="262"/>
      <c r="AO76" s="262"/>
      <c r="AP76" s="277"/>
    </row>
    <row r="77" spans="1:47" ht="18" customHeight="1" x14ac:dyDescent="0.2">
      <c r="A77" s="1">
        <v>1997</v>
      </c>
      <c r="B77" s="6"/>
      <c r="C77" s="6"/>
      <c r="D77" s="6">
        <v>1</v>
      </c>
      <c r="E77" s="6"/>
      <c r="F77" s="6"/>
      <c r="G77" s="6">
        <v>0</v>
      </c>
      <c r="H77" s="6">
        <v>0</v>
      </c>
      <c r="I77" s="6">
        <v>4</v>
      </c>
      <c r="J77" s="6"/>
      <c r="K77" s="6">
        <v>182</v>
      </c>
      <c r="L77" s="6">
        <v>127</v>
      </c>
      <c r="M77" s="6">
        <v>1424</v>
      </c>
      <c r="N77" s="6"/>
      <c r="O77" s="6"/>
      <c r="P77" s="6">
        <v>567</v>
      </c>
      <c r="Q77" s="6"/>
      <c r="R77" s="6"/>
      <c r="S77" s="6"/>
      <c r="T77" s="13"/>
      <c r="U77" s="13"/>
      <c r="V77" s="13"/>
      <c r="W77" s="13"/>
      <c r="X77" s="7">
        <v>2458</v>
      </c>
      <c r="Y77" s="7" t="s">
        <v>5</v>
      </c>
      <c r="Z77" s="10">
        <v>20</v>
      </c>
      <c r="AA77" s="2">
        <f t="shared" si="11"/>
        <v>1424</v>
      </c>
      <c r="AB77">
        <f t="shared" si="12"/>
        <v>1.726123595505618</v>
      </c>
      <c r="AC77"/>
      <c r="AD77"/>
      <c r="AE77"/>
      <c r="AF77" s="93" t="s">
        <v>97</v>
      </c>
      <c r="AG77" s="275"/>
      <c r="AH77" s="229">
        <v>44455</v>
      </c>
      <c r="AI77" s="263">
        <v>14</v>
      </c>
      <c r="AJ77" s="262"/>
      <c r="AK77" s="264">
        <v>0.9</v>
      </c>
      <c r="AL77" s="265">
        <f t="shared" ref="AL77:AL84" si="13">AI77/AK77</f>
        <v>15.555555555555555</v>
      </c>
      <c r="AM77" s="262"/>
      <c r="AN77" s="265">
        <f>(AH77-AH76)*(AI77+AI76)</f>
        <v>210</v>
      </c>
      <c r="AO77" s="262"/>
      <c r="AP77" s="278">
        <f>(AH77-AH76)*(AL77+AL76)</f>
        <v>233.33333333333334</v>
      </c>
    </row>
    <row r="78" spans="1:47" ht="18" customHeight="1" x14ac:dyDescent="0.2">
      <c r="A78" s="1">
        <v>1998</v>
      </c>
      <c r="B78" s="6"/>
      <c r="C78" s="6"/>
      <c r="D78" s="6"/>
      <c r="E78" s="6"/>
      <c r="F78" s="6"/>
      <c r="G78" s="6">
        <v>0</v>
      </c>
      <c r="H78" s="6">
        <v>8</v>
      </c>
      <c r="I78" s="6">
        <v>4</v>
      </c>
      <c r="J78" s="6">
        <v>0</v>
      </c>
      <c r="K78" s="6">
        <v>459</v>
      </c>
      <c r="L78" s="6"/>
      <c r="M78" s="6">
        <v>4047</v>
      </c>
      <c r="N78" s="6">
        <v>3652</v>
      </c>
      <c r="O78" s="197">
        <v>5518</v>
      </c>
      <c r="P78" s="6"/>
      <c r="Q78" s="6"/>
      <c r="R78" s="6">
        <v>17</v>
      </c>
      <c r="S78" s="6"/>
      <c r="T78" s="13">
        <v>0</v>
      </c>
      <c r="U78" s="13"/>
      <c r="V78" s="13">
        <v>2</v>
      </c>
      <c r="W78" s="13"/>
      <c r="X78" s="7">
        <v>10392</v>
      </c>
      <c r="Y78" s="7" t="s">
        <v>5</v>
      </c>
      <c r="Z78" s="10">
        <v>15</v>
      </c>
      <c r="AA78" s="2">
        <f t="shared" si="11"/>
        <v>5518</v>
      </c>
      <c r="AB78">
        <f t="shared" si="12"/>
        <v>1.8832910474809714</v>
      </c>
      <c r="AC78"/>
      <c r="AD78" s="96">
        <v>41579</v>
      </c>
      <c r="AE78" s="96">
        <v>41570</v>
      </c>
      <c r="AF78">
        <f>AD78-AE78</f>
        <v>9</v>
      </c>
      <c r="AG78" s="275"/>
      <c r="AH78" s="229">
        <v>44476</v>
      </c>
      <c r="AI78" s="263">
        <v>1072</v>
      </c>
      <c r="AJ78" s="262"/>
      <c r="AK78" s="264">
        <v>0.9</v>
      </c>
      <c r="AL78" s="265">
        <f t="shared" si="13"/>
        <v>1191.1111111111111</v>
      </c>
      <c r="AM78" s="262"/>
      <c r="AN78" s="265">
        <f t="shared" ref="AN78:AN86" si="14">(AH78-AH77)*(AI78+AI77)</f>
        <v>22806</v>
      </c>
      <c r="AO78" s="262"/>
      <c r="AP78" s="278">
        <f t="shared" ref="AP78:AP86" si="15">(AH78-AH77)*(AL78+AL77)</f>
        <v>25340</v>
      </c>
    </row>
    <row r="79" spans="1:47" ht="18" customHeight="1" x14ac:dyDescent="0.2">
      <c r="A79" s="1">
        <v>1999</v>
      </c>
      <c r="B79" s="6"/>
      <c r="C79" s="6"/>
      <c r="D79" s="6"/>
      <c r="E79" s="6"/>
      <c r="F79" s="6"/>
      <c r="G79" s="6">
        <v>14</v>
      </c>
      <c r="H79" s="6"/>
      <c r="I79" s="6"/>
      <c r="J79" s="6">
        <v>46</v>
      </c>
      <c r="K79" s="6"/>
      <c r="L79" s="6"/>
      <c r="M79" s="6">
        <v>2082</v>
      </c>
      <c r="N79" s="6">
        <v>2008</v>
      </c>
      <c r="O79" s="197">
        <v>2518</v>
      </c>
      <c r="P79" s="6"/>
      <c r="Q79" s="6">
        <v>143</v>
      </c>
      <c r="R79" s="6"/>
      <c r="S79" s="6"/>
      <c r="T79" s="13"/>
      <c r="U79" s="13"/>
      <c r="V79" s="13"/>
      <c r="W79" s="13"/>
      <c r="X79" s="9">
        <v>8207</v>
      </c>
      <c r="Y79" s="7" t="s">
        <v>5</v>
      </c>
      <c r="Z79" s="60">
        <v>12.5</v>
      </c>
      <c r="AA79" s="2">
        <f t="shared" si="11"/>
        <v>2518</v>
      </c>
      <c r="AB79">
        <f t="shared" si="12"/>
        <v>3.2593328038125495</v>
      </c>
      <c r="AC79"/>
      <c r="AD79"/>
      <c r="AE79"/>
      <c r="AF79"/>
      <c r="AG79" s="279"/>
      <c r="AH79" s="229">
        <v>44488</v>
      </c>
      <c r="AI79" s="263">
        <v>2029</v>
      </c>
      <c r="AJ79" s="262"/>
      <c r="AK79" s="264">
        <v>0.9</v>
      </c>
      <c r="AL79" s="265">
        <f t="shared" si="13"/>
        <v>2254.4444444444443</v>
      </c>
      <c r="AM79" s="262"/>
      <c r="AN79" s="265">
        <f t="shared" si="14"/>
        <v>37212</v>
      </c>
      <c r="AO79" s="262"/>
      <c r="AP79" s="278">
        <f t="shared" si="15"/>
        <v>41346.666666666672</v>
      </c>
    </row>
    <row r="80" spans="1:47" ht="18" customHeight="1" x14ac:dyDescent="0.2">
      <c r="A80" s="1">
        <v>2000</v>
      </c>
      <c r="B80" s="6"/>
      <c r="C80" s="6"/>
      <c r="D80" s="6"/>
      <c r="E80" s="6"/>
      <c r="F80" s="6"/>
      <c r="G80" s="6"/>
      <c r="H80" s="6">
        <v>1</v>
      </c>
      <c r="I80" s="6">
        <v>9</v>
      </c>
      <c r="J80" s="6"/>
      <c r="K80" s="6">
        <v>110</v>
      </c>
      <c r="L80" s="6"/>
      <c r="M80" s="6"/>
      <c r="N80" s="6"/>
      <c r="O80" s="6"/>
      <c r="P80" s="6">
        <v>237</v>
      </c>
      <c r="Q80" s="6"/>
      <c r="R80" s="6"/>
      <c r="S80" s="6"/>
      <c r="T80" s="13">
        <v>0</v>
      </c>
      <c r="U80" s="13">
        <v>0</v>
      </c>
      <c r="V80" s="13"/>
      <c r="W80" s="13"/>
      <c r="X80" s="10">
        <v>835</v>
      </c>
      <c r="Y80" s="7" t="s">
        <v>5</v>
      </c>
      <c r="Z80" s="60">
        <v>12.5</v>
      </c>
      <c r="AA80" s="2">
        <f t="shared" si="11"/>
        <v>237</v>
      </c>
      <c r="AB80">
        <f t="shared" si="12"/>
        <v>3.5232067510548521</v>
      </c>
      <c r="AC80"/>
      <c r="AD80"/>
      <c r="AE80"/>
      <c r="AF80"/>
      <c r="AG80" s="280"/>
      <c r="AH80" s="229">
        <v>44501</v>
      </c>
      <c r="AI80" s="263">
        <v>1060</v>
      </c>
      <c r="AJ80" s="262"/>
      <c r="AK80" s="264">
        <v>0.9</v>
      </c>
      <c r="AL80" s="265">
        <f t="shared" si="13"/>
        <v>1177.7777777777778</v>
      </c>
      <c r="AM80" s="262"/>
      <c r="AN80" s="265">
        <f t="shared" si="14"/>
        <v>40157</v>
      </c>
      <c r="AO80" s="262"/>
      <c r="AP80" s="278">
        <f t="shared" si="15"/>
        <v>44618.888888888891</v>
      </c>
    </row>
    <row r="81" spans="1:47" ht="18" customHeight="1" x14ac:dyDescent="0.2">
      <c r="A81" s="1">
        <v>2001</v>
      </c>
      <c r="B81" s="6"/>
      <c r="C81" s="6"/>
      <c r="D81" s="6"/>
      <c r="E81" s="6"/>
      <c r="F81" s="6"/>
      <c r="G81" s="6"/>
      <c r="H81" s="6">
        <v>0</v>
      </c>
      <c r="I81" s="6"/>
      <c r="J81" s="6">
        <v>54</v>
      </c>
      <c r="K81" s="6"/>
      <c r="L81" s="6">
        <v>200</v>
      </c>
      <c r="M81" s="6"/>
      <c r="N81" s="6"/>
      <c r="O81" s="6"/>
      <c r="P81" s="6"/>
      <c r="Q81" s="6"/>
      <c r="R81" s="6"/>
      <c r="S81" s="6"/>
      <c r="T81" s="13"/>
      <c r="U81" s="13"/>
      <c r="V81" s="13"/>
      <c r="W81" s="13"/>
      <c r="X81" s="7">
        <v>250</v>
      </c>
      <c r="Y81" s="7" t="s">
        <v>7</v>
      </c>
      <c r="Z81" s="60"/>
      <c r="AA81" s="2">
        <f t="shared" si="11"/>
        <v>200</v>
      </c>
      <c r="AB81">
        <f t="shared" si="12"/>
        <v>1.25</v>
      </c>
      <c r="AC81"/>
      <c r="AD81"/>
      <c r="AE81"/>
      <c r="AF81"/>
      <c r="AG81" s="280"/>
      <c r="AH81" s="229">
        <v>44515</v>
      </c>
      <c r="AI81" s="263">
        <v>0</v>
      </c>
      <c r="AJ81" s="262"/>
      <c r="AK81" s="264">
        <v>0.9</v>
      </c>
      <c r="AL81" s="265">
        <f t="shared" si="13"/>
        <v>0</v>
      </c>
      <c r="AM81" s="262"/>
      <c r="AN81" s="265">
        <f t="shared" si="14"/>
        <v>14840</v>
      </c>
      <c r="AO81" s="262"/>
      <c r="AP81" s="278">
        <f t="shared" si="15"/>
        <v>16488.888888888891</v>
      </c>
    </row>
    <row r="82" spans="1:47" ht="18" customHeight="1" x14ac:dyDescent="0.2">
      <c r="A82" s="1">
        <v>2002</v>
      </c>
      <c r="B82" s="6"/>
      <c r="C82" s="6"/>
      <c r="D82" s="6"/>
      <c r="E82" s="6"/>
      <c r="F82" s="6"/>
      <c r="G82" s="6"/>
      <c r="H82" s="6">
        <v>4</v>
      </c>
      <c r="I82" s="6"/>
      <c r="J82" s="6">
        <v>20</v>
      </c>
      <c r="K82" s="6"/>
      <c r="L82" s="6"/>
      <c r="M82" s="6">
        <v>1638</v>
      </c>
      <c r="N82" s="6"/>
      <c r="O82" s="6">
        <v>203</v>
      </c>
      <c r="P82" s="6"/>
      <c r="Q82" s="6"/>
      <c r="R82" s="6">
        <v>11</v>
      </c>
      <c r="S82" s="6"/>
      <c r="T82" s="13"/>
      <c r="U82" s="13"/>
      <c r="V82" s="13"/>
      <c r="W82" s="13"/>
      <c r="X82" s="7">
        <v>2763</v>
      </c>
      <c r="Y82" s="7" t="s">
        <v>5</v>
      </c>
      <c r="Z82" s="60">
        <v>14</v>
      </c>
      <c r="AA82" s="2">
        <f t="shared" si="11"/>
        <v>1638</v>
      </c>
      <c r="AB82">
        <f t="shared" si="12"/>
        <v>1.6868131868131868</v>
      </c>
      <c r="AC82"/>
      <c r="AD82"/>
      <c r="AE82"/>
      <c r="AF82"/>
      <c r="AG82" s="280"/>
      <c r="AH82" s="229">
        <v>44516</v>
      </c>
      <c r="AI82" s="263">
        <v>0</v>
      </c>
      <c r="AJ82" s="262"/>
      <c r="AK82" s="264">
        <v>0.9</v>
      </c>
      <c r="AL82" s="265">
        <f t="shared" si="13"/>
        <v>0</v>
      </c>
      <c r="AM82" s="262"/>
      <c r="AN82" s="265">
        <f t="shared" si="14"/>
        <v>0</v>
      </c>
      <c r="AO82" s="262"/>
      <c r="AP82" s="278">
        <f t="shared" si="15"/>
        <v>0</v>
      </c>
    </row>
    <row r="83" spans="1:47" ht="18" customHeight="1" x14ac:dyDescent="0.2">
      <c r="A83" s="1">
        <v>2003</v>
      </c>
      <c r="B83" s="6"/>
      <c r="C83" s="6"/>
      <c r="D83" s="6"/>
      <c r="E83" s="6"/>
      <c r="F83" s="6"/>
      <c r="G83" s="6"/>
      <c r="H83" s="6"/>
      <c r="I83" s="6">
        <v>59</v>
      </c>
      <c r="J83" s="6">
        <v>36</v>
      </c>
      <c r="K83" s="6"/>
      <c r="L83" s="6">
        <v>1670</v>
      </c>
      <c r="M83" s="6"/>
      <c r="N83" s="197">
        <v>4594</v>
      </c>
      <c r="O83" s="6">
        <v>2372</v>
      </c>
      <c r="P83" s="6"/>
      <c r="Q83" s="6"/>
      <c r="R83" s="6"/>
      <c r="S83" s="6"/>
      <c r="T83" s="13"/>
      <c r="U83" s="13"/>
      <c r="V83" s="13"/>
      <c r="W83" s="13"/>
      <c r="X83" s="7">
        <v>7914</v>
      </c>
      <c r="Y83" s="7" t="s">
        <v>5</v>
      </c>
      <c r="Z83" s="60">
        <v>12</v>
      </c>
      <c r="AA83" s="2">
        <f t="shared" si="11"/>
        <v>4594</v>
      </c>
      <c r="AB83">
        <f t="shared" si="12"/>
        <v>1.7226817588158467</v>
      </c>
      <c r="AC83"/>
      <c r="AD83"/>
      <c r="AE83"/>
      <c r="AF83"/>
      <c r="AG83" s="280"/>
      <c r="AH83" s="229">
        <v>44517</v>
      </c>
      <c r="AI83" s="263">
        <v>0</v>
      </c>
      <c r="AJ83" s="262"/>
      <c r="AK83" s="264">
        <v>0.9</v>
      </c>
      <c r="AL83" s="265">
        <f t="shared" si="13"/>
        <v>0</v>
      </c>
      <c r="AM83" s="262"/>
      <c r="AN83" s="265">
        <f t="shared" si="14"/>
        <v>0</v>
      </c>
      <c r="AO83" s="262"/>
      <c r="AP83" s="278">
        <f t="shared" si="15"/>
        <v>0</v>
      </c>
    </row>
    <row r="84" spans="1:47" ht="18" customHeight="1" x14ac:dyDescent="0.2">
      <c r="A84" s="1">
        <v>2004</v>
      </c>
      <c r="B84" s="6"/>
      <c r="C84" s="6"/>
      <c r="D84" s="6"/>
      <c r="E84" s="6"/>
      <c r="F84" s="6"/>
      <c r="G84" s="6"/>
      <c r="H84" s="6">
        <v>4</v>
      </c>
      <c r="I84" s="6"/>
      <c r="J84" s="6">
        <v>163</v>
      </c>
      <c r="K84" s="6"/>
      <c r="L84" s="197">
        <v>3114</v>
      </c>
      <c r="M84" s="6"/>
      <c r="N84" s="6">
        <v>3048</v>
      </c>
      <c r="O84" s="6"/>
      <c r="P84" s="6"/>
      <c r="Q84" s="6"/>
      <c r="R84" s="6"/>
      <c r="S84" s="6">
        <v>3</v>
      </c>
      <c r="T84" s="13"/>
      <c r="U84" s="13"/>
      <c r="V84" s="13"/>
      <c r="W84" s="13"/>
      <c r="X84" s="7">
        <v>7595</v>
      </c>
      <c r="Y84" s="7" t="s">
        <v>5</v>
      </c>
      <c r="Z84" s="60">
        <v>15</v>
      </c>
      <c r="AA84" s="2">
        <f t="shared" si="11"/>
        <v>3114</v>
      </c>
      <c r="AB84">
        <f t="shared" si="12"/>
        <v>2.438985228002569</v>
      </c>
      <c r="AC84"/>
      <c r="AD84"/>
      <c r="AE84"/>
      <c r="AF84"/>
      <c r="AG84" s="280"/>
      <c r="AH84" s="229">
        <v>44518</v>
      </c>
      <c r="AI84" s="263">
        <v>0</v>
      </c>
      <c r="AJ84" s="262"/>
      <c r="AK84" s="264">
        <v>0.9</v>
      </c>
      <c r="AL84" s="265">
        <f t="shared" si="13"/>
        <v>0</v>
      </c>
      <c r="AM84" s="262"/>
      <c r="AN84" s="265">
        <f t="shared" si="14"/>
        <v>0</v>
      </c>
      <c r="AO84" s="262"/>
      <c r="AP84" s="278">
        <f t="shared" si="15"/>
        <v>0</v>
      </c>
    </row>
    <row r="85" spans="1:47" ht="18" customHeight="1" x14ac:dyDescent="0.2">
      <c r="A85" s="1">
        <v>2005</v>
      </c>
      <c r="B85" s="6"/>
      <c r="C85" s="6"/>
      <c r="D85" s="6"/>
      <c r="E85" s="6"/>
      <c r="F85" s="6"/>
      <c r="G85" s="6"/>
      <c r="H85" s="6">
        <v>3</v>
      </c>
      <c r="I85" s="6"/>
      <c r="J85" s="6"/>
      <c r="K85" s="6">
        <v>928</v>
      </c>
      <c r="L85" s="6"/>
      <c r="M85" s="6"/>
      <c r="N85" s="6"/>
      <c r="O85" s="6"/>
      <c r="P85" s="6">
        <v>960</v>
      </c>
      <c r="Q85" s="6"/>
      <c r="R85" s="6"/>
      <c r="S85" s="6"/>
      <c r="T85" s="13"/>
      <c r="U85" s="13"/>
      <c r="V85" s="13"/>
      <c r="W85" s="13"/>
      <c r="X85" s="11">
        <v>4433</v>
      </c>
      <c r="Y85" s="7" t="s">
        <v>5</v>
      </c>
      <c r="Z85" s="60">
        <v>12</v>
      </c>
      <c r="AA85" s="2">
        <f t="shared" si="11"/>
        <v>960</v>
      </c>
      <c r="AB85">
        <f t="shared" si="12"/>
        <v>4.6177083333333337</v>
      </c>
      <c r="AC85"/>
      <c r="AD85"/>
      <c r="AE85"/>
      <c r="AF85"/>
      <c r="AG85" s="290"/>
      <c r="AH85" s="229">
        <v>44519</v>
      </c>
      <c r="AI85" s="55"/>
      <c r="AJ85" s="55"/>
      <c r="AK85" s="55"/>
      <c r="AL85" s="263">
        <v>0</v>
      </c>
      <c r="AM85" s="55"/>
      <c r="AN85" s="265">
        <f t="shared" si="14"/>
        <v>0</v>
      </c>
      <c r="AO85" s="262"/>
      <c r="AP85" s="278">
        <f t="shared" si="15"/>
        <v>0</v>
      </c>
    </row>
    <row r="86" spans="1:47" ht="18" customHeight="1" x14ac:dyDescent="0.2">
      <c r="A86" s="1">
        <v>2006</v>
      </c>
      <c r="B86" s="6"/>
      <c r="C86" s="6"/>
      <c r="D86" s="6"/>
      <c r="E86" s="6"/>
      <c r="F86" s="6"/>
      <c r="G86" s="6"/>
      <c r="H86" s="6">
        <v>2</v>
      </c>
      <c r="I86" s="6"/>
      <c r="J86" s="6"/>
      <c r="K86" s="6">
        <v>21</v>
      </c>
      <c r="L86" s="6"/>
      <c r="M86" s="6"/>
      <c r="N86" s="6">
        <v>1577</v>
      </c>
      <c r="O86" s="6"/>
      <c r="P86" s="6"/>
      <c r="Q86" s="6"/>
      <c r="R86" s="6"/>
      <c r="S86" s="6"/>
      <c r="T86" s="13"/>
      <c r="U86" s="13"/>
      <c r="V86" s="13"/>
      <c r="W86" s="13"/>
      <c r="X86" s="12">
        <v>2524</v>
      </c>
      <c r="Y86" s="7" t="s">
        <v>5</v>
      </c>
      <c r="Z86" s="60">
        <v>10.5</v>
      </c>
      <c r="AA86" s="2">
        <f t="shared" si="11"/>
        <v>1577</v>
      </c>
      <c r="AB86">
        <f t="shared" si="12"/>
        <v>1.6005072923272035</v>
      </c>
      <c r="AC86"/>
      <c r="AD86"/>
      <c r="AE86"/>
      <c r="AF86"/>
      <c r="AG86" s="275" t="s">
        <v>128</v>
      </c>
      <c r="AH86" s="229"/>
      <c r="AI86" s="176"/>
      <c r="AJ86" s="262"/>
      <c r="AK86" s="177"/>
      <c r="AL86" s="178">
        <v>0</v>
      </c>
      <c r="AM86" s="179"/>
      <c r="AN86" s="265">
        <f t="shared" si="14"/>
        <v>0</v>
      </c>
      <c r="AO86" s="262"/>
      <c r="AP86" s="278">
        <f t="shared" si="15"/>
        <v>0</v>
      </c>
    </row>
    <row r="87" spans="1:47" ht="18" customHeight="1" x14ac:dyDescent="0.2">
      <c r="A87" s="1">
        <v>2007</v>
      </c>
      <c r="B87" s="6"/>
      <c r="C87" s="6"/>
      <c r="D87" s="6"/>
      <c r="E87" s="6"/>
      <c r="F87" s="6"/>
      <c r="G87" s="6"/>
      <c r="H87" s="6">
        <v>1</v>
      </c>
      <c r="I87" s="6"/>
      <c r="J87" s="6">
        <v>31</v>
      </c>
      <c r="K87" s="6"/>
      <c r="L87" s="6"/>
      <c r="M87" s="6"/>
      <c r="N87" s="6"/>
      <c r="O87" s="6"/>
      <c r="P87" s="6"/>
      <c r="Q87" s="6">
        <v>20</v>
      </c>
      <c r="R87" s="6">
        <v>0</v>
      </c>
      <c r="S87" s="6"/>
      <c r="T87" s="13"/>
      <c r="U87" s="13"/>
      <c r="V87" s="13"/>
      <c r="W87" s="13"/>
      <c r="X87" s="12">
        <v>6069</v>
      </c>
      <c r="Y87" s="7" t="s">
        <v>6</v>
      </c>
      <c r="Z87" s="60"/>
      <c r="AA87" s="2">
        <f t="shared" si="11"/>
        <v>31</v>
      </c>
      <c r="AB87">
        <f t="shared" si="12"/>
        <v>195.7741935483871</v>
      </c>
      <c r="AC87"/>
      <c r="AD87"/>
      <c r="AE87"/>
      <c r="AF87"/>
      <c r="AG87" s="275" t="s">
        <v>2</v>
      </c>
      <c r="AH87" s="167">
        <v>7</v>
      </c>
      <c r="AI87" s="167"/>
      <c r="AJ87" s="167"/>
      <c r="AK87" s="262"/>
      <c r="AL87" s="262"/>
      <c r="AM87" s="262"/>
      <c r="AN87" s="262"/>
      <c r="AO87" s="262"/>
      <c r="AP87" s="277"/>
    </row>
    <row r="88" spans="1:47" s="55" customFormat="1" ht="18" customHeight="1" x14ac:dyDescent="0.2">
      <c r="A88" s="13">
        <v>2008</v>
      </c>
      <c r="B88" s="13"/>
      <c r="C88" s="13"/>
      <c r="D88" s="13"/>
      <c r="E88" s="13"/>
      <c r="F88" s="13"/>
      <c r="G88" s="13">
        <v>0</v>
      </c>
      <c r="H88" s="13"/>
      <c r="I88" s="13"/>
      <c r="J88" s="13">
        <v>4</v>
      </c>
      <c r="K88" s="13">
        <v>435</v>
      </c>
      <c r="L88" s="13"/>
      <c r="M88" s="13"/>
      <c r="N88" s="13">
        <v>1752</v>
      </c>
      <c r="O88" s="13"/>
      <c r="P88" s="13"/>
      <c r="Q88" s="13"/>
      <c r="R88" s="13">
        <v>1</v>
      </c>
      <c r="S88" s="13"/>
      <c r="T88" s="13"/>
      <c r="U88" s="13"/>
      <c r="V88" s="13"/>
      <c r="W88" s="13"/>
      <c r="X88" s="13">
        <v>2730</v>
      </c>
      <c r="Y88" s="7" t="s">
        <v>5</v>
      </c>
      <c r="Z88" s="58">
        <v>17.5</v>
      </c>
      <c r="AA88" s="2">
        <f t="shared" si="11"/>
        <v>1752</v>
      </c>
      <c r="AB88">
        <f t="shared" si="12"/>
        <v>1.5582191780821917</v>
      </c>
      <c r="AC88"/>
      <c r="AD88"/>
      <c r="AE88"/>
      <c r="AF88"/>
      <c r="AG88" s="275" t="s">
        <v>129</v>
      </c>
      <c r="AH88" s="167"/>
      <c r="AI88" s="167">
        <f>MAX(AI76:AI86)</f>
        <v>2029</v>
      </c>
      <c r="AJ88" s="167"/>
      <c r="AK88" s="167"/>
      <c r="AL88" s="167">
        <f>MAX(AL76:AL86)</f>
        <v>2254.4444444444443</v>
      </c>
      <c r="AM88" s="167"/>
      <c r="AN88" s="167"/>
      <c r="AO88" s="262"/>
      <c r="AP88" s="277"/>
    </row>
    <row r="89" spans="1:47" ht="18" customHeight="1" x14ac:dyDescent="0.2">
      <c r="A89" s="13">
        <v>2009</v>
      </c>
      <c r="B89" s="13"/>
      <c r="C89" s="13"/>
      <c r="D89" s="13"/>
      <c r="E89" s="13"/>
      <c r="F89" s="13"/>
      <c r="G89" s="13"/>
      <c r="H89" s="13"/>
      <c r="I89" s="13">
        <v>41</v>
      </c>
      <c r="J89" s="13">
        <v>5</v>
      </c>
      <c r="K89" s="13">
        <v>55</v>
      </c>
      <c r="L89" s="13"/>
      <c r="M89" s="13">
        <v>1906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>
        <v>2775</v>
      </c>
      <c r="Y89" s="7" t="s">
        <v>5</v>
      </c>
      <c r="Z89" s="58">
        <v>20</v>
      </c>
      <c r="AA89" s="2">
        <f t="shared" si="11"/>
        <v>1906</v>
      </c>
      <c r="AB89">
        <f t="shared" si="12"/>
        <v>1.4559286463798531</v>
      </c>
      <c r="AC89"/>
      <c r="AD89"/>
      <c r="AE89"/>
      <c r="AF89"/>
      <c r="AG89" s="275" t="s">
        <v>130</v>
      </c>
      <c r="AH89" s="167"/>
      <c r="AI89" s="263">
        <v>15</v>
      </c>
      <c r="AJ89" s="167"/>
      <c r="AK89" s="262"/>
      <c r="AL89" s="263">
        <v>15</v>
      </c>
      <c r="AM89" s="266"/>
      <c r="AN89" s="266"/>
      <c r="AO89" s="262"/>
      <c r="AP89" s="277"/>
    </row>
    <row r="90" spans="1:47" ht="18" customHeight="1" x14ac:dyDescent="0.2">
      <c r="A90" s="1">
        <v>2010</v>
      </c>
      <c r="B90" s="13"/>
      <c r="C90" s="13"/>
      <c r="D90" s="13"/>
      <c r="E90" s="13"/>
      <c r="F90" s="13"/>
      <c r="G90" s="1">
        <v>5</v>
      </c>
      <c r="H90" s="1"/>
      <c r="I90" s="1"/>
      <c r="J90" s="1">
        <v>622</v>
      </c>
      <c r="K90" s="1"/>
      <c r="L90" s="1"/>
      <c r="M90" s="1">
        <v>1057</v>
      </c>
      <c r="N90" s="1"/>
      <c r="O90" s="1">
        <v>3</v>
      </c>
      <c r="P90" s="13"/>
      <c r="Q90" s="13"/>
      <c r="R90" s="13"/>
      <c r="S90" s="13"/>
      <c r="T90" s="13"/>
      <c r="U90" s="13"/>
      <c r="V90" s="13"/>
      <c r="W90" s="13"/>
      <c r="X90" s="13">
        <v>1920</v>
      </c>
      <c r="Y90" s="7"/>
      <c r="Z90" s="58"/>
      <c r="AA90" s="2">
        <f t="shared" si="11"/>
        <v>1057</v>
      </c>
      <c r="AB90">
        <f t="shared" si="12"/>
        <v>1.816461684011353</v>
      </c>
      <c r="AC90"/>
      <c r="AD90"/>
      <c r="AE90"/>
      <c r="AF90"/>
      <c r="AG90" s="275" t="s">
        <v>131</v>
      </c>
      <c r="AH90" s="167"/>
      <c r="AI90" s="267">
        <f>(0.5*SUM(AN77:AN86))/AI89</f>
        <v>3840.8333333333335</v>
      </c>
      <c r="AJ90" s="167"/>
      <c r="AK90" s="262"/>
      <c r="AL90" s="267">
        <f>(0.5*SUM(AP77:AP86))/AL89</f>
        <v>4267.5925925925931</v>
      </c>
      <c r="AM90" s="266"/>
      <c r="AN90" s="266"/>
      <c r="AO90" s="262"/>
      <c r="AP90" s="277"/>
    </row>
    <row r="91" spans="1:47" ht="18" customHeight="1" thickBot="1" x14ac:dyDescent="0.25">
      <c r="A91" s="13">
        <v>2011</v>
      </c>
      <c r="B91" s="13"/>
      <c r="C91" s="13"/>
      <c r="D91" s="13"/>
      <c r="E91" s="13"/>
      <c r="F91" s="13"/>
      <c r="G91" s="13"/>
      <c r="H91" s="13"/>
      <c r="I91" s="13"/>
      <c r="J91" s="13"/>
      <c r="K91" s="13">
        <v>1723</v>
      </c>
      <c r="L91" s="13"/>
      <c r="M91" s="196">
        <v>6777</v>
      </c>
      <c r="N91" s="13">
        <v>2870</v>
      </c>
      <c r="O91" s="13">
        <v>1595</v>
      </c>
      <c r="P91" s="13"/>
      <c r="Q91" s="13">
        <v>54</v>
      </c>
      <c r="R91" s="13"/>
      <c r="S91" s="13"/>
      <c r="T91" s="13"/>
      <c r="U91" s="13">
        <v>0</v>
      </c>
      <c r="V91" s="13"/>
      <c r="W91" s="13"/>
      <c r="X91" s="13">
        <v>9700</v>
      </c>
      <c r="Y91" s="7" t="s">
        <v>5</v>
      </c>
      <c r="Z91" s="58">
        <v>15.5</v>
      </c>
      <c r="AA91" s="2">
        <f t="shared" si="11"/>
        <v>6777</v>
      </c>
      <c r="AB91">
        <f t="shared" si="12"/>
        <v>1.4313117898775269</v>
      </c>
      <c r="AC91"/>
      <c r="AD91"/>
      <c r="AE91"/>
      <c r="AF91"/>
      <c r="AG91" s="291"/>
      <c r="AH91" s="286"/>
      <c r="AI91" s="286"/>
      <c r="AJ91" s="286"/>
      <c r="AK91" s="286"/>
      <c r="AL91" s="286"/>
      <c r="AM91" s="286"/>
      <c r="AN91" s="286"/>
      <c r="AO91" s="286"/>
      <c r="AP91" s="288"/>
    </row>
    <row r="92" spans="1:47" ht="18" customHeight="1" x14ac:dyDescent="0.2">
      <c r="A92" s="13">
        <v>2012</v>
      </c>
      <c r="B92" s="13"/>
      <c r="C92" s="13"/>
      <c r="D92" s="13"/>
      <c r="E92" s="13"/>
      <c r="F92" s="13">
        <v>0</v>
      </c>
      <c r="G92" s="13">
        <v>1</v>
      </c>
      <c r="H92" s="13">
        <v>0</v>
      </c>
      <c r="I92" s="13">
        <v>1</v>
      </c>
      <c r="J92" s="13">
        <v>109</v>
      </c>
      <c r="K92" s="13">
        <v>122</v>
      </c>
      <c r="L92" s="13"/>
      <c r="M92" s="196">
        <v>4581</v>
      </c>
      <c r="N92" s="13">
        <v>1716</v>
      </c>
      <c r="O92" s="13">
        <v>266</v>
      </c>
      <c r="P92" s="13"/>
      <c r="Q92" s="13"/>
      <c r="R92" s="13">
        <v>2</v>
      </c>
      <c r="S92" s="13"/>
      <c r="T92" s="13"/>
      <c r="U92" s="13"/>
      <c r="V92" s="13"/>
      <c r="W92" s="13"/>
      <c r="X92" s="13">
        <v>5302</v>
      </c>
      <c r="Y92" s="7" t="s">
        <v>5</v>
      </c>
      <c r="Z92" s="58">
        <v>14</v>
      </c>
      <c r="AA92" s="2">
        <f t="shared" si="11"/>
        <v>4581</v>
      </c>
      <c r="AB92">
        <f t="shared" si="12"/>
        <v>1.1573892163283126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ht="18" customHeight="1" x14ac:dyDescent="0.2">
      <c r="A93" s="13">
        <v>2013</v>
      </c>
      <c r="B93" s="13"/>
      <c r="C93" s="13"/>
      <c r="D93" s="13"/>
      <c r="E93" s="13"/>
      <c r="F93" s="13">
        <v>1</v>
      </c>
      <c r="G93" s="13">
        <v>1</v>
      </c>
      <c r="H93" s="13">
        <v>1</v>
      </c>
      <c r="I93" s="13">
        <v>430</v>
      </c>
      <c r="J93" s="13">
        <v>573</v>
      </c>
      <c r="K93" s="204">
        <v>2081</v>
      </c>
      <c r="L93" s="13"/>
      <c r="M93" s="13">
        <v>1513</v>
      </c>
      <c r="N93" s="13">
        <v>954</v>
      </c>
      <c r="O93" s="13"/>
      <c r="P93" s="13"/>
      <c r="Q93" s="13"/>
      <c r="R93" s="13">
        <v>6</v>
      </c>
      <c r="S93" s="13">
        <v>0</v>
      </c>
      <c r="T93" s="13"/>
      <c r="U93" s="13"/>
      <c r="V93" s="13"/>
      <c r="W93" s="13"/>
      <c r="X93" s="13">
        <v>3746</v>
      </c>
      <c r="Y93" s="7" t="s">
        <v>5</v>
      </c>
      <c r="Z93" s="58">
        <v>20</v>
      </c>
      <c r="AA93" s="2">
        <f t="shared" si="11"/>
        <v>2081</v>
      </c>
      <c r="AB93">
        <f t="shared" si="12"/>
        <v>1.8000961076405575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ht="18" customHeight="1" x14ac:dyDescent="0.2">
      <c r="A94" s="13">
        <v>2014</v>
      </c>
      <c r="B94" s="13"/>
      <c r="C94" s="13"/>
      <c r="D94" s="13"/>
      <c r="E94" s="13"/>
      <c r="F94" s="200">
        <v>0</v>
      </c>
      <c r="G94" s="200">
        <v>2</v>
      </c>
      <c r="H94" s="201"/>
      <c r="I94" s="202">
        <v>197</v>
      </c>
      <c r="J94" s="202">
        <v>197</v>
      </c>
      <c r="K94" s="200">
        <v>853</v>
      </c>
      <c r="L94" s="201"/>
      <c r="M94" s="200">
        <v>282</v>
      </c>
      <c r="N94" s="201"/>
      <c r="O94" s="200">
        <v>148</v>
      </c>
      <c r="P94" s="201"/>
      <c r="Q94" s="203"/>
      <c r="R94" s="200">
        <v>31</v>
      </c>
      <c r="S94" s="13"/>
      <c r="T94" s="13"/>
      <c r="U94" s="13"/>
      <c r="V94" s="13"/>
      <c r="W94" s="13"/>
      <c r="X94" s="13">
        <v>1446</v>
      </c>
      <c r="Y94" s="7" t="s">
        <v>5</v>
      </c>
      <c r="Z94" s="58">
        <v>15</v>
      </c>
      <c r="AA94" s="2">
        <f t="shared" si="11"/>
        <v>853</v>
      </c>
      <c r="AB94">
        <f t="shared" si="12"/>
        <v>1.6951934349355218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ht="18" customHeight="1" x14ac:dyDescent="0.2">
      <c r="A95" s="13">
        <v>2015</v>
      </c>
      <c r="B95" s="13"/>
      <c r="C95" s="13"/>
      <c r="D95" s="13"/>
      <c r="E95" s="13"/>
      <c r="F95" s="495">
        <v>0</v>
      </c>
      <c r="G95" s="202">
        <v>34</v>
      </c>
      <c r="H95" s="484">
        <v>19</v>
      </c>
      <c r="I95" s="1"/>
      <c r="J95" s="296">
        <v>1510</v>
      </c>
      <c r="K95" s="296">
        <v>808</v>
      </c>
      <c r="L95" s="296">
        <v>3565</v>
      </c>
      <c r="M95" s="494">
        <v>5850</v>
      </c>
      <c r="N95" s="296">
        <v>3237</v>
      </c>
      <c r="O95" s="296">
        <v>259</v>
      </c>
      <c r="P95" s="13"/>
      <c r="Q95" s="13"/>
      <c r="R95" s="13"/>
      <c r="S95" s="13"/>
      <c r="T95" s="13"/>
      <c r="U95" s="13"/>
      <c r="V95" s="13"/>
      <c r="W95" s="13"/>
      <c r="X95" s="13">
        <v>8104</v>
      </c>
      <c r="Y95" s="7" t="s">
        <v>5</v>
      </c>
      <c r="Z95" s="58">
        <v>15</v>
      </c>
      <c r="AA95" s="2">
        <f t="shared" si="11"/>
        <v>5850</v>
      </c>
      <c r="AB95">
        <f t="shared" si="12"/>
        <v>1.3852991452991452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ht="18" customHeight="1" x14ac:dyDescent="0.2">
      <c r="A96" s="13">
        <v>2016</v>
      </c>
      <c r="B96" s="13"/>
      <c r="C96" s="13"/>
      <c r="D96" s="13"/>
      <c r="E96" s="13"/>
      <c r="F96" s="13"/>
      <c r="G96" s="202">
        <v>9</v>
      </c>
      <c r="H96" s="202">
        <v>20</v>
      </c>
      <c r="I96" s="13"/>
      <c r="J96" s="484">
        <v>428</v>
      </c>
      <c r="K96" s="296">
        <v>282</v>
      </c>
      <c r="L96" s="13"/>
      <c r="M96" s="296">
        <v>2894</v>
      </c>
      <c r="N96" s="13"/>
      <c r="O96" s="296">
        <v>4398</v>
      </c>
      <c r="P96" s="13"/>
      <c r="Q96" s="13"/>
      <c r="R96" s="13"/>
      <c r="S96" s="13"/>
      <c r="T96" s="13"/>
      <c r="U96" s="13"/>
      <c r="V96" s="13"/>
      <c r="W96" s="13"/>
      <c r="X96" s="13">
        <v>15956</v>
      </c>
      <c r="Y96" s="7" t="s">
        <v>9</v>
      </c>
      <c r="Z96" s="58"/>
      <c r="AA96" s="2">
        <f t="shared" si="11"/>
        <v>4398</v>
      </c>
      <c r="AB96">
        <f t="shared" si="12"/>
        <v>3.6280127330604821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ht="18" customHeight="1" x14ac:dyDescent="0.2">
      <c r="A97" s="13">
        <v>2017</v>
      </c>
      <c r="B97" s="13"/>
      <c r="C97" s="13"/>
      <c r="D97" s="13"/>
      <c r="E97" s="13"/>
      <c r="F97" s="200">
        <v>0</v>
      </c>
      <c r="G97" s="13"/>
      <c r="H97" s="200">
        <v>35</v>
      </c>
      <c r="I97" s="200">
        <v>34</v>
      </c>
      <c r="J97" s="200">
        <v>332</v>
      </c>
      <c r="K97" s="200">
        <v>959</v>
      </c>
      <c r="L97" s="13"/>
      <c r="M97" s="483">
        <v>350</v>
      </c>
      <c r="N97" s="483">
        <v>395</v>
      </c>
      <c r="O97" s="13"/>
      <c r="P97" s="13"/>
      <c r="Q97" s="13"/>
      <c r="R97" s="13"/>
      <c r="S97" s="13"/>
      <c r="T97" s="13"/>
      <c r="U97" s="13"/>
      <c r="V97" s="13"/>
      <c r="W97" s="13"/>
      <c r="X97" s="13">
        <v>1565</v>
      </c>
      <c r="Y97" s="7"/>
      <c r="Z97" s="58">
        <v>15</v>
      </c>
      <c r="AA97" s="2">
        <f t="shared" si="11"/>
        <v>959</v>
      </c>
      <c r="AB97">
        <f t="shared" si="12"/>
        <v>1.6319082377476537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ht="18" customHeight="1" x14ac:dyDescent="0.2">
      <c r="A98" s="13">
        <v>2018</v>
      </c>
      <c r="B98" s="13"/>
      <c r="C98" s="13"/>
      <c r="D98" s="13"/>
      <c r="E98" s="13"/>
      <c r="F98" s="13"/>
      <c r="G98" s="200">
        <v>19</v>
      </c>
      <c r="H98" s="200">
        <v>37</v>
      </c>
      <c r="I98" s="496">
        <v>183</v>
      </c>
      <c r="J98" s="200">
        <v>537</v>
      </c>
      <c r="K98" s="530">
        <v>738</v>
      </c>
      <c r="L98" s="13"/>
      <c r="M98" s="483">
        <v>696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>
        <v>1431</v>
      </c>
      <c r="Y98" s="7"/>
      <c r="Z98" s="58">
        <v>20</v>
      </c>
      <c r="AA98" s="2">
        <f>MAX(B98:W98)</f>
        <v>738</v>
      </c>
      <c r="AB98">
        <f>X98/MAX(B98:W98)</f>
        <v>1.9390243902439024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ht="18" customHeight="1" x14ac:dyDescent="0.2">
      <c r="A99" s="13">
        <v>2019</v>
      </c>
      <c r="B99" s="13"/>
      <c r="C99" s="13"/>
      <c r="D99" s="13"/>
      <c r="E99" s="13"/>
      <c r="F99" s="109">
        <v>4</v>
      </c>
      <c r="G99" s="13"/>
      <c r="H99" s="109">
        <v>62</v>
      </c>
      <c r="I99" s="109">
        <v>166</v>
      </c>
      <c r="J99" s="109">
        <v>315</v>
      </c>
      <c r="K99" s="155">
        <v>471</v>
      </c>
      <c r="L99" s="13"/>
      <c r="M99" s="155">
        <v>366</v>
      </c>
      <c r="N99" s="155">
        <v>785</v>
      </c>
      <c r="O99" s="13"/>
      <c r="P99" s="13"/>
      <c r="Q99" s="13"/>
      <c r="R99" s="13"/>
      <c r="S99" s="13"/>
      <c r="T99" s="13"/>
      <c r="U99" s="13"/>
      <c r="V99" s="13"/>
      <c r="W99" s="13"/>
      <c r="X99" s="13">
        <v>1197</v>
      </c>
      <c r="Y99" s="7"/>
      <c r="Z99" s="58">
        <v>20</v>
      </c>
      <c r="AA99" s="2">
        <f t="shared" ref="AA99:AA101" si="16">MAX(B99:W99)</f>
        <v>785</v>
      </c>
      <c r="AB99">
        <f t="shared" ref="AB99:AB101" si="17">X99/MAX(B99:W99)</f>
        <v>1.5248407643312103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ht="18" customHeight="1" x14ac:dyDescent="0.2">
      <c r="A100" s="13">
        <v>2020</v>
      </c>
      <c r="B100" s="13"/>
      <c r="C100" s="13"/>
      <c r="D100" s="13"/>
      <c r="E100" s="13"/>
      <c r="F100" s="13"/>
      <c r="G100" s="109">
        <v>0</v>
      </c>
      <c r="H100" s="109">
        <v>0</v>
      </c>
      <c r="I100" s="13"/>
      <c r="J100" s="590">
        <v>284</v>
      </c>
      <c r="K100" s="13"/>
      <c r="L100" s="155">
        <v>1740</v>
      </c>
      <c r="M100" s="13"/>
      <c r="N100" s="155">
        <v>1220</v>
      </c>
      <c r="O100" s="155">
        <v>17</v>
      </c>
      <c r="P100" s="13"/>
      <c r="Q100" s="13"/>
      <c r="R100" s="13"/>
      <c r="S100" s="13"/>
      <c r="T100" s="13"/>
      <c r="U100" s="13"/>
      <c r="V100" s="13"/>
      <c r="W100" s="13"/>
      <c r="X100" s="29">
        <v>2664</v>
      </c>
      <c r="Y100" s="7" t="s">
        <v>5</v>
      </c>
      <c r="Z100" s="317">
        <v>12.5</v>
      </c>
      <c r="AA100" s="2">
        <f t="shared" si="16"/>
        <v>1740</v>
      </c>
      <c r="AB100">
        <f t="shared" si="17"/>
        <v>1.5310344827586206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s="150" customFormat="1" ht="18" customHeight="1" x14ac:dyDescent="0.2">
      <c r="A101" s="89">
        <v>2021</v>
      </c>
      <c r="B101" s="89"/>
      <c r="C101" s="89"/>
      <c r="D101" s="89"/>
      <c r="E101" s="89"/>
      <c r="F101" s="89"/>
      <c r="G101" s="89"/>
      <c r="H101" s="109">
        <v>420</v>
      </c>
      <c r="I101" s="89"/>
      <c r="J101" s="736"/>
      <c r="K101" s="109">
        <v>1072</v>
      </c>
      <c r="L101" s="737"/>
      <c r="M101" s="109">
        <v>1919</v>
      </c>
      <c r="N101" s="737"/>
      <c r="O101" s="155">
        <v>1060</v>
      </c>
      <c r="P101" s="89"/>
      <c r="Q101" s="89"/>
      <c r="R101" s="89"/>
      <c r="S101" s="89"/>
      <c r="T101" s="89"/>
      <c r="U101" s="89"/>
      <c r="V101" s="89"/>
      <c r="W101" s="89"/>
      <c r="X101" s="21">
        <v>4778</v>
      </c>
      <c r="Y101" s="7" t="s">
        <v>5</v>
      </c>
      <c r="Z101" s="739">
        <v>15</v>
      </c>
      <c r="AA101" s="2">
        <f t="shared" si="16"/>
        <v>1919</v>
      </c>
      <c r="AB101">
        <f t="shared" si="17"/>
        <v>2.4898384575299635</v>
      </c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</row>
    <row r="102" spans="1:47" s="150" customFormat="1" ht="18" customHeight="1" x14ac:dyDescent="0.2">
      <c r="A102" s="89">
        <v>2022</v>
      </c>
      <c r="B102" s="89"/>
      <c r="C102" s="89"/>
      <c r="D102" s="89"/>
      <c r="E102" s="89"/>
      <c r="F102" s="109">
        <v>0</v>
      </c>
      <c r="G102" s="89" t="s">
        <v>562</v>
      </c>
      <c r="H102" s="109">
        <v>2</v>
      </c>
      <c r="I102" s="89"/>
      <c r="J102" s="437">
        <v>3</v>
      </c>
      <c r="K102" s="89"/>
      <c r="L102" s="737"/>
      <c r="M102" s="89"/>
      <c r="N102" s="737"/>
      <c r="O102" s="155">
        <v>349</v>
      </c>
      <c r="P102" s="155">
        <v>280</v>
      </c>
      <c r="Q102" s="89"/>
      <c r="R102" s="89"/>
      <c r="S102" s="89"/>
      <c r="T102" s="89"/>
      <c r="U102" s="89"/>
      <c r="V102" s="89"/>
      <c r="W102" s="89"/>
      <c r="X102" s="21"/>
      <c r="Y102" s="11"/>
      <c r="Z102" s="739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</row>
    <row r="103" spans="1:47" s="150" customFormat="1" ht="18" customHeight="1" x14ac:dyDescent="0.2">
      <c r="A103" s="89">
        <v>2023</v>
      </c>
      <c r="B103" s="89"/>
      <c r="C103" s="89"/>
      <c r="D103" s="89"/>
      <c r="E103" s="109">
        <v>7</v>
      </c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21"/>
      <c r="Y103" s="11"/>
      <c r="Z103" s="739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</row>
    <row r="104" spans="1:47" ht="18" customHeight="1" x14ac:dyDescent="0.2">
      <c r="A104" s="64"/>
      <c r="B104" s="16"/>
      <c r="C104" s="16"/>
      <c r="D104" s="16">
        <f t="shared" ref="D104:V104" si="18">AVERAGE(D75:D89)</f>
        <v>1</v>
      </c>
      <c r="E104" s="16"/>
      <c r="F104" s="16"/>
      <c r="G104" s="16">
        <f t="shared" si="18"/>
        <v>2.8</v>
      </c>
      <c r="H104" s="16">
        <f t="shared" si="18"/>
        <v>2.4</v>
      </c>
      <c r="I104" s="16">
        <f t="shared" si="18"/>
        <v>16.714285714285715</v>
      </c>
      <c r="J104" s="16">
        <f t="shared" si="18"/>
        <v>36.299999999999997</v>
      </c>
      <c r="K104" s="16">
        <f t="shared" si="18"/>
        <v>279.5</v>
      </c>
      <c r="L104" s="16">
        <f t="shared" si="18"/>
        <v>1277.75</v>
      </c>
      <c r="M104" s="16">
        <f t="shared" si="18"/>
        <v>1813.8571428571429</v>
      </c>
      <c r="N104" s="16">
        <f t="shared" si="18"/>
        <v>2394.2857142857142</v>
      </c>
      <c r="O104" s="16">
        <f t="shared" si="18"/>
        <v>2196.4</v>
      </c>
      <c r="P104" s="16">
        <f t="shared" si="18"/>
        <v>588</v>
      </c>
      <c r="Q104" s="16">
        <f t="shared" si="18"/>
        <v>81.5</v>
      </c>
      <c r="R104" s="16">
        <f t="shared" si="18"/>
        <v>6.4</v>
      </c>
      <c r="S104" s="16">
        <f t="shared" si="18"/>
        <v>3</v>
      </c>
      <c r="T104" s="16">
        <f t="shared" si="18"/>
        <v>0</v>
      </c>
      <c r="U104" s="16">
        <f t="shared" si="18"/>
        <v>0</v>
      </c>
      <c r="V104" s="16">
        <f t="shared" si="18"/>
        <v>2</v>
      </c>
      <c r="W104" s="16"/>
      <c r="X104" s="16">
        <f>AVERAGE(X75:X89)</f>
        <v>4126.666666666667</v>
      </c>
      <c r="Y104" s="17"/>
      <c r="Z104" s="16">
        <f>AVERAGE(Z75:Z89)</f>
        <v>14.583333333333334</v>
      </c>
    </row>
  </sheetData>
  <mergeCells count="18">
    <mergeCell ref="A73:A74"/>
    <mergeCell ref="A71:I71"/>
    <mergeCell ref="B73:W73"/>
    <mergeCell ref="A1:I1"/>
    <mergeCell ref="B3:W3"/>
    <mergeCell ref="A36:I36"/>
    <mergeCell ref="A3:A4"/>
    <mergeCell ref="A38:A39"/>
    <mergeCell ref="B38:W38"/>
    <mergeCell ref="X73:X74"/>
    <mergeCell ref="Y73:Y74"/>
    <mergeCell ref="X38:X39"/>
    <mergeCell ref="X3:X4"/>
    <mergeCell ref="Z73:Z74"/>
    <mergeCell ref="Y3:Y4"/>
    <mergeCell ref="Z3:Z4"/>
    <mergeCell ref="Y38:Y39"/>
    <mergeCell ref="Z38:Z39"/>
  </mergeCells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AU105"/>
  <sheetViews>
    <sheetView topLeftCell="A47" zoomScale="70" zoomScaleNormal="70" workbookViewId="0">
      <selection activeCell="I33" sqref="I33"/>
    </sheetView>
  </sheetViews>
  <sheetFormatPr defaultColWidth="9.140625" defaultRowHeight="12.75" x14ac:dyDescent="0.2"/>
  <cols>
    <col min="1" max="1" width="10.28515625" style="2" customWidth="1"/>
    <col min="2" max="23" width="6.5703125" style="2" customWidth="1"/>
    <col min="24" max="25" width="9.140625" style="2"/>
    <col min="26" max="26" width="11.7109375" style="56" customWidth="1"/>
    <col min="27" max="30" width="9.140625" style="2"/>
    <col min="31" max="31" width="10" style="2" customWidth="1"/>
    <col min="32" max="32" width="15.7109375" style="2" customWidth="1"/>
    <col min="33" max="36" width="9.140625" style="2"/>
    <col min="37" max="37" width="9.7109375" style="2" bestFit="1" customWidth="1"/>
    <col min="38" max="41" width="9.140625" style="2"/>
    <col min="42" max="42" width="11.85546875" style="2" customWidth="1"/>
    <col min="43" max="16384" width="9.140625" style="2"/>
  </cols>
  <sheetData>
    <row r="1" spans="1:47" ht="18" customHeight="1" x14ac:dyDescent="0.2">
      <c r="A1" s="1002" t="s">
        <v>634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8" customHeight="1" thickTop="1" thickBot="1" x14ac:dyDescent="0.25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8" customHeight="1" x14ac:dyDescent="0.25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68" t="s">
        <v>44</v>
      </c>
      <c r="AB4" t="s">
        <v>142</v>
      </c>
      <c r="AC4"/>
      <c r="AD4"/>
      <c r="AE4" s="269" t="s">
        <v>117</v>
      </c>
      <c r="AF4" s="270" t="s">
        <v>118</v>
      </c>
      <c r="AG4" s="271" t="s">
        <v>119</v>
      </c>
      <c r="AH4" s="272"/>
      <c r="AI4" s="271" t="s">
        <v>120</v>
      </c>
      <c r="AJ4" s="271"/>
      <c r="AK4" s="272"/>
      <c r="AL4" s="273" t="s">
        <v>121</v>
      </c>
      <c r="AM4" s="272"/>
      <c r="AN4" s="274" t="s">
        <v>122</v>
      </c>
      <c r="AO4"/>
      <c r="AP4"/>
      <c r="AQ4"/>
      <c r="AR4"/>
      <c r="AS4"/>
      <c r="AT4"/>
      <c r="AU4"/>
    </row>
    <row r="5" spans="1:47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6">
        <v>9</v>
      </c>
      <c r="I5" s="6"/>
      <c r="J5" s="6">
        <v>253</v>
      </c>
      <c r="K5" s="6">
        <v>420</v>
      </c>
      <c r="L5" s="6">
        <v>26</v>
      </c>
      <c r="M5" s="6">
        <v>0</v>
      </c>
      <c r="N5" s="6">
        <v>3</v>
      </c>
      <c r="O5" s="6"/>
      <c r="P5" s="6"/>
      <c r="Q5" s="6"/>
      <c r="R5" s="6"/>
      <c r="S5" s="6"/>
      <c r="T5" s="1"/>
      <c r="U5" s="1"/>
      <c r="V5" s="1"/>
      <c r="W5" s="1"/>
      <c r="X5" s="7">
        <v>600</v>
      </c>
      <c r="Y5" s="7"/>
      <c r="Z5" s="10"/>
      <c r="AB5">
        <f>X5/MAX(B5:W5)</f>
        <v>1.4285714285714286</v>
      </c>
      <c r="AC5"/>
      <c r="AD5"/>
      <c r="AE5" s="275" t="s">
        <v>37</v>
      </c>
      <c r="AF5" s="830"/>
      <c r="AG5" s="830" t="s">
        <v>146</v>
      </c>
      <c r="AH5" s="262"/>
      <c r="AI5" s="163" t="s">
        <v>148</v>
      </c>
      <c r="AJ5" s="163" t="s">
        <v>147</v>
      </c>
      <c r="AK5" s="262"/>
      <c r="AL5" s="164"/>
      <c r="AM5" s="262"/>
      <c r="AN5" s="276"/>
      <c r="AO5"/>
      <c r="AP5"/>
      <c r="AQ5" s="575" t="s">
        <v>176</v>
      </c>
      <c r="AR5" s="835" t="s">
        <v>178</v>
      </c>
      <c r="AS5" s="669" t="s">
        <v>177</v>
      </c>
      <c r="AT5" s="840" t="s">
        <v>365</v>
      </c>
      <c r="AU5"/>
    </row>
    <row r="6" spans="1:47" s="8" customFormat="1" ht="18" customHeight="1" x14ac:dyDescent="0.25">
      <c r="A6" s="1">
        <v>1996</v>
      </c>
      <c r="B6" s="6"/>
      <c r="C6" s="6"/>
      <c r="D6" s="6">
        <v>0</v>
      </c>
      <c r="E6" s="6"/>
      <c r="F6" s="6">
        <v>33</v>
      </c>
      <c r="G6" s="6"/>
      <c r="H6" s="6">
        <v>222</v>
      </c>
      <c r="I6" s="6"/>
      <c r="J6" s="6">
        <v>320</v>
      </c>
      <c r="K6" s="6">
        <v>18</v>
      </c>
      <c r="L6" s="6"/>
      <c r="M6" s="6"/>
      <c r="N6" s="6">
        <v>13</v>
      </c>
      <c r="O6" s="6"/>
      <c r="P6" s="6"/>
      <c r="Q6" s="6">
        <v>8</v>
      </c>
      <c r="R6" s="6"/>
      <c r="S6" s="6"/>
      <c r="T6" s="1"/>
      <c r="U6" s="1"/>
      <c r="V6" s="1"/>
      <c r="W6" s="1"/>
      <c r="X6" s="7">
        <v>288</v>
      </c>
      <c r="Y6" s="7" t="s">
        <v>5</v>
      </c>
      <c r="Z6" s="10">
        <v>25</v>
      </c>
      <c r="AB6">
        <f t="shared" ref="AB6:AB29" si="0">X6/MAX(B6:W6)</f>
        <v>0.9</v>
      </c>
      <c r="AC6"/>
      <c r="AD6"/>
      <c r="AE6" s="275" t="s">
        <v>127</v>
      </c>
      <c r="AF6" s="229">
        <v>44440</v>
      </c>
      <c r="AG6" s="167"/>
      <c r="AH6" s="262"/>
      <c r="AI6" s="262"/>
      <c r="AJ6" s="263">
        <v>0</v>
      </c>
      <c r="AK6" s="262"/>
      <c r="AL6" s="262"/>
      <c r="AM6" s="262"/>
      <c r="AN6" s="277"/>
      <c r="AO6"/>
      <c r="AP6" s="832" t="s">
        <v>106</v>
      </c>
      <c r="AQ6" s="838" t="s">
        <v>496</v>
      </c>
      <c r="AR6" s="836" t="s">
        <v>496</v>
      </c>
      <c r="AS6" s="839" t="s">
        <v>496</v>
      </c>
      <c r="AT6" s="841" t="s">
        <v>496</v>
      </c>
      <c r="AU6"/>
    </row>
    <row r="7" spans="1:47" s="8" customFormat="1" ht="18" customHeight="1" x14ac:dyDescent="0.25">
      <c r="A7" s="1">
        <v>1997</v>
      </c>
      <c r="B7" s="6"/>
      <c r="C7" s="6"/>
      <c r="D7" s="6"/>
      <c r="E7" s="6"/>
      <c r="F7" s="6">
        <v>24</v>
      </c>
      <c r="G7" s="6">
        <v>61</v>
      </c>
      <c r="H7" s="6">
        <v>143</v>
      </c>
      <c r="I7" s="6"/>
      <c r="J7" s="6">
        <v>221</v>
      </c>
      <c r="K7" s="6">
        <v>236</v>
      </c>
      <c r="L7" s="6"/>
      <c r="M7" s="6">
        <v>90</v>
      </c>
      <c r="N7" s="6"/>
      <c r="O7" s="6"/>
      <c r="P7" s="6"/>
      <c r="Q7" s="6"/>
      <c r="R7" s="6"/>
      <c r="S7" s="6"/>
      <c r="T7" s="1"/>
      <c r="U7" s="1"/>
      <c r="V7" s="1"/>
      <c r="W7" s="1"/>
      <c r="X7" s="7">
        <v>523</v>
      </c>
      <c r="Y7" s="7" t="s">
        <v>5</v>
      </c>
      <c r="Z7" s="61">
        <v>20</v>
      </c>
      <c r="AB7">
        <f t="shared" si="0"/>
        <v>2.2161016949152543</v>
      </c>
      <c r="AC7"/>
      <c r="AD7"/>
      <c r="AE7" s="275"/>
      <c r="AF7" s="229">
        <v>44446</v>
      </c>
      <c r="AG7" s="263">
        <v>410</v>
      </c>
      <c r="AH7" s="262"/>
      <c r="AI7" s="264">
        <v>0.9</v>
      </c>
      <c r="AJ7" s="265">
        <f t="shared" ref="AJ7:AJ14" si="1">AG7/AI7</f>
        <v>455.55555555555554</v>
      </c>
      <c r="AK7" s="262"/>
      <c r="AL7" s="265">
        <f>(AF7-AF6)*(AG7+AG6)</f>
        <v>2460</v>
      </c>
      <c r="AM7" s="262"/>
      <c r="AN7" s="278">
        <f>(AF7-AF6)*(AJ7+AJ6)</f>
        <v>2733.333333333333</v>
      </c>
      <c r="AO7"/>
      <c r="AP7" s="833">
        <v>44446</v>
      </c>
      <c r="AQ7" s="834">
        <v>410</v>
      </c>
      <c r="AR7" s="834">
        <v>308</v>
      </c>
      <c r="AS7" s="834">
        <v>2</v>
      </c>
      <c r="AT7" s="834">
        <v>1</v>
      </c>
      <c r="AU7"/>
    </row>
    <row r="8" spans="1:47" s="8" customFormat="1" ht="18" customHeight="1" x14ac:dyDescent="0.25">
      <c r="A8" s="1">
        <v>1998</v>
      </c>
      <c r="B8" s="6"/>
      <c r="C8" s="6"/>
      <c r="D8" s="6"/>
      <c r="E8" s="6"/>
      <c r="F8" s="6"/>
      <c r="G8" s="6"/>
      <c r="H8" s="6">
        <v>611</v>
      </c>
      <c r="I8" s="6"/>
      <c r="J8" s="6">
        <v>692</v>
      </c>
      <c r="K8" s="6"/>
      <c r="L8" s="6"/>
      <c r="M8" s="6">
        <v>202</v>
      </c>
      <c r="N8" s="6"/>
      <c r="O8" s="6"/>
      <c r="P8" s="6"/>
      <c r="Q8" s="6"/>
      <c r="R8" s="6"/>
      <c r="S8" s="6"/>
      <c r="T8" s="1"/>
      <c r="U8" s="1"/>
      <c r="V8" s="1"/>
      <c r="W8" s="1"/>
      <c r="X8" s="7">
        <v>1430</v>
      </c>
      <c r="Y8" s="7" t="s">
        <v>5</v>
      </c>
      <c r="Z8" s="61">
        <v>20</v>
      </c>
      <c r="AB8">
        <f t="shared" si="0"/>
        <v>2.0664739884393062</v>
      </c>
      <c r="AC8"/>
      <c r="AD8"/>
      <c r="AE8" s="275"/>
      <c r="AF8" s="229">
        <v>44455</v>
      </c>
      <c r="AG8" s="263">
        <v>1102</v>
      </c>
      <c r="AH8" s="262"/>
      <c r="AI8" s="264">
        <v>0.9</v>
      </c>
      <c r="AJ8" s="265">
        <f t="shared" si="1"/>
        <v>1224.4444444444443</v>
      </c>
      <c r="AK8" s="262"/>
      <c r="AL8" s="265">
        <f t="shared" ref="AL8:AL16" si="2">(AF8-AF7)*(AG8+AG7)</f>
        <v>13608</v>
      </c>
      <c r="AM8" s="262"/>
      <c r="AN8" s="278">
        <f t="shared" ref="AN8:AN16" si="3">(AF8-AF7)*(AJ8+AJ7)</f>
        <v>15120</v>
      </c>
      <c r="AO8"/>
      <c r="AP8" s="833">
        <v>44455</v>
      </c>
      <c r="AQ8" s="834">
        <v>1102</v>
      </c>
      <c r="AR8" s="834">
        <v>1065</v>
      </c>
      <c r="AS8" s="834">
        <v>6</v>
      </c>
      <c r="AT8" s="834">
        <v>12</v>
      </c>
      <c r="AU8"/>
    </row>
    <row r="9" spans="1:47" s="8" customFormat="1" ht="18" customHeight="1" x14ac:dyDescent="0.25">
      <c r="A9" s="1">
        <v>1999</v>
      </c>
      <c r="B9" s="6"/>
      <c r="C9" s="6"/>
      <c r="D9" s="6"/>
      <c r="E9" s="6"/>
      <c r="F9" s="6"/>
      <c r="G9" s="6"/>
      <c r="H9" s="6">
        <v>103</v>
      </c>
      <c r="I9" s="6"/>
      <c r="J9" s="6"/>
      <c r="K9" s="6">
        <v>846</v>
      </c>
      <c r="L9" s="6"/>
      <c r="M9" s="6">
        <v>149</v>
      </c>
      <c r="N9" s="6"/>
      <c r="O9" s="6">
        <v>19</v>
      </c>
      <c r="P9" s="6"/>
      <c r="Q9" s="6"/>
      <c r="R9" s="6"/>
      <c r="S9" s="6"/>
      <c r="T9" s="1"/>
      <c r="U9" s="1"/>
      <c r="V9" s="1"/>
      <c r="W9" s="1"/>
      <c r="X9" s="9">
        <v>879</v>
      </c>
      <c r="Y9" s="7" t="s">
        <v>5</v>
      </c>
      <c r="Z9" s="62">
        <v>20</v>
      </c>
      <c r="AB9">
        <f t="shared" si="0"/>
        <v>1.0390070921985815</v>
      </c>
      <c r="AC9"/>
      <c r="AD9"/>
      <c r="AE9" s="279"/>
      <c r="AF9" s="229">
        <v>44476</v>
      </c>
      <c r="AG9" s="263">
        <v>219</v>
      </c>
      <c r="AH9" s="262"/>
      <c r="AI9" s="264">
        <v>0.9</v>
      </c>
      <c r="AJ9" s="265">
        <f t="shared" si="1"/>
        <v>243.33333333333331</v>
      </c>
      <c r="AK9" s="262"/>
      <c r="AL9" s="265">
        <f t="shared" si="2"/>
        <v>27741</v>
      </c>
      <c r="AM9" s="262"/>
      <c r="AN9" s="278">
        <f t="shared" si="3"/>
        <v>30823.333333333328</v>
      </c>
      <c r="AO9"/>
      <c r="AP9" s="833">
        <v>44476</v>
      </c>
      <c r="AQ9" s="834">
        <v>219</v>
      </c>
      <c r="AR9" s="834">
        <v>625</v>
      </c>
      <c r="AS9" s="834">
        <v>406</v>
      </c>
      <c r="AT9" s="834">
        <v>22</v>
      </c>
      <c r="AU9"/>
    </row>
    <row r="10" spans="1:47" s="8" customFormat="1" ht="18" customHeight="1" x14ac:dyDescent="0.25">
      <c r="A10" s="1">
        <v>2000</v>
      </c>
      <c r="B10" s="6"/>
      <c r="C10" s="6"/>
      <c r="D10" s="6"/>
      <c r="E10" s="6"/>
      <c r="F10" s="6"/>
      <c r="G10" s="6"/>
      <c r="H10" s="6"/>
      <c r="I10" s="6"/>
      <c r="J10" s="6">
        <v>95</v>
      </c>
      <c r="K10" s="6"/>
      <c r="L10" s="6">
        <v>188</v>
      </c>
      <c r="M10" s="6"/>
      <c r="N10" s="6"/>
      <c r="O10" s="6"/>
      <c r="P10" s="6"/>
      <c r="Q10" s="6"/>
      <c r="R10" s="6"/>
      <c r="S10" s="6"/>
      <c r="T10" s="1">
        <v>1</v>
      </c>
      <c r="U10" s="1"/>
      <c r="V10" s="1"/>
      <c r="W10" s="1"/>
      <c r="X10" s="10">
        <v>391</v>
      </c>
      <c r="Y10" s="7" t="s">
        <v>5</v>
      </c>
      <c r="Z10" s="62">
        <v>22.5</v>
      </c>
      <c r="AB10">
        <f t="shared" si="0"/>
        <v>2.0797872340425534</v>
      </c>
      <c r="AC10"/>
      <c r="AD10"/>
      <c r="AE10" s="280"/>
      <c r="AF10" s="229">
        <v>44488</v>
      </c>
      <c r="AG10" s="263">
        <v>55</v>
      </c>
      <c r="AH10" s="262"/>
      <c r="AI10" s="264">
        <v>0.9</v>
      </c>
      <c r="AJ10" s="265">
        <f t="shared" si="1"/>
        <v>61.111111111111107</v>
      </c>
      <c r="AK10" s="262"/>
      <c r="AL10" s="265">
        <f t="shared" si="2"/>
        <v>3288</v>
      </c>
      <c r="AM10" s="262"/>
      <c r="AN10" s="278">
        <f t="shared" si="3"/>
        <v>3653.333333333333</v>
      </c>
      <c r="AO10"/>
      <c r="AP10" s="833">
        <v>44488</v>
      </c>
      <c r="AQ10" s="834">
        <v>55</v>
      </c>
      <c r="AR10" s="834">
        <v>1808</v>
      </c>
      <c r="AS10" s="834">
        <v>873</v>
      </c>
      <c r="AT10" s="834">
        <v>2</v>
      </c>
      <c r="AU10"/>
    </row>
    <row r="11" spans="1:47" s="8" customFormat="1" ht="18" customHeight="1" x14ac:dyDescent="0.2">
      <c r="A11" s="1">
        <v>2001</v>
      </c>
      <c r="B11" s="6"/>
      <c r="C11" s="6"/>
      <c r="D11" s="6"/>
      <c r="E11" s="6"/>
      <c r="F11" s="6"/>
      <c r="G11" s="6"/>
      <c r="H11" s="6">
        <v>28</v>
      </c>
      <c r="I11" s="6"/>
      <c r="J11" s="6">
        <v>131</v>
      </c>
      <c r="K11" s="6"/>
      <c r="L11" s="6">
        <v>45</v>
      </c>
      <c r="M11" s="6"/>
      <c r="N11" s="6"/>
      <c r="O11" s="6"/>
      <c r="P11" s="6"/>
      <c r="Q11" s="6"/>
      <c r="R11" s="6">
        <v>8</v>
      </c>
      <c r="S11" s="6"/>
      <c r="T11" s="1"/>
      <c r="U11" s="1"/>
      <c r="V11" s="1"/>
      <c r="W11" s="1"/>
      <c r="X11" s="7">
        <v>237</v>
      </c>
      <c r="Y11" s="7" t="s">
        <v>5</v>
      </c>
      <c r="Z11" s="62">
        <v>15</v>
      </c>
      <c r="AB11">
        <f t="shared" si="0"/>
        <v>1.8091603053435115</v>
      </c>
      <c r="AC11"/>
      <c r="AD11"/>
      <c r="AE11" s="280"/>
      <c r="AF11" s="229">
        <v>44515</v>
      </c>
      <c r="AG11" s="263">
        <v>0</v>
      </c>
      <c r="AH11" s="262"/>
      <c r="AI11" s="264">
        <v>0.9</v>
      </c>
      <c r="AJ11" s="265">
        <f t="shared" si="1"/>
        <v>0</v>
      </c>
      <c r="AK11" s="262"/>
      <c r="AL11" s="265">
        <f t="shared" si="2"/>
        <v>1485</v>
      </c>
      <c r="AM11" s="262"/>
      <c r="AN11" s="278">
        <f t="shared" si="3"/>
        <v>1650</v>
      </c>
      <c r="AO11"/>
      <c r="AP11"/>
      <c r="AQ11"/>
      <c r="AR11"/>
      <c r="AS11"/>
      <c r="AT11"/>
      <c r="AU11"/>
    </row>
    <row r="12" spans="1:47" s="8" customFormat="1" ht="18" customHeight="1" x14ac:dyDescent="0.2">
      <c r="A12" s="1">
        <v>2002</v>
      </c>
      <c r="B12" s="6"/>
      <c r="C12" s="6"/>
      <c r="D12" s="6"/>
      <c r="E12" s="6"/>
      <c r="F12" s="6"/>
      <c r="G12" s="6"/>
      <c r="H12" s="6"/>
      <c r="I12" s="6">
        <v>293</v>
      </c>
      <c r="J12" s="6"/>
      <c r="K12" s="6"/>
      <c r="L12" s="6">
        <v>69</v>
      </c>
      <c r="M12" s="6"/>
      <c r="N12" s="6"/>
      <c r="O12" s="6"/>
      <c r="P12" s="6"/>
      <c r="Q12" s="6"/>
      <c r="R12" s="6">
        <v>1</v>
      </c>
      <c r="S12" s="6"/>
      <c r="T12" s="1"/>
      <c r="U12" s="1"/>
      <c r="V12" s="1"/>
      <c r="W12" s="1"/>
      <c r="X12" s="7">
        <v>308</v>
      </c>
      <c r="Y12" s="7" t="s">
        <v>9</v>
      </c>
      <c r="Z12" s="62"/>
      <c r="AB12">
        <f t="shared" si="0"/>
        <v>1.0511945392491469</v>
      </c>
      <c r="AC12"/>
      <c r="AD12"/>
      <c r="AE12" s="280"/>
      <c r="AF12" s="229">
        <v>44516</v>
      </c>
      <c r="AG12" s="263">
        <v>0</v>
      </c>
      <c r="AH12" s="262"/>
      <c r="AI12" s="264">
        <v>0.9</v>
      </c>
      <c r="AJ12" s="265">
        <f t="shared" si="1"/>
        <v>0</v>
      </c>
      <c r="AK12" s="262"/>
      <c r="AL12" s="265">
        <f t="shared" si="2"/>
        <v>0</v>
      </c>
      <c r="AM12" s="262"/>
      <c r="AN12" s="278">
        <f t="shared" si="3"/>
        <v>0</v>
      </c>
      <c r="AO12"/>
      <c r="AP12"/>
      <c r="AQ12"/>
      <c r="AR12"/>
      <c r="AS12"/>
      <c r="AT12"/>
      <c r="AU12"/>
    </row>
    <row r="13" spans="1:47" s="8" customFormat="1" ht="18" customHeight="1" x14ac:dyDescent="0.2">
      <c r="A13" s="1">
        <v>2003</v>
      </c>
      <c r="B13" s="6"/>
      <c r="C13" s="6"/>
      <c r="D13" s="6"/>
      <c r="E13" s="6"/>
      <c r="F13" s="6"/>
      <c r="G13" s="6">
        <v>15</v>
      </c>
      <c r="H13" s="6">
        <v>225</v>
      </c>
      <c r="I13" s="6">
        <v>413</v>
      </c>
      <c r="J13" s="6"/>
      <c r="K13" s="6">
        <v>39</v>
      </c>
      <c r="L13" s="6"/>
      <c r="M13" s="6"/>
      <c r="N13" s="6">
        <v>0</v>
      </c>
      <c r="O13" s="6"/>
      <c r="P13" s="6">
        <v>1</v>
      </c>
      <c r="Q13" s="6"/>
      <c r="R13" s="6"/>
      <c r="S13" s="6"/>
      <c r="T13" s="1"/>
      <c r="U13" s="1"/>
      <c r="V13" s="1"/>
      <c r="W13" s="1"/>
      <c r="X13" s="7">
        <v>440</v>
      </c>
      <c r="Y13" s="7" t="s">
        <v>5</v>
      </c>
      <c r="Z13" s="62">
        <v>17</v>
      </c>
      <c r="AB13">
        <f t="shared" si="0"/>
        <v>1.0653753026634383</v>
      </c>
      <c r="AC13"/>
      <c r="AD13"/>
      <c r="AE13" s="280"/>
      <c r="AF13" s="229">
        <v>44517</v>
      </c>
      <c r="AG13" s="263">
        <v>0</v>
      </c>
      <c r="AH13" s="262"/>
      <c r="AI13" s="264">
        <v>0.9</v>
      </c>
      <c r="AJ13" s="265">
        <f t="shared" si="1"/>
        <v>0</v>
      </c>
      <c r="AK13" s="262"/>
      <c r="AL13" s="265">
        <f t="shared" si="2"/>
        <v>0</v>
      </c>
      <c r="AM13" s="262"/>
      <c r="AN13" s="278">
        <f t="shared" si="3"/>
        <v>0</v>
      </c>
      <c r="AO13"/>
      <c r="AP13"/>
      <c r="AQ13"/>
      <c r="AR13"/>
      <c r="AS13"/>
      <c r="AT13"/>
      <c r="AU13"/>
    </row>
    <row r="14" spans="1:47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6"/>
      <c r="I14" s="6">
        <v>443</v>
      </c>
      <c r="J14" s="6">
        <v>473</v>
      </c>
      <c r="K14" s="6"/>
      <c r="L14" s="6">
        <v>169</v>
      </c>
      <c r="M14" s="6"/>
      <c r="N14" s="6">
        <v>0</v>
      </c>
      <c r="O14" s="6"/>
      <c r="P14" s="6"/>
      <c r="Q14" s="6"/>
      <c r="R14" s="6"/>
      <c r="S14" s="6">
        <v>0</v>
      </c>
      <c r="T14" s="1"/>
      <c r="U14" s="1"/>
      <c r="V14" s="1"/>
      <c r="W14" s="1"/>
      <c r="X14" s="11">
        <v>495</v>
      </c>
      <c r="Y14" s="7" t="s">
        <v>5</v>
      </c>
      <c r="Z14" s="62">
        <v>35</v>
      </c>
      <c r="AB14">
        <f t="shared" si="0"/>
        <v>1.0465116279069768</v>
      </c>
      <c r="AC14"/>
      <c r="AD14"/>
      <c r="AE14" s="280"/>
      <c r="AF14" s="229">
        <v>44518</v>
      </c>
      <c r="AG14" s="263">
        <v>0</v>
      </c>
      <c r="AH14" s="262"/>
      <c r="AI14" s="264">
        <v>0.9</v>
      </c>
      <c r="AJ14" s="265">
        <f t="shared" si="1"/>
        <v>0</v>
      </c>
      <c r="AK14" s="262"/>
      <c r="AL14" s="265">
        <f t="shared" si="2"/>
        <v>0</v>
      </c>
      <c r="AM14" s="262"/>
      <c r="AN14" s="278">
        <f t="shared" si="3"/>
        <v>0</v>
      </c>
      <c r="AO14"/>
      <c r="AP14"/>
      <c r="AQ14"/>
      <c r="AR14"/>
      <c r="AS14"/>
      <c r="AT14"/>
      <c r="AU14"/>
    </row>
    <row r="15" spans="1:47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6"/>
      <c r="I15" s="6"/>
      <c r="J15" s="6">
        <v>109</v>
      </c>
      <c r="K15" s="6">
        <v>21</v>
      </c>
      <c r="L15" s="6"/>
      <c r="M15" s="6"/>
      <c r="N15" s="6"/>
      <c r="O15" s="6"/>
      <c r="P15" s="6"/>
      <c r="Q15" s="6">
        <v>0</v>
      </c>
      <c r="R15" s="6"/>
      <c r="S15" s="6"/>
      <c r="T15" s="1"/>
      <c r="U15" s="1"/>
      <c r="V15" s="1"/>
      <c r="W15" s="1"/>
      <c r="X15" s="11">
        <v>121</v>
      </c>
      <c r="Y15" s="7" t="s">
        <v>6</v>
      </c>
      <c r="Z15" s="52"/>
      <c r="AB15">
        <f t="shared" si="0"/>
        <v>1.1100917431192661</v>
      </c>
      <c r="AC15"/>
      <c r="AD15"/>
      <c r="AE15" s="290"/>
      <c r="AF15" s="229">
        <v>44519</v>
      </c>
      <c r="AG15" s="55"/>
      <c r="AH15" s="55"/>
      <c r="AI15" s="55"/>
      <c r="AJ15" s="263">
        <v>0</v>
      </c>
      <c r="AK15" s="55"/>
      <c r="AL15" s="265">
        <f t="shared" si="2"/>
        <v>0</v>
      </c>
      <c r="AM15" s="262"/>
      <c r="AN15" s="278">
        <f t="shared" si="3"/>
        <v>0</v>
      </c>
      <c r="AO15"/>
      <c r="AP15"/>
      <c r="AQ15"/>
      <c r="AR15"/>
      <c r="AS15"/>
      <c r="AT15"/>
      <c r="AU15"/>
    </row>
    <row r="16" spans="1:47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6">
        <v>27</v>
      </c>
      <c r="I16" s="6"/>
      <c r="J16" s="6">
        <v>48</v>
      </c>
      <c r="K16" s="6"/>
      <c r="L16" s="6">
        <v>64</v>
      </c>
      <c r="M16" s="6"/>
      <c r="N16" s="6">
        <v>6</v>
      </c>
      <c r="O16" s="6"/>
      <c r="P16" s="6"/>
      <c r="Q16" s="6"/>
      <c r="R16" s="6"/>
      <c r="S16" s="6"/>
      <c r="T16" s="1"/>
      <c r="U16" s="1"/>
      <c r="V16" s="1"/>
      <c r="W16" s="1"/>
      <c r="X16" s="12">
        <v>76</v>
      </c>
      <c r="Y16" s="7" t="s">
        <v>5</v>
      </c>
      <c r="Z16" s="54">
        <v>25</v>
      </c>
      <c r="AB16">
        <f t="shared" si="0"/>
        <v>1.1875</v>
      </c>
      <c r="AC16"/>
      <c r="AD16"/>
      <c r="AE16" s="275" t="s">
        <v>128</v>
      </c>
      <c r="AF16" s="229"/>
      <c r="AG16" s="176"/>
      <c r="AH16" s="262"/>
      <c r="AI16" s="177"/>
      <c r="AJ16" s="178">
        <v>0</v>
      </c>
      <c r="AK16" s="179"/>
      <c r="AL16" s="265">
        <f t="shared" si="2"/>
        <v>0</v>
      </c>
      <c r="AM16" s="262"/>
      <c r="AN16" s="278">
        <f t="shared" si="3"/>
        <v>0</v>
      </c>
      <c r="AO16"/>
      <c r="AP16"/>
      <c r="AQ16"/>
      <c r="AR16"/>
      <c r="AS16"/>
      <c r="AT16"/>
      <c r="AU16"/>
    </row>
    <row r="17" spans="1:47" s="8" customFormat="1" ht="18" customHeight="1" x14ac:dyDescent="0.2">
      <c r="A17" s="1">
        <v>2007</v>
      </c>
      <c r="B17" s="6"/>
      <c r="C17" s="6"/>
      <c r="D17" s="6"/>
      <c r="E17" s="6"/>
      <c r="F17" s="6"/>
      <c r="G17" s="6"/>
      <c r="H17" s="6">
        <v>206</v>
      </c>
      <c r="I17" s="6"/>
      <c r="J17" s="6">
        <v>184</v>
      </c>
      <c r="K17" s="6"/>
      <c r="L17" s="6"/>
      <c r="M17" s="6">
        <v>8</v>
      </c>
      <c r="N17" s="6"/>
      <c r="O17" s="6"/>
      <c r="P17" s="6"/>
      <c r="Q17" s="6"/>
      <c r="R17" s="6">
        <v>0</v>
      </c>
      <c r="S17" s="6"/>
      <c r="T17" s="1"/>
      <c r="U17" s="1"/>
      <c r="V17" s="1"/>
      <c r="W17" s="1"/>
      <c r="X17" s="12">
        <v>234</v>
      </c>
      <c r="Y17" s="7" t="s">
        <v>5</v>
      </c>
      <c r="Z17" s="54">
        <v>30</v>
      </c>
      <c r="AB17">
        <f t="shared" si="0"/>
        <v>1.1359223300970873</v>
      </c>
      <c r="AC17"/>
      <c r="AD17"/>
      <c r="AE17" s="275" t="s">
        <v>2</v>
      </c>
      <c r="AF17" s="167">
        <v>7</v>
      </c>
      <c r="AG17" s="167"/>
      <c r="AH17" s="167"/>
      <c r="AI17" s="262"/>
      <c r="AJ17" s="262"/>
      <c r="AK17" s="262"/>
      <c r="AL17" s="262"/>
      <c r="AM17" s="262"/>
      <c r="AN17" s="277"/>
      <c r="AO17"/>
      <c r="AP17"/>
      <c r="AQ17"/>
      <c r="AR17"/>
      <c r="AS17"/>
      <c r="AT17"/>
      <c r="AU17"/>
    </row>
    <row r="18" spans="1:47" s="8" customFormat="1" ht="18" customHeight="1" x14ac:dyDescent="0.2">
      <c r="A18" s="1">
        <v>2008</v>
      </c>
      <c r="B18" s="1"/>
      <c r="C18" s="1"/>
      <c r="D18" s="1"/>
      <c r="E18" s="1"/>
      <c r="F18" s="1"/>
      <c r="G18" s="1">
        <v>121</v>
      </c>
      <c r="H18" s="1"/>
      <c r="I18" s="1"/>
      <c r="J18" s="1">
        <v>296</v>
      </c>
      <c r="K18" s="1"/>
      <c r="L18" s="1"/>
      <c r="M18" s="1"/>
      <c r="N18" s="1">
        <v>7</v>
      </c>
      <c r="O18" s="1"/>
      <c r="P18" s="1"/>
      <c r="Q18" s="1">
        <v>0</v>
      </c>
      <c r="R18" s="1"/>
      <c r="S18" s="1"/>
      <c r="T18" s="1"/>
      <c r="U18" s="1"/>
      <c r="V18" s="1"/>
      <c r="W18" s="1"/>
      <c r="X18" s="1">
        <v>380</v>
      </c>
      <c r="Y18" s="7" t="s">
        <v>5</v>
      </c>
      <c r="Z18" s="62">
        <v>25</v>
      </c>
      <c r="AB18">
        <f t="shared" si="0"/>
        <v>1.2837837837837838</v>
      </c>
      <c r="AC18"/>
      <c r="AD18"/>
      <c r="AE18" s="275" t="s">
        <v>129</v>
      </c>
      <c r="AF18" s="167"/>
      <c r="AG18" s="167">
        <f>MAX(AG6:AG16)</f>
        <v>1102</v>
      </c>
      <c r="AH18" s="167"/>
      <c r="AI18" s="167"/>
      <c r="AJ18" s="167">
        <f>MAX(AJ6:AJ16)</f>
        <v>1224.4444444444443</v>
      </c>
      <c r="AK18" s="167"/>
      <c r="AL18" s="167"/>
      <c r="AM18" s="262"/>
      <c r="AN18" s="277"/>
      <c r="AO18"/>
      <c r="AP18"/>
      <c r="AQ18"/>
      <c r="AR18"/>
      <c r="AS18"/>
      <c r="AT18"/>
      <c r="AU18"/>
    </row>
    <row r="19" spans="1:47" s="8" customFormat="1" ht="18" customHeight="1" x14ac:dyDescent="0.2">
      <c r="A19" s="1">
        <v>2009</v>
      </c>
      <c r="B19" s="1"/>
      <c r="C19" s="1"/>
      <c r="D19" s="1"/>
      <c r="E19" s="1"/>
      <c r="F19" s="1"/>
      <c r="G19" s="1"/>
      <c r="H19" s="1"/>
      <c r="I19" s="1">
        <v>14</v>
      </c>
      <c r="J19" s="1">
        <v>40</v>
      </c>
      <c r="K19" s="1"/>
      <c r="L19" s="1">
        <v>45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>
        <v>85</v>
      </c>
      <c r="Y19" s="7" t="s">
        <v>5</v>
      </c>
      <c r="Z19" s="62">
        <v>25</v>
      </c>
      <c r="AB19">
        <f t="shared" si="0"/>
        <v>1.8888888888888888</v>
      </c>
      <c r="AC19"/>
      <c r="AD19"/>
      <c r="AE19" s="275" t="s">
        <v>130</v>
      </c>
      <c r="AF19" s="167"/>
      <c r="AG19" s="263">
        <v>20</v>
      </c>
      <c r="AH19" s="167"/>
      <c r="AI19" s="262"/>
      <c r="AJ19" s="263">
        <v>20</v>
      </c>
      <c r="AK19" s="266"/>
      <c r="AL19" s="266"/>
      <c r="AM19" s="262"/>
      <c r="AN19" s="277"/>
      <c r="AO19"/>
      <c r="AP19"/>
      <c r="AQ19"/>
      <c r="AR19"/>
      <c r="AS19"/>
      <c r="AT19"/>
      <c r="AU19"/>
    </row>
    <row r="20" spans="1:47" s="8" customFormat="1" ht="18" customHeight="1" x14ac:dyDescent="0.2">
      <c r="A20" s="1">
        <v>2010</v>
      </c>
      <c r="B20" s="1"/>
      <c r="C20" s="1"/>
      <c r="D20" s="1"/>
      <c r="E20" s="1"/>
      <c r="F20" s="1"/>
      <c r="G20" s="13">
        <v>24</v>
      </c>
      <c r="H20" s="13"/>
      <c r="I20" s="13"/>
      <c r="J20" s="13">
        <v>250</v>
      </c>
      <c r="K20" s="13"/>
      <c r="L20" s="13"/>
      <c r="M20" s="13"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>
        <v>355</v>
      </c>
      <c r="Y20" s="7"/>
      <c r="Z20" s="62"/>
      <c r="AA20" s="8">
        <v>3</v>
      </c>
      <c r="AB20">
        <f t="shared" si="0"/>
        <v>1.42</v>
      </c>
      <c r="AC20"/>
      <c r="AD20"/>
      <c r="AE20" s="275" t="s">
        <v>131</v>
      </c>
      <c r="AF20" s="167"/>
      <c r="AG20" s="267">
        <f>(0.5*SUM(AL7:AL16))/AG19</f>
        <v>1214.55</v>
      </c>
      <c r="AH20" s="167"/>
      <c r="AI20" s="262"/>
      <c r="AJ20" s="267">
        <f>(0.5*SUM(AN7:AN16))/AJ19</f>
        <v>1349.4999999999998</v>
      </c>
      <c r="AK20" s="266"/>
      <c r="AL20" s="266"/>
      <c r="AM20" s="262"/>
      <c r="AN20" s="277"/>
      <c r="AO20"/>
      <c r="AP20"/>
      <c r="AQ20"/>
      <c r="AR20"/>
      <c r="AS20"/>
      <c r="AT20"/>
      <c r="AU20"/>
    </row>
    <row r="21" spans="1:47" s="8" customFormat="1" ht="18" customHeight="1" thickBot="1" x14ac:dyDescent="0.25">
      <c r="A21" s="1">
        <v>2011</v>
      </c>
      <c r="B21" s="1"/>
      <c r="C21" s="1"/>
      <c r="D21" s="1"/>
      <c r="E21" s="1"/>
      <c r="F21" s="1"/>
      <c r="G21" s="1"/>
      <c r="H21" s="1">
        <v>65</v>
      </c>
      <c r="I21" s="1"/>
      <c r="J21" s="1"/>
      <c r="K21" s="1">
        <v>178</v>
      </c>
      <c r="L21" s="1"/>
      <c r="M21" s="1">
        <v>26</v>
      </c>
      <c r="N21" s="1"/>
      <c r="O21" s="1">
        <v>4</v>
      </c>
      <c r="P21" s="1">
        <v>1</v>
      </c>
      <c r="Q21" s="1"/>
      <c r="R21" s="1"/>
      <c r="S21" s="1"/>
      <c r="T21" s="1"/>
      <c r="U21" s="1">
        <v>0</v>
      </c>
      <c r="V21" s="1"/>
      <c r="W21" s="1"/>
      <c r="X21" s="1">
        <v>270</v>
      </c>
      <c r="Y21" s="7" t="s">
        <v>5</v>
      </c>
      <c r="Z21" s="62">
        <v>20</v>
      </c>
      <c r="AA21" s="8">
        <v>5</v>
      </c>
      <c r="AB21">
        <f t="shared" si="0"/>
        <v>1.5168539325842696</v>
      </c>
      <c r="AC21"/>
      <c r="AD21"/>
      <c r="AE21" s="291"/>
      <c r="AF21" s="286"/>
      <c r="AG21" s="286"/>
      <c r="AH21" s="286"/>
      <c r="AI21" s="286"/>
      <c r="AJ21" s="286"/>
      <c r="AK21" s="286"/>
      <c r="AL21" s="286"/>
      <c r="AM21" s="286"/>
      <c r="AN21" s="288"/>
      <c r="AO21"/>
      <c r="AP21"/>
      <c r="AQ21"/>
      <c r="AR21"/>
      <c r="AS21"/>
      <c r="AT21"/>
      <c r="AU21"/>
    </row>
    <row r="22" spans="1:47" s="8" customFormat="1" ht="18" customHeight="1" x14ac:dyDescent="0.2">
      <c r="A22" s="1">
        <v>2012</v>
      </c>
      <c r="B22" s="1"/>
      <c r="C22" s="1"/>
      <c r="D22" s="1"/>
      <c r="E22" s="1"/>
      <c r="F22" s="1"/>
      <c r="G22" s="1"/>
      <c r="H22" s="1">
        <v>79</v>
      </c>
      <c r="I22" s="1"/>
      <c r="J22" s="1">
        <v>60</v>
      </c>
      <c r="K22" s="1"/>
      <c r="L22" s="1">
        <v>45</v>
      </c>
      <c r="M22" s="1"/>
      <c r="N22" s="1">
        <v>10</v>
      </c>
      <c r="O22" s="1"/>
      <c r="P22" s="1"/>
      <c r="Q22" s="1"/>
      <c r="R22" s="1"/>
      <c r="S22" s="1"/>
      <c r="T22" s="1"/>
      <c r="U22" s="1"/>
      <c r="V22" s="1"/>
      <c r="W22" s="1"/>
      <c r="X22" s="1">
        <v>138</v>
      </c>
      <c r="Y22" s="7" t="s">
        <v>5</v>
      </c>
      <c r="Z22" s="62">
        <v>25</v>
      </c>
      <c r="AB22">
        <f t="shared" si="0"/>
        <v>1.7468354430379747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8" customFormat="1" ht="18" customHeight="1" x14ac:dyDescent="0.2">
      <c r="A23" s="1">
        <v>2013</v>
      </c>
      <c r="B23" s="1"/>
      <c r="C23" s="1"/>
      <c r="D23" s="1"/>
      <c r="E23" s="1"/>
      <c r="F23" s="1"/>
      <c r="G23" s="1">
        <v>114</v>
      </c>
      <c r="H23" s="1">
        <v>126</v>
      </c>
      <c r="I23" s="1">
        <v>273</v>
      </c>
      <c r="J23" s="1">
        <v>145</v>
      </c>
      <c r="K23" s="1">
        <v>71</v>
      </c>
      <c r="L23" s="1">
        <v>28</v>
      </c>
      <c r="M23" s="1"/>
      <c r="N23" s="1">
        <v>0</v>
      </c>
      <c r="O23" s="1"/>
      <c r="P23" s="1"/>
      <c r="Q23" s="1"/>
      <c r="R23" s="1"/>
      <c r="S23" s="1"/>
      <c r="T23" s="1"/>
      <c r="U23" s="1"/>
      <c r="V23" s="1"/>
      <c r="W23" s="1"/>
      <c r="X23" s="1">
        <v>350</v>
      </c>
      <c r="Y23" s="7" t="s">
        <v>5</v>
      </c>
      <c r="Z23" s="62">
        <v>20</v>
      </c>
      <c r="AB23">
        <f t="shared" si="0"/>
        <v>1.2820512820512822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8" customFormat="1" ht="18" customHeight="1" x14ac:dyDescent="0.2">
      <c r="A24" s="1">
        <v>2014</v>
      </c>
      <c r="B24" s="1"/>
      <c r="C24" s="1"/>
      <c r="D24" s="1"/>
      <c r="E24" s="1"/>
      <c r="F24" s="1">
        <v>14</v>
      </c>
      <c r="G24" s="1">
        <v>14</v>
      </c>
      <c r="H24" s="1"/>
      <c r="I24" s="1">
        <v>110</v>
      </c>
      <c r="J24" s="1">
        <v>510</v>
      </c>
      <c r="K24" s="1">
        <v>133</v>
      </c>
      <c r="L24" s="1"/>
      <c r="M24" s="1"/>
      <c r="N24" s="1"/>
      <c r="O24" s="1"/>
      <c r="P24" s="1"/>
      <c r="Q24" s="1">
        <v>0</v>
      </c>
      <c r="R24" s="1"/>
      <c r="S24" s="1"/>
      <c r="T24" s="1"/>
      <c r="U24" s="1"/>
      <c r="V24" s="1"/>
      <c r="W24" s="1"/>
      <c r="X24" s="1">
        <v>653</v>
      </c>
      <c r="Y24" s="7" t="s">
        <v>5</v>
      </c>
      <c r="Z24" s="62">
        <v>15</v>
      </c>
      <c r="AB24">
        <f t="shared" si="0"/>
        <v>1.280392156862745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s="8" customFormat="1" ht="18" customHeight="1" x14ac:dyDescent="0.2">
      <c r="A25" s="1">
        <v>2015</v>
      </c>
      <c r="B25" s="1"/>
      <c r="C25" s="1"/>
      <c r="D25" s="1"/>
      <c r="E25" s="1"/>
      <c r="F25" s="1">
        <v>184</v>
      </c>
      <c r="G25" s="1">
        <v>307</v>
      </c>
      <c r="H25" s="1">
        <v>440</v>
      </c>
      <c r="I25" s="1"/>
      <c r="J25" s="1">
        <v>319</v>
      </c>
      <c r="K25" s="1">
        <v>218</v>
      </c>
      <c r="L25" s="1">
        <v>49</v>
      </c>
      <c r="M25" s="1">
        <v>7</v>
      </c>
      <c r="N25" s="1"/>
      <c r="O25" s="1">
        <v>3</v>
      </c>
      <c r="P25" s="1"/>
      <c r="Q25" s="1"/>
      <c r="R25" s="1"/>
      <c r="S25" s="1"/>
      <c r="T25" s="1"/>
      <c r="U25" s="1"/>
      <c r="V25" s="1"/>
      <c r="W25" s="1"/>
      <c r="X25" s="1">
        <v>768</v>
      </c>
      <c r="Y25" s="7" t="s">
        <v>5</v>
      </c>
      <c r="Z25" s="62">
        <v>20</v>
      </c>
      <c r="AB25">
        <f t="shared" si="0"/>
        <v>1.7454545454545454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s="8" customFormat="1" ht="18" customHeight="1" x14ac:dyDescent="0.2">
      <c r="A26" s="1">
        <v>2016</v>
      </c>
      <c r="B26" s="1"/>
      <c r="C26" s="1"/>
      <c r="D26" s="1"/>
      <c r="E26" s="1"/>
      <c r="F26" s="1"/>
      <c r="G26" s="338">
        <v>331</v>
      </c>
      <c r="H26" s="1"/>
      <c r="I26" s="1"/>
      <c r="J26" s="155">
        <v>196</v>
      </c>
      <c r="K26" s="155">
        <v>160</v>
      </c>
      <c r="L26" s="1"/>
      <c r="M26" s="1"/>
      <c r="N26" s="1"/>
      <c r="O26" s="155">
        <v>11</v>
      </c>
      <c r="P26" s="1"/>
      <c r="Q26" s="1"/>
      <c r="R26" s="1"/>
      <c r="S26" s="1"/>
      <c r="T26" s="1"/>
      <c r="U26" s="1"/>
      <c r="V26" s="1"/>
      <c r="W26" s="1"/>
      <c r="X26" s="1">
        <v>615</v>
      </c>
      <c r="Y26" s="7" t="s">
        <v>5</v>
      </c>
      <c r="Z26" s="62">
        <v>20</v>
      </c>
      <c r="AB26">
        <f t="shared" si="0"/>
        <v>1.8580060422960725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s="8" customFormat="1" ht="18" customHeight="1" x14ac:dyDescent="0.2">
      <c r="A27" s="1">
        <v>2017</v>
      </c>
      <c r="B27" s="1"/>
      <c r="C27" s="1"/>
      <c r="D27" s="1"/>
      <c r="E27" s="1"/>
      <c r="F27" s="321">
        <v>637</v>
      </c>
      <c r="G27" s="1"/>
      <c r="H27" s="321">
        <v>836</v>
      </c>
      <c r="I27" s="155">
        <v>816</v>
      </c>
      <c r="J27" s="155">
        <v>423</v>
      </c>
      <c r="K27" s="155">
        <v>198</v>
      </c>
      <c r="L27" s="1"/>
      <c r="M27" s="155">
        <v>23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>
        <v>1561</v>
      </c>
      <c r="Y27" s="7" t="s">
        <v>5</v>
      </c>
      <c r="Z27" s="62">
        <v>20</v>
      </c>
      <c r="AB27">
        <f t="shared" si="0"/>
        <v>1.8672248803827751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8" customFormat="1" ht="18" customHeight="1" x14ac:dyDescent="0.2">
      <c r="A28" s="1">
        <v>2018</v>
      </c>
      <c r="B28" s="1"/>
      <c r="C28" s="1"/>
      <c r="D28" s="1"/>
      <c r="E28" s="1"/>
      <c r="F28" s="437">
        <v>0</v>
      </c>
      <c r="G28" s="1"/>
      <c r="H28" s="1"/>
      <c r="I28" s="321">
        <v>246</v>
      </c>
      <c r="J28" s="155">
        <v>619</v>
      </c>
      <c r="K28" s="437">
        <v>341</v>
      </c>
      <c r="L28" s="1"/>
      <c r="M28" s="155">
        <v>116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>
        <v>918</v>
      </c>
      <c r="Y28" s="7" t="s">
        <v>5</v>
      </c>
      <c r="Z28" s="62">
        <v>20</v>
      </c>
      <c r="AB28">
        <f t="shared" si="0"/>
        <v>1.4830371567043619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8" customFormat="1" ht="18" customHeight="1" x14ac:dyDescent="0.2">
      <c r="A29" s="1">
        <v>2019</v>
      </c>
      <c r="B29" s="1"/>
      <c r="C29" s="1"/>
      <c r="D29" s="1"/>
      <c r="E29" s="1"/>
      <c r="F29" s="427">
        <v>292</v>
      </c>
      <c r="G29" s="585">
        <v>2</v>
      </c>
      <c r="H29" s="156">
        <v>342</v>
      </c>
      <c r="I29" s="156">
        <v>513</v>
      </c>
      <c r="J29" s="156">
        <v>442</v>
      </c>
      <c r="K29" s="156">
        <v>163</v>
      </c>
      <c r="L29" s="1"/>
      <c r="M29" s="1"/>
      <c r="N29" s="106">
        <v>7</v>
      </c>
      <c r="O29" s="1"/>
      <c r="P29" s="1"/>
      <c r="Q29" s="1"/>
      <c r="R29" s="1"/>
      <c r="S29" s="1"/>
      <c r="T29" s="1"/>
      <c r="U29" s="1"/>
      <c r="V29" s="1"/>
      <c r="W29" s="1"/>
      <c r="X29" s="1">
        <v>986</v>
      </c>
      <c r="Y29" s="7" t="s">
        <v>5</v>
      </c>
      <c r="Z29" s="62">
        <v>20</v>
      </c>
      <c r="AB29">
        <f t="shared" si="0"/>
        <v>1.9220272904483431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8" customFormat="1" ht="18" customHeight="1" x14ac:dyDescent="0.2">
      <c r="A30" s="1">
        <v>2020</v>
      </c>
      <c r="B30" s="1"/>
      <c r="C30" s="1"/>
      <c r="D30" s="1"/>
      <c r="E30" s="1"/>
      <c r="F30" s="1"/>
      <c r="G30" s="106">
        <v>513</v>
      </c>
      <c r="H30" s="106">
        <v>549</v>
      </c>
      <c r="I30" s="1"/>
      <c r="J30" s="1"/>
      <c r="K30" s="106">
        <v>117</v>
      </c>
      <c r="L30" s="156">
        <v>62</v>
      </c>
      <c r="M30" s="156">
        <v>24</v>
      </c>
      <c r="N30" s="1"/>
      <c r="O30" s="536">
        <v>11</v>
      </c>
      <c r="P30" s="1"/>
      <c r="Q30" s="1"/>
      <c r="R30" s="1"/>
      <c r="S30" s="1"/>
      <c r="T30" s="1"/>
      <c r="U30" s="1"/>
      <c r="V30" s="1"/>
      <c r="W30" s="1"/>
      <c r="X30" s="1">
        <v>761</v>
      </c>
      <c r="Y30" s="7"/>
      <c r="Z30" s="62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94" customFormat="1" ht="18" customHeight="1" x14ac:dyDescent="0.2">
      <c r="A31" s="227">
        <v>2021</v>
      </c>
      <c r="B31" s="227"/>
      <c r="C31" s="227"/>
      <c r="D31" s="227"/>
      <c r="E31" s="227"/>
      <c r="F31" s="227"/>
      <c r="G31" s="536">
        <v>398</v>
      </c>
      <c r="H31" s="156">
        <v>1097</v>
      </c>
      <c r="I31" s="227"/>
      <c r="J31" s="227"/>
      <c r="K31" s="156">
        <v>221</v>
      </c>
      <c r="L31" s="558"/>
      <c r="M31" s="156">
        <v>40</v>
      </c>
      <c r="N31" s="227"/>
      <c r="O31" s="733"/>
      <c r="P31" s="227"/>
      <c r="Q31" s="227"/>
      <c r="R31" s="227"/>
      <c r="S31" s="227"/>
      <c r="T31" s="227"/>
      <c r="U31" s="227"/>
      <c r="V31" s="227"/>
      <c r="W31" s="227"/>
      <c r="X31" s="227">
        <v>1285</v>
      </c>
      <c r="Y31" s="11" t="s">
        <v>5</v>
      </c>
      <c r="Z31" s="750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</row>
    <row r="32" spans="1:47" s="94" customFormat="1" ht="18" customHeight="1" x14ac:dyDescent="0.2">
      <c r="A32" s="227">
        <v>2022</v>
      </c>
      <c r="B32" s="227"/>
      <c r="C32" s="227"/>
      <c r="D32" s="227"/>
      <c r="E32" s="227"/>
      <c r="F32" s="227"/>
      <c r="G32" s="427">
        <v>459</v>
      </c>
      <c r="H32" s="558"/>
      <c r="I32" s="227"/>
      <c r="J32" s="227"/>
      <c r="K32" s="558"/>
      <c r="L32" s="156">
        <v>478</v>
      </c>
      <c r="M32" s="558"/>
      <c r="N32" s="227"/>
      <c r="O32" s="733"/>
      <c r="P32" s="106">
        <v>1</v>
      </c>
      <c r="Q32" s="227"/>
      <c r="R32" s="227"/>
      <c r="S32" s="227"/>
      <c r="T32" s="227"/>
      <c r="U32" s="227"/>
      <c r="V32" s="227"/>
      <c r="W32" s="227"/>
      <c r="X32" s="227"/>
      <c r="Y32" s="11"/>
      <c r="Z32" s="750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</row>
    <row r="33" spans="1:47" s="94" customFormat="1" ht="18" customHeight="1" x14ac:dyDescent="0.2">
      <c r="A33" s="227">
        <v>2023</v>
      </c>
      <c r="B33" s="227"/>
      <c r="C33" s="227"/>
      <c r="D33" s="227"/>
      <c r="E33" s="227"/>
      <c r="F33" s="106">
        <v>286</v>
      </c>
      <c r="G33" s="227"/>
      <c r="H33" s="106">
        <v>904</v>
      </c>
      <c r="I33" s="106">
        <v>295</v>
      </c>
      <c r="J33" s="227"/>
      <c r="K33" s="227"/>
      <c r="L33" s="227"/>
      <c r="M33" s="156">
        <v>2</v>
      </c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11"/>
      <c r="Z33" s="750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</row>
    <row r="34" spans="1:47" s="8" customFormat="1" ht="18" customHeight="1" x14ac:dyDescent="0.2">
      <c r="A34" s="64" t="s">
        <v>17</v>
      </c>
      <c r="B34" s="16"/>
      <c r="C34" s="16"/>
      <c r="D34" s="16">
        <f t="shared" ref="D34:T34" si="4">AVERAGE(D5:D19)</f>
        <v>0</v>
      </c>
      <c r="E34" s="16"/>
      <c r="F34" s="16">
        <f t="shared" si="4"/>
        <v>28.5</v>
      </c>
      <c r="G34" s="16">
        <f t="shared" si="4"/>
        <v>65.666666666666671</v>
      </c>
      <c r="H34" s="16">
        <f t="shared" si="4"/>
        <v>174.88888888888889</v>
      </c>
      <c r="I34" s="16">
        <f t="shared" si="4"/>
        <v>290.75</v>
      </c>
      <c r="J34" s="16">
        <f t="shared" si="4"/>
        <v>238.5</v>
      </c>
      <c r="K34" s="16">
        <f t="shared" si="4"/>
        <v>263.33333333333331</v>
      </c>
      <c r="L34" s="16">
        <f t="shared" si="4"/>
        <v>86.571428571428569</v>
      </c>
      <c r="M34" s="16">
        <f t="shared" si="4"/>
        <v>89.8</v>
      </c>
      <c r="N34" s="16">
        <f t="shared" si="4"/>
        <v>4.833333333333333</v>
      </c>
      <c r="O34" s="16">
        <f t="shared" si="4"/>
        <v>19</v>
      </c>
      <c r="P34" s="16">
        <f t="shared" si="4"/>
        <v>1</v>
      </c>
      <c r="Q34" s="16">
        <f t="shared" si="4"/>
        <v>2.6666666666666665</v>
      </c>
      <c r="R34" s="16">
        <f t="shared" si="4"/>
        <v>3</v>
      </c>
      <c r="S34" s="16">
        <f t="shared" si="4"/>
        <v>0</v>
      </c>
      <c r="T34" s="16">
        <f t="shared" si="4"/>
        <v>1</v>
      </c>
      <c r="U34" s="16"/>
      <c r="V34" s="16"/>
      <c r="W34" s="16"/>
      <c r="X34" s="16">
        <f>AVERAGE(X5:X19)</f>
        <v>432.46666666666664</v>
      </c>
      <c r="Y34" s="17"/>
      <c r="Z34" s="16">
        <f>AVERAGE(Z5:Z19)</f>
        <v>23.291666666666668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Z35" s="258" t="s">
        <v>174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ht="18" customHeight="1" x14ac:dyDescent="0.2">
      <c r="A36" s="1002" t="s">
        <v>635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8" customHeight="1" thickBot="1" x14ac:dyDescent="0.25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B39" t="s">
        <v>142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ht="18" customHeight="1" x14ac:dyDescent="0.25">
      <c r="A40" s="1">
        <v>1995</v>
      </c>
      <c r="B40" s="6"/>
      <c r="C40" s="6"/>
      <c r="D40" s="6"/>
      <c r="E40" s="6"/>
      <c r="F40" s="6"/>
      <c r="G40" s="6"/>
      <c r="H40" s="6">
        <v>63</v>
      </c>
      <c r="I40" s="6"/>
      <c r="J40" s="6">
        <v>244</v>
      </c>
      <c r="K40" s="6">
        <v>588</v>
      </c>
      <c r="L40" s="6">
        <v>70</v>
      </c>
      <c r="M40" s="6">
        <v>0</v>
      </c>
      <c r="N40" s="6">
        <v>1037</v>
      </c>
      <c r="O40" s="6"/>
      <c r="P40" s="6"/>
      <c r="Q40" s="6"/>
      <c r="R40" s="6"/>
      <c r="S40" s="6"/>
      <c r="T40" s="13"/>
      <c r="U40" s="13"/>
      <c r="V40" s="13"/>
      <c r="W40" s="13"/>
      <c r="X40" s="29">
        <v>1190</v>
      </c>
      <c r="Y40" s="7" t="s">
        <v>5</v>
      </c>
      <c r="Z40" s="58">
        <v>25</v>
      </c>
      <c r="AB40">
        <f>X40/MAX(B40:W40)</f>
        <v>1.1475409836065573</v>
      </c>
      <c r="AC40"/>
      <c r="AD40" s="269" t="s">
        <v>117</v>
      </c>
      <c r="AE40" s="270" t="s">
        <v>118</v>
      </c>
      <c r="AF40" s="271" t="s">
        <v>119</v>
      </c>
      <c r="AG40" s="272"/>
      <c r="AH40" s="271" t="s">
        <v>120</v>
      </c>
      <c r="AI40" s="271"/>
      <c r="AJ40" s="272"/>
      <c r="AK40" s="273" t="s">
        <v>121</v>
      </c>
      <c r="AL40" s="272"/>
      <c r="AM40" s="274" t="s">
        <v>122</v>
      </c>
      <c r="AN40"/>
      <c r="AO40"/>
      <c r="AP40"/>
      <c r="AQ40"/>
      <c r="AR40"/>
      <c r="AS40"/>
      <c r="AT40"/>
      <c r="AU40"/>
    </row>
    <row r="41" spans="1:47" ht="18" customHeight="1" x14ac:dyDescent="0.2">
      <c r="A41" s="1">
        <v>1996</v>
      </c>
      <c r="B41" s="6"/>
      <c r="C41" s="6"/>
      <c r="D41" s="6">
        <v>3</v>
      </c>
      <c r="E41" s="6"/>
      <c r="F41" s="6">
        <v>44</v>
      </c>
      <c r="G41" s="6"/>
      <c r="H41" s="6">
        <v>37</v>
      </c>
      <c r="I41" s="6"/>
      <c r="J41" s="6">
        <v>100</v>
      </c>
      <c r="K41" s="6">
        <v>0</v>
      </c>
      <c r="L41" s="6"/>
      <c r="M41" s="6"/>
      <c r="N41" s="6">
        <v>307</v>
      </c>
      <c r="O41" s="6"/>
      <c r="P41" s="6"/>
      <c r="Q41" s="6">
        <v>165</v>
      </c>
      <c r="R41" s="6"/>
      <c r="S41" s="6"/>
      <c r="T41" s="13"/>
      <c r="U41" s="13"/>
      <c r="V41" s="13"/>
      <c r="W41" s="13"/>
      <c r="X41" s="29">
        <v>409</v>
      </c>
      <c r="Y41" s="7" t="s">
        <v>5</v>
      </c>
      <c r="Z41" s="60">
        <v>55</v>
      </c>
      <c r="AB41">
        <f t="shared" ref="AB41:AB63" si="5">X41/MAX(B41:W41)</f>
        <v>1.3322475570032573</v>
      </c>
      <c r="AC41"/>
      <c r="AD41" s="275" t="s">
        <v>37</v>
      </c>
      <c r="AE41" s="830"/>
      <c r="AF41" s="830" t="s">
        <v>146</v>
      </c>
      <c r="AG41" s="262"/>
      <c r="AH41" s="163" t="s">
        <v>148</v>
      </c>
      <c r="AI41" s="163" t="s">
        <v>147</v>
      </c>
      <c r="AJ41" s="262"/>
      <c r="AK41" s="164"/>
      <c r="AL41" s="262"/>
      <c r="AM41" s="276"/>
      <c r="AN41"/>
      <c r="AO41"/>
      <c r="AP41"/>
      <c r="AQ41"/>
      <c r="AR41"/>
      <c r="AS41"/>
      <c r="AT41"/>
      <c r="AU41"/>
    </row>
    <row r="42" spans="1:47" ht="18" customHeight="1" x14ac:dyDescent="0.2">
      <c r="A42" s="1">
        <v>1997</v>
      </c>
      <c r="B42" s="6"/>
      <c r="C42" s="6"/>
      <c r="D42" s="6"/>
      <c r="E42" s="6"/>
      <c r="F42" s="6">
        <v>0</v>
      </c>
      <c r="G42" s="6">
        <v>29</v>
      </c>
      <c r="H42" s="6">
        <v>184</v>
      </c>
      <c r="I42" s="6"/>
      <c r="J42" s="6">
        <v>277</v>
      </c>
      <c r="K42" s="6">
        <v>149</v>
      </c>
      <c r="L42" s="6"/>
      <c r="M42" s="6">
        <v>321</v>
      </c>
      <c r="N42" s="6"/>
      <c r="O42" s="6"/>
      <c r="P42" s="6"/>
      <c r="Q42" s="6"/>
      <c r="R42" s="6"/>
      <c r="S42" s="6"/>
      <c r="T42" s="13"/>
      <c r="U42" s="13"/>
      <c r="V42" s="13"/>
      <c r="W42" s="13"/>
      <c r="X42" s="29">
        <v>564</v>
      </c>
      <c r="Y42" s="7" t="s">
        <v>5</v>
      </c>
      <c r="Z42" s="58">
        <v>25</v>
      </c>
      <c r="AB42">
        <f t="shared" si="5"/>
        <v>1.7570093457943925</v>
      </c>
      <c r="AC42"/>
      <c r="AD42" s="275" t="s">
        <v>127</v>
      </c>
      <c r="AE42" s="229">
        <v>44440</v>
      </c>
      <c r="AF42" s="167"/>
      <c r="AG42" s="262"/>
      <c r="AH42" s="262"/>
      <c r="AI42" s="263">
        <v>0</v>
      </c>
      <c r="AJ42" s="262"/>
      <c r="AK42" s="262"/>
      <c r="AL42" s="262"/>
      <c r="AM42" s="277"/>
      <c r="AN42"/>
      <c r="AO42"/>
      <c r="AP42"/>
      <c r="AQ42"/>
      <c r="AR42"/>
      <c r="AS42"/>
      <c r="AT42"/>
      <c r="AU42"/>
    </row>
    <row r="43" spans="1:47" ht="18" customHeight="1" x14ac:dyDescent="0.2">
      <c r="A43" s="1">
        <v>1998</v>
      </c>
      <c r="B43" s="6"/>
      <c r="C43" s="6"/>
      <c r="D43" s="6"/>
      <c r="E43" s="6"/>
      <c r="F43" s="6"/>
      <c r="G43" s="6"/>
      <c r="H43" s="6">
        <v>644</v>
      </c>
      <c r="I43" s="6"/>
      <c r="J43" s="6">
        <v>686</v>
      </c>
      <c r="K43" s="6"/>
      <c r="L43" s="6"/>
      <c r="M43" s="6">
        <v>1057</v>
      </c>
      <c r="N43" s="6"/>
      <c r="O43" s="6"/>
      <c r="P43" s="6"/>
      <c r="Q43" s="6"/>
      <c r="R43" s="6"/>
      <c r="S43" s="6"/>
      <c r="T43" s="13"/>
      <c r="U43" s="13"/>
      <c r="V43" s="13"/>
      <c r="W43" s="13"/>
      <c r="X43" s="29">
        <v>1824</v>
      </c>
      <c r="Y43" s="7" t="s">
        <v>5</v>
      </c>
      <c r="Z43" s="58">
        <v>30</v>
      </c>
      <c r="AB43">
        <f t="shared" si="5"/>
        <v>1.7256385998107853</v>
      </c>
      <c r="AC43"/>
      <c r="AD43" s="275"/>
      <c r="AE43" s="229">
        <v>44446</v>
      </c>
      <c r="AF43" s="263">
        <v>308</v>
      </c>
      <c r="AG43" s="262"/>
      <c r="AH43" s="264">
        <v>0.9</v>
      </c>
      <c r="AI43" s="265">
        <f t="shared" ref="AI43:AI50" si="6">AF43/AH43</f>
        <v>342.22222222222223</v>
      </c>
      <c r="AJ43" s="262"/>
      <c r="AK43" s="265">
        <f>(AE43-AE42)*(AF43+AF42)</f>
        <v>1848</v>
      </c>
      <c r="AL43" s="262"/>
      <c r="AM43" s="278">
        <f>(AE43-AE42)*(AI43+AI42)</f>
        <v>2053.3333333333335</v>
      </c>
      <c r="AN43"/>
      <c r="AO43"/>
      <c r="AP43"/>
      <c r="AQ43"/>
      <c r="AR43"/>
      <c r="AS43"/>
      <c r="AT43"/>
      <c r="AU43"/>
    </row>
    <row r="44" spans="1:47" ht="18" customHeight="1" x14ac:dyDescent="0.2">
      <c r="A44" s="1">
        <v>1999</v>
      </c>
      <c r="B44" s="6"/>
      <c r="C44" s="6"/>
      <c r="D44" s="6"/>
      <c r="E44" s="6"/>
      <c r="F44" s="6"/>
      <c r="G44" s="6"/>
      <c r="H44" s="6">
        <v>34</v>
      </c>
      <c r="I44" s="6"/>
      <c r="J44" s="6"/>
      <c r="K44" s="6">
        <v>516</v>
      </c>
      <c r="L44" s="6"/>
      <c r="M44" s="6">
        <v>625</v>
      </c>
      <c r="N44" s="6"/>
      <c r="O44" s="6">
        <v>579</v>
      </c>
      <c r="P44" s="6"/>
      <c r="Q44" s="6"/>
      <c r="R44" s="6"/>
      <c r="S44" s="6"/>
      <c r="T44" s="13"/>
      <c r="U44" s="13"/>
      <c r="V44" s="13"/>
      <c r="W44" s="13"/>
      <c r="X44" s="29">
        <v>1380</v>
      </c>
      <c r="Y44" s="7" t="s">
        <v>5</v>
      </c>
      <c r="Z44" s="58">
        <v>30</v>
      </c>
      <c r="AB44">
        <f t="shared" si="5"/>
        <v>2.2080000000000002</v>
      </c>
      <c r="AC44"/>
      <c r="AD44" s="275"/>
      <c r="AE44" s="229">
        <v>44455</v>
      </c>
      <c r="AF44" s="263">
        <v>1065</v>
      </c>
      <c r="AG44" s="262"/>
      <c r="AH44" s="264">
        <v>0.9</v>
      </c>
      <c r="AI44" s="265">
        <f t="shared" si="6"/>
        <v>1183.3333333333333</v>
      </c>
      <c r="AJ44" s="262"/>
      <c r="AK44" s="265">
        <f t="shared" ref="AK44:AK52" si="7">(AE44-AE43)*(AF44+AF43)</f>
        <v>12357</v>
      </c>
      <c r="AL44" s="262"/>
      <c r="AM44" s="278">
        <f t="shared" ref="AM44:AM52" si="8">(AE44-AE43)*(AI44+AI43)</f>
        <v>13729.999999999998</v>
      </c>
      <c r="AN44"/>
      <c r="AO44"/>
      <c r="AP44"/>
      <c r="AQ44"/>
      <c r="AR44"/>
      <c r="AS44"/>
      <c r="AT44"/>
      <c r="AU44"/>
    </row>
    <row r="45" spans="1:47" ht="18" customHeight="1" x14ac:dyDescent="0.2">
      <c r="A45" s="1">
        <v>2000</v>
      </c>
      <c r="B45" s="6"/>
      <c r="C45" s="6"/>
      <c r="D45" s="6"/>
      <c r="E45" s="6"/>
      <c r="F45" s="6"/>
      <c r="G45" s="6"/>
      <c r="H45" s="6"/>
      <c r="I45" s="6"/>
      <c r="J45" s="6">
        <v>433</v>
      </c>
      <c r="K45" s="6"/>
      <c r="L45" s="6">
        <v>517</v>
      </c>
      <c r="M45" s="6"/>
      <c r="N45" s="6"/>
      <c r="O45" s="6"/>
      <c r="P45" s="6"/>
      <c r="Q45" s="6"/>
      <c r="R45" s="6"/>
      <c r="S45" s="6"/>
      <c r="T45" s="13">
        <v>377</v>
      </c>
      <c r="U45" s="13"/>
      <c r="V45" s="13"/>
      <c r="W45" s="13"/>
      <c r="X45" s="29">
        <v>1099</v>
      </c>
      <c r="Y45" s="7" t="s">
        <v>5</v>
      </c>
      <c r="Z45" s="58">
        <v>35</v>
      </c>
      <c r="AB45">
        <f t="shared" si="5"/>
        <v>2.125725338491296</v>
      </c>
      <c r="AC45"/>
      <c r="AD45" s="279"/>
      <c r="AE45" s="229">
        <v>44476</v>
      </c>
      <c r="AF45" s="263">
        <v>625</v>
      </c>
      <c r="AG45" s="262"/>
      <c r="AH45" s="264">
        <v>0.9</v>
      </c>
      <c r="AI45" s="265">
        <f t="shared" si="6"/>
        <v>694.44444444444446</v>
      </c>
      <c r="AJ45" s="262"/>
      <c r="AK45" s="265">
        <f t="shared" si="7"/>
        <v>35490</v>
      </c>
      <c r="AL45" s="262"/>
      <c r="AM45" s="278">
        <f t="shared" si="8"/>
        <v>39433.333333333336</v>
      </c>
      <c r="AN45"/>
      <c r="AO45"/>
      <c r="AP45"/>
      <c r="AQ45"/>
      <c r="AR45"/>
      <c r="AS45"/>
      <c r="AT45"/>
      <c r="AU45"/>
    </row>
    <row r="46" spans="1:47" ht="18" customHeight="1" x14ac:dyDescent="0.2">
      <c r="A46" s="1">
        <v>2001</v>
      </c>
      <c r="B46" s="6"/>
      <c r="C46" s="6"/>
      <c r="D46" s="6"/>
      <c r="E46" s="6"/>
      <c r="F46" s="6"/>
      <c r="G46" s="6"/>
      <c r="H46" s="6">
        <v>222</v>
      </c>
      <c r="I46" s="6"/>
      <c r="J46" s="6">
        <v>1106</v>
      </c>
      <c r="K46" s="6"/>
      <c r="L46" s="6">
        <v>750</v>
      </c>
      <c r="M46" s="6"/>
      <c r="N46" s="6"/>
      <c r="O46" s="6"/>
      <c r="P46" s="6"/>
      <c r="Q46" s="6"/>
      <c r="R46" s="6">
        <v>313</v>
      </c>
      <c r="S46" s="6"/>
      <c r="T46" s="13"/>
      <c r="U46" s="13"/>
      <c r="V46" s="13"/>
      <c r="W46" s="13"/>
      <c r="X46" s="29">
        <v>1359</v>
      </c>
      <c r="Y46" s="7" t="s">
        <v>5</v>
      </c>
      <c r="Z46" s="58">
        <v>45</v>
      </c>
      <c r="AB46">
        <f t="shared" si="5"/>
        <v>1.22875226039783</v>
      </c>
      <c r="AC46"/>
      <c r="AD46" s="280"/>
      <c r="AE46" s="229">
        <v>44488</v>
      </c>
      <c r="AF46" s="263">
        <v>1808</v>
      </c>
      <c r="AG46" s="262"/>
      <c r="AH46" s="264">
        <v>0.9</v>
      </c>
      <c r="AI46" s="265">
        <f t="shared" si="6"/>
        <v>2008.8888888888889</v>
      </c>
      <c r="AJ46" s="262"/>
      <c r="AK46" s="265">
        <f t="shared" si="7"/>
        <v>29196</v>
      </c>
      <c r="AL46" s="262"/>
      <c r="AM46" s="278">
        <f t="shared" si="8"/>
        <v>32440</v>
      </c>
      <c r="AN46"/>
      <c r="AO46"/>
      <c r="AP46"/>
      <c r="AQ46"/>
      <c r="AR46"/>
      <c r="AS46"/>
      <c r="AT46"/>
      <c r="AU46"/>
    </row>
    <row r="47" spans="1:47" ht="18" customHeight="1" x14ac:dyDescent="0.2">
      <c r="A47" s="1">
        <v>2002</v>
      </c>
      <c r="B47" s="6"/>
      <c r="C47" s="6"/>
      <c r="D47" s="6"/>
      <c r="E47" s="6"/>
      <c r="F47" s="6"/>
      <c r="G47" s="6"/>
      <c r="H47" s="6"/>
      <c r="I47" s="6">
        <v>791</v>
      </c>
      <c r="J47" s="6"/>
      <c r="K47" s="6"/>
      <c r="L47" s="6">
        <v>2243</v>
      </c>
      <c r="M47" s="6"/>
      <c r="N47" s="6"/>
      <c r="O47" s="6"/>
      <c r="P47" s="6"/>
      <c r="Q47" s="6"/>
      <c r="R47" s="6">
        <v>271</v>
      </c>
      <c r="S47" s="6"/>
      <c r="T47" s="13"/>
      <c r="U47" s="13"/>
      <c r="V47" s="13"/>
      <c r="W47" s="13"/>
      <c r="X47" s="29">
        <v>5811</v>
      </c>
      <c r="Y47" s="7" t="s">
        <v>5</v>
      </c>
      <c r="Z47" s="60">
        <v>30</v>
      </c>
      <c r="AB47">
        <f t="shared" si="5"/>
        <v>2.5907267053053946</v>
      </c>
      <c r="AC47"/>
      <c r="AD47" s="280"/>
      <c r="AE47" s="229">
        <v>44515</v>
      </c>
      <c r="AF47" s="263">
        <v>0</v>
      </c>
      <c r="AG47" s="262"/>
      <c r="AH47" s="264">
        <v>0.9</v>
      </c>
      <c r="AI47" s="265">
        <f t="shared" si="6"/>
        <v>0</v>
      </c>
      <c r="AJ47" s="262"/>
      <c r="AK47" s="265">
        <f t="shared" si="7"/>
        <v>48816</v>
      </c>
      <c r="AL47" s="262"/>
      <c r="AM47" s="278">
        <f t="shared" si="8"/>
        <v>54240</v>
      </c>
      <c r="AN47"/>
      <c r="AO47"/>
      <c r="AP47"/>
      <c r="AQ47"/>
      <c r="AR47"/>
      <c r="AS47"/>
      <c r="AT47"/>
      <c r="AU47"/>
    </row>
    <row r="48" spans="1:47" ht="18" customHeight="1" x14ac:dyDescent="0.2">
      <c r="A48" s="1">
        <v>2003</v>
      </c>
      <c r="B48" s="6"/>
      <c r="C48" s="6"/>
      <c r="D48" s="6"/>
      <c r="E48" s="6"/>
      <c r="F48" s="6"/>
      <c r="G48" s="6">
        <v>180</v>
      </c>
      <c r="H48" s="6">
        <v>88</v>
      </c>
      <c r="I48" s="6">
        <v>1076</v>
      </c>
      <c r="J48" s="6"/>
      <c r="K48" s="6">
        <v>188</v>
      </c>
      <c r="L48" s="6"/>
      <c r="M48" s="6"/>
      <c r="N48" s="6">
        <v>849</v>
      </c>
      <c r="O48" s="6"/>
      <c r="P48" s="6">
        <v>947</v>
      </c>
      <c r="Q48" s="6"/>
      <c r="R48" s="6"/>
      <c r="S48" s="6"/>
      <c r="T48" s="13"/>
      <c r="U48" s="13"/>
      <c r="V48" s="13"/>
      <c r="W48" s="13"/>
      <c r="X48" s="29">
        <v>1792</v>
      </c>
      <c r="Y48" s="7" t="s">
        <v>5</v>
      </c>
      <c r="Z48" s="58">
        <v>37</v>
      </c>
      <c r="AB48">
        <f t="shared" si="5"/>
        <v>1.6654275092936803</v>
      </c>
      <c r="AC48"/>
      <c r="AD48" s="280"/>
      <c r="AE48" s="229">
        <v>44516</v>
      </c>
      <c r="AF48" s="263">
        <v>0</v>
      </c>
      <c r="AG48" s="262"/>
      <c r="AH48" s="264">
        <v>0.9</v>
      </c>
      <c r="AI48" s="265">
        <f t="shared" si="6"/>
        <v>0</v>
      </c>
      <c r="AJ48" s="262"/>
      <c r="AK48" s="265">
        <f t="shared" si="7"/>
        <v>0</v>
      </c>
      <c r="AL48" s="262"/>
      <c r="AM48" s="278">
        <f t="shared" si="8"/>
        <v>0</v>
      </c>
      <c r="AN48"/>
      <c r="AO48"/>
      <c r="AP48"/>
      <c r="AQ48"/>
      <c r="AR48"/>
      <c r="AS48"/>
      <c r="AT48"/>
      <c r="AU48"/>
    </row>
    <row r="49" spans="1:47" ht="18" customHeight="1" x14ac:dyDescent="0.2">
      <c r="A49" s="1">
        <v>2004</v>
      </c>
      <c r="B49" s="6"/>
      <c r="C49" s="6"/>
      <c r="D49" s="6"/>
      <c r="E49" s="6"/>
      <c r="F49" s="6"/>
      <c r="G49" s="6"/>
      <c r="H49" s="6"/>
      <c r="I49" s="6">
        <v>383</v>
      </c>
      <c r="J49" s="6">
        <v>1834</v>
      </c>
      <c r="K49" s="6"/>
      <c r="L49" s="6">
        <v>4121</v>
      </c>
      <c r="M49" s="6"/>
      <c r="N49" s="6">
        <v>1852</v>
      </c>
      <c r="O49" s="6"/>
      <c r="P49" s="6"/>
      <c r="Q49" s="6"/>
      <c r="R49" s="6"/>
      <c r="S49" s="6">
        <v>110</v>
      </c>
      <c r="T49" s="13"/>
      <c r="U49" s="13"/>
      <c r="V49" s="13"/>
      <c r="W49" s="13"/>
      <c r="X49" s="21">
        <v>5070</v>
      </c>
      <c r="Y49" s="7" t="s">
        <v>5</v>
      </c>
      <c r="Z49" s="59">
        <v>40</v>
      </c>
      <c r="AB49">
        <f t="shared" si="5"/>
        <v>1.2302839116719242</v>
      </c>
      <c r="AC49"/>
      <c r="AD49" s="280"/>
      <c r="AE49" s="229">
        <v>44517</v>
      </c>
      <c r="AF49" s="263">
        <v>0</v>
      </c>
      <c r="AG49" s="262"/>
      <c r="AH49" s="264">
        <v>0.9</v>
      </c>
      <c r="AI49" s="265">
        <f t="shared" si="6"/>
        <v>0</v>
      </c>
      <c r="AJ49" s="262"/>
      <c r="AK49" s="265">
        <f t="shared" si="7"/>
        <v>0</v>
      </c>
      <c r="AL49" s="262"/>
      <c r="AM49" s="278">
        <f t="shared" si="8"/>
        <v>0</v>
      </c>
      <c r="AN49"/>
      <c r="AO49"/>
      <c r="AP49"/>
      <c r="AQ49"/>
      <c r="AR49"/>
      <c r="AS49"/>
      <c r="AT49"/>
      <c r="AU49"/>
    </row>
    <row r="50" spans="1:47" ht="18" customHeight="1" x14ac:dyDescent="0.2">
      <c r="A50" s="1">
        <v>2005</v>
      </c>
      <c r="B50" s="6"/>
      <c r="C50" s="6"/>
      <c r="D50" s="6"/>
      <c r="E50" s="6"/>
      <c r="F50" s="6"/>
      <c r="G50" s="6"/>
      <c r="H50" s="6"/>
      <c r="I50" s="6"/>
      <c r="J50" s="6">
        <v>188</v>
      </c>
      <c r="K50" s="6">
        <v>44</v>
      </c>
      <c r="L50" s="6"/>
      <c r="M50" s="6"/>
      <c r="N50" s="6"/>
      <c r="O50" s="6"/>
      <c r="P50" s="6"/>
      <c r="Q50" s="6">
        <v>100</v>
      </c>
      <c r="R50" s="6"/>
      <c r="S50" s="6"/>
      <c r="T50" s="13"/>
      <c r="U50" s="13"/>
      <c r="V50" s="13"/>
      <c r="W50" s="13"/>
      <c r="X50" s="29">
        <v>562</v>
      </c>
      <c r="Y50" s="7" t="s">
        <v>5</v>
      </c>
      <c r="Z50" s="60">
        <v>37.5</v>
      </c>
      <c r="AB50">
        <f t="shared" si="5"/>
        <v>2.9893617021276597</v>
      </c>
      <c r="AC50"/>
      <c r="AD50" s="280"/>
      <c r="AE50" s="229">
        <v>44518</v>
      </c>
      <c r="AF50" s="263">
        <v>0</v>
      </c>
      <c r="AG50" s="262"/>
      <c r="AH50" s="264">
        <v>0.9</v>
      </c>
      <c r="AI50" s="265">
        <f t="shared" si="6"/>
        <v>0</v>
      </c>
      <c r="AJ50" s="262"/>
      <c r="AK50" s="265">
        <f t="shared" si="7"/>
        <v>0</v>
      </c>
      <c r="AL50" s="262"/>
      <c r="AM50" s="278">
        <f t="shared" si="8"/>
        <v>0</v>
      </c>
      <c r="AN50"/>
      <c r="AO50"/>
      <c r="AP50"/>
      <c r="AQ50"/>
      <c r="AR50"/>
      <c r="AS50"/>
      <c r="AT50"/>
      <c r="AU50"/>
    </row>
    <row r="51" spans="1:47" ht="18" customHeight="1" x14ac:dyDescent="0.2">
      <c r="A51" s="1">
        <v>2006</v>
      </c>
      <c r="B51" s="6"/>
      <c r="C51" s="6"/>
      <c r="D51" s="6"/>
      <c r="E51" s="6"/>
      <c r="F51" s="6"/>
      <c r="G51" s="6"/>
      <c r="H51" s="6">
        <v>147</v>
      </c>
      <c r="I51" s="6"/>
      <c r="J51" s="6">
        <v>690</v>
      </c>
      <c r="K51" s="6"/>
      <c r="L51" s="6">
        <v>373</v>
      </c>
      <c r="M51" s="6"/>
      <c r="N51" s="6">
        <v>295</v>
      </c>
      <c r="O51" s="6"/>
      <c r="P51" s="6"/>
      <c r="Q51" s="6"/>
      <c r="R51" s="6"/>
      <c r="S51" s="6"/>
      <c r="T51" s="13"/>
      <c r="U51" s="13"/>
      <c r="V51" s="13"/>
      <c r="W51" s="13"/>
      <c r="X51" s="30">
        <v>859</v>
      </c>
      <c r="Y51" s="7" t="s">
        <v>5</v>
      </c>
      <c r="Z51" s="60">
        <v>31.5</v>
      </c>
      <c r="AB51">
        <f t="shared" si="5"/>
        <v>1.2449275362318841</v>
      </c>
      <c r="AC51"/>
      <c r="AD51" s="290"/>
      <c r="AE51" s="229">
        <v>44519</v>
      </c>
      <c r="AF51" s="55"/>
      <c r="AG51" s="55"/>
      <c r="AH51" s="55"/>
      <c r="AI51" s="263">
        <v>0</v>
      </c>
      <c r="AJ51" s="55"/>
      <c r="AK51" s="265">
        <f t="shared" si="7"/>
        <v>0</v>
      </c>
      <c r="AL51" s="262"/>
      <c r="AM51" s="278">
        <f t="shared" si="8"/>
        <v>0</v>
      </c>
      <c r="AN51"/>
      <c r="AO51"/>
      <c r="AP51"/>
      <c r="AQ51"/>
      <c r="AR51"/>
      <c r="AS51"/>
      <c r="AT51"/>
      <c r="AU51"/>
    </row>
    <row r="52" spans="1:47" ht="18" customHeight="1" x14ac:dyDescent="0.2">
      <c r="A52" s="1">
        <v>2007</v>
      </c>
      <c r="B52" s="6"/>
      <c r="C52" s="6"/>
      <c r="D52" s="6"/>
      <c r="E52" s="6"/>
      <c r="F52" s="6"/>
      <c r="G52" s="6"/>
      <c r="H52" s="6">
        <v>304</v>
      </c>
      <c r="I52" s="6"/>
      <c r="J52" s="6">
        <v>620</v>
      </c>
      <c r="K52" s="6"/>
      <c r="L52" s="6"/>
      <c r="M52" s="6">
        <v>927</v>
      </c>
      <c r="N52" s="6"/>
      <c r="O52" s="6"/>
      <c r="P52" s="6"/>
      <c r="Q52" s="6"/>
      <c r="R52" s="6">
        <v>194</v>
      </c>
      <c r="S52" s="6"/>
      <c r="T52" s="13"/>
      <c r="U52" s="13"/>
      <c r="V52" s="13"/>
      <c r="W52" s="13"/>
      <c r="X52" s="30">
        <v>1096</v>
      </c>
      <c r="Y52" s="7" t="s">
        <v>5</v>
      </c>
      <c r="Z52" s="60">
        <v>45</v>
      </c>
      <c r="AB52">
        <f t="shared" si="5"/>
        <v>1.1823085221143474</v>
      </c>
      <c r="AC52"/>
      <c r="AD52" s="275" t="s">
        <v>128</v>
      </c>
      <c r="AE52" s="229"/>
      <c r="AF52" s="176"/>
      <c r="AG52" s="262"/>
      <c r="AH52" s="177"/>
      <c r="AI52" s="178">
        <v>0</v>
      </c>
      <c r="AJ52" s="179"/>
      <c r="AK52" s="265">
        <f t="shared" si="7"/>
        <v>0</v>
      </c>
      <c r="AL52" s="262"/>
      <c r="AM52" s="278">
        <f t="shared" si="8"/>
        <v>0</v>
      </c>
      <c r="AN52"/>
      <c r="AO52"/>
      <c r="AP52"/>
      <c r="AQ52"/>
      <c r="AR52"/>
      <c r="AS52"/>
      <c r="AT52"/>
      <c r="AU52"/>
    </row>
    <row r="53" spans="1:47" s="55" customFormat="1" ht="18" customHeight="1" x14ac:dyDescent="0.2">
      <c r="A53" s="13">
        <v>2008</v>
      </c>
      <c r="B53" s="13"/>
      <c r="C53" s="13"/>
      <c r="D53" s="13"/>
      <c r="E53" s="13"/>
      <c r="F53" s="13"/>
      <c r="G53" s="13">
        <v>31</v>
      </c>
      <c r="H53" s="13"/>
      <c r="I53" s="13"/>
      <c r="J53" s="13">
        <v>543</v>
      </c>
      <c r="K53" s="13"/>
      <c r="L53" s="13"/>
      <c r="M53" s="13"/>
      <c r="N53" s="13">
        <v>1290</v>
      </c>
      <c r="O53" s="13"/>
      <c r="P53" s="13"/>
      <c r="Q53" s="13">
        <v>921</v>
      </c>
      <c r="R53" s="13"/>
      <c r="S53" s="13"/>
      <c r="T53" s="13"/>
      <c r="U53" s="13"/>
      <c r="V53" s="13"/>
      <c r="W53" s="13"/>
      <c r="X53" s="29">
        <v>1987</v>
      </c>
      <c r="Y53" s="7" t="s">
        <v>5</v>
      </c>
      <c r="Z53" s="58">
        <v>37.5</v>
      </c>
      <c r="AB53">
        <f t="shared" si="5"/>
        <v>1.5403100775193799</v>
      </c>
      <c r="AC53"/>
      <c r="AD53" s="275" t="s">
        <v>2</v>
      </c>
      <c r="AE53" s="167">
        <v>7</v>
      </c>
      <c r="AF53" s="167"/>
      <c r="AG53" s="167"/>
      <c r="AH53" s="262"/>
      <c r="AI53" s="262"/>
      <c r="AJ53" s="262"/>
      <c r="AK53" s="262"/>
      <c r="AL53" s="262"/>
      <c r="AM53" s="277"/>
      <c r="AN53"/>
      <c r="AO53"/>
      <c r="AP53"/>
      <c r="AQ53"/>
      <c r="AR53"/>
      <c r="AS53"/>
      <c r="AT53"/>
      <c r="AU53"/>
    </row>
    <row r="54" spans="1:47" ht="18" customHeight="1" x14ac:dyDescent="0.2">
      <c r="A54" s="13">
        <v>2009</v>
      </c>
      <c r="B54" s="13"/>
      <c r="C54" s="13"/>
      <c r="D54" s="13"/>
      <c r="E54" s="13"/>
      <c r="F54" s="13"/>
      <c r="G54" s="13"/>
      <c r="H54" s="13"/>
      <c r="I54" s="13">
        <v>809</v>
      </c>
      <c r="J54" s="13">
        <v>2627</v>
      </c>
      <c r="K54" s="13"/>
      <c r="L54" s="13">
        <v>2975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29">
        <v>5500</v>
      </c>
      <c r="Y54" s="7" t="s">
        <v>5</v>
      </c>
      <c r="Z54" s="58">
        <v>35</v>
      </c>
      <c r="AB54">
        <f t="shared" si="5"/>
        <v>1.8487394957983194</v>
      </c>
      <c r="AC54"/>
      <c r="AD54" s="275" t="s">
        <v>129</v>
      </c>
      <c r="AE54" s="167"/>
      <c r="AF54" s="167">
        <f>MAX(AF42:AF52)</f>
        <v>1808</v>
      </c>
      <c r="AG54" s="167"/>
      <c r="AH54" s="167"/>
      <c r="AI54" s="167">
        <f>MAX(AI42:AI52)</f>
        <v>2008.8888888888889</v>
      </c>
      <c r="AJ54" s="167"/>
      <c r="AK54" s="167"/>
      <c r="AL54" s="262"/>
      <c r="AM54" s="277"/>
      <c r="AN54"/>
      <c r="AO54"/>
      <c r="AP54"/>
      <c r="AQ54"/>
      <c r="AR54"/>
      <c r="AS54"/>
      <c r="AT54"/>
      <c r="AU54"/>
    </row>
    <row r="55" spans="1:47" ht="18" customHeight="1" x14ac:dyDescent="0.2">
      <c r="A55" s="13">
        <v>2010</v>
      </c>
      <c r="B55" s="13"/>
      <c r="C55" s="13"/>
      <c r="D55" s="13"/>
      <c r="E55" s="13"/>
      <c r="F55" s="13"/>
      <c r="G55" s="13">
        <v>32</v>
      </c>
      <c r="H55" s="13"/>
      <c r="I55" s="13"/>
      <c r="J55" s="13">
        <v>437</v>
      </c>
      <c r="K55" s="13"/>
      <c r="L55" s="13"/>
      <c r="M55" s="13">
        <v>10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29">
        <v>690</v>
      </c>
      <c r="Y55" s="7"/>
      <c r="Z55" s="58"/>
      <c r="AB55">
        <f t="shared" si="5"/>
        <v>1.5789473684210527</v>
      </c>
      <c r="AC55"/>
      <c r="AD55" s="275" t="s">
        <v>130</v>
      </c>
      <c r="AE55" s="167"/>
      <c r="AF55" s="263">
        <v>35</v>
      </c>
      <c r="AG55" s="167"/>
      <c r="AH55" s="262"/>
      <c r="AI55" s="263">
        <v>35</v>
      </c>
      <c r="AJ55" s="266"/>
      <c r="AK55" s="266"/>
      <c r="AL55" s="262"/>
      <c r="AM55" s="277"/>
      <c r="AN55"/>
      <c r="AO55"/>
      <c r="AP55"/>
      <c r="AQ55"/>
      <c r="AR55"/>
      <c r="AS55"/>
      <c r="AT55"/>
      <c r="AU55"/>
    </row>
    <row r="56" spans="1:47" ht="18" customHeight="1" x14ac:dyDescent="0.2">
      <c r="A56" s="13">
        <v>2011</v>
      </c>
      <c r="B56" s="13"/>
      <c r="C56" s="13"/>
      <c r="D56" s="13"/>
      <c r="E56" s="13"/>
      <c r="F56" s="13"/>
      <c r="G56" s="13"/>
      <c r="H56" s="13">
        <v>162</v>
      </c>
      <c r="I56" s="13"/>
      <c r="J56" s="13"/>
      <c r="K56" s="13">
        <v>1362</v>
      </c>
      <c r="L56" s="13"/>
      <c r="M56" s="13">
        <v>1718</v>
      </c>
      <c r="N56" s="13"/>
      <c r="O56" s="13">
        <v>1411</v>
      </c>
      <c r="P56" s="13">
        <v>1355</v>
      </c>
      <c r="Q56" s="13"/>
      <c r="R56" s="13"/>
      <c r="S56" s="13"/>
      <c r="T56" s="13"/>
      <c r="U56" s="13">
        <v>67</v>
      </c>
      <c r="V56" s="13"/>
      <c r="W56" s="13"/>
      <c r="X56" s="29">
        <v>3100</v>
      </c>
      <c r="Y56" s="7" t="s">
        <v>5</v>
      </c>
      <c r="Z56" s="58">
        <v>35</v>
      </c>
      <c r="AB56">
        <f t="shared" si="5"/>
        <v>1.8044237485448196</v>
      </c>
      <c r="AC56"/>
      <c r="AD56" s="275" t="s">
        <v>131</v>
      </c>
      <c r="AE56" s="167"/>
      <c r="AF56" s="267">
        <f>(0.5*SUM(AK43:AK52))/AF55</f>
        <v>1824.3857142857144</v>
      </c>
      <c r="AG56" s="167"/>
      <c r="AH56" s="262"/>
      <c r="AI56" s="267">
        <f>(0.5*SUM(AM43:AM52))/AI55</f>
        <v>2027.0952380952383</v>
      </c>
      <c r="AJ56" s="266"/>
      <c r="AK56" s="266"/>
      <c r="AL56" s="262"/>
      <c r="AM56" s="277"/>
      <c r="AN56"/>
      <c r="AO56"/>
      <c r="AP56"/>
      <c r="AQ56"/>
      <c r="AR56"/>
      <c r="AS56"/>
      <c r="AT56"/>
      <c r="AU56"/>
    </row>
    <row r="57" spans="1:47" ht="18" customHeight="1" thickBot="1" x14ac:dyDescent="0.25">
      <c r="A57" s="13">
        <v>2012</v>
      </c>
      <c r="B57" s="13"/>
      <c r="C57" s="13"/>
      <c r="D57" s="13"/>
      <c r="E57" s="13"/>
      <c r="F57" s="13"/>
      <c r="G57" s="13"/>
      <c r="H57" s="13">
        <v>57</v>
      </c>
      <c r="I57" s="13"/>
      <c r="J57" s="13">
        <v>14</v>
      </c>
      <c r="K57" s="13"/>
      <c r="L57" s="13">
        <v>230</v>
      </c>
      <c r="M57" s="13"/>
      <c r="N57" s="13">
        <v>1305</v>
      </c>
      <c r="O57" s="13"/>
      <c r="P57" s="13"/>
      <c r="Q57" s="13"/>
      <c r="R57" s="13"/>
      <c r="S57" s="13"/>
      <c r="T57" s="13"/>
      <c r="U57" s="13"/>
      <c r="V57" s="13"/>
      <c r="W57" s="13"/>
      <c r="X57" s="29">
        <v>1867</v>
      </c>
      <c r="Y57" s="7" t="s">
        <v>9</v>
      </c>
      <c r="Z57" s="58"/>
      <c r="AB57">
        <f t="shared" si="5"/>
        <v>1.4306513409961685</v>
      </c>
      <c r="AC57"/>
      <c r="AD57" s="291"/>
      <c r="AE57" s="286"/>
      <c r="AF57" s="286"/>
      <c r="AG57" s="286"/>
      <c r="AH57" s="286"/>
      <c r="AI57" s="286"/>
      <c r="AJ57" s="286"/>
      <c r="AK57" s="286"/>
      <c r="AL57" s="286"/>
      <c r="AM57" s="288"/>
      <c r="AN57"/>
      <c r="AO57"/>
      <c r="AP57"/>
      <c r="AQ57"/>
      <c r="AR57"/>
      <c r="AS57"/>
      <c r="AT57"/>
      <c r="AU57"/>
    </row>
    <row r="58" spans="1:47" ht="18" customHeight="1" x14ac:dyDescent="0.2">
      <c r="A58" s="13">
        <v>2013</v>
      </c>
      <c r="B58" s="13"/>
      <c r="C58" s="13"/>
      <c r="D58" s="13"/>
      <c r="E58" s="13"/>
      <c r="F58" s="13"/>
      <c r="G58" s="13">
        <v>505</v>
      </c>
      <c r="H58" s="13">
        <v>843</v>
      </c>
      <c r="I58" s="13">
        <v>2040</v>
      </c>
      <c r="J58" s="13">
        <v>2423</v>
      </c>
      <c r="K58" s="13">
        <v>1842</v>
      </c>
      <c r="L58" s="13">
        <v>3019</v>
      </c>
      <c r="M58" s="13"/>
      <c r="N58" s="13">
        <v>2447</v>
      </c>
      <c r="O58" s="13"/>
      <c r="P58" s="13"/>
      <c r="Q58" s="13"/>
      <c r="R58" s="13"/>
      <c r="S58" s="13"/>
      <c r="T58" s="13"/>
      <c r="U58" s="13"/>
      <c r="V58" s="13"/>
      <c r="W58" s="13"/>
      <c r="X58" s="29">
        <v>5547</v>
      </c>
      <c r="Y58" s="7" t="s">
        <v>5</v>
      </c>
      <c r="Z58" s="58">
        <v>40</v>
      </c>
      <c r="AB58">
        <f t="shared" si="5"/>
        <v>1.8373633653527659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8" customHeight="1" x14ac:dyDescent="0.2">
      <c r="A59" s="13">
        <v>2014</v>
      </c>
      <c r="B59" s="13"/>
      <c r="C59" s="13"/>
      <c r="D59" s="13"/>
      <c r="E59" s="13"/>
      <c r="F59" s="13">
        <v>13</v>
      </c>
      <c r="G59" s="13">
        <v>32</v>
      </c>
      <c r="H59" s="13"/>
      <c r="I59" s="13">
        <v>297</v>
      </c>
      <c r="J59" s="13">
        <v>2081</v>
      </c>
      <c r="K59" s="13">
        <v>2381</v>
      </c>
      <c r="L59" s="13"/>
      <c r="M59" s="13"/>
      <c r="N59" s="13"/>
      <c r="O59" s="13"/>
      <c r="P59" s="13"/>
      <c r="Q59" s="13">
        <v>637</v>
      </c>
      <c r="R59" s="13"/>
      <c r="S59" s="13"/>
      <c r="T59" s="13"/>
      <c r="U59" s="13"/>
      <c r="V59" s="13"/>
      <c r="W59" s="13"/>
      <c r="X59" s="29">
        <v>3742</v>
      </c>
      <c r="Y59" s="7" t="s">
        <v>5</v>
      </c>
      <c r="Z59" s="58">
        <v>35</v>
      </c>
      <c r="AB59">
        <f t="shared" si="5"/>
        <v>1.5716085678286433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8" customHeight="1" x14ac:dyDescent="0.2">
      <c r="A60" s="13">
        <v>2015</v>
      </c>
      <c r="B60" s="13"/>
      <c r="C60" s="13"/>
      <c r="D60" s="13"/>
      <c r="E60" s="13"/>
      <c r="F60" s="13">
        <v>328</v>
      </c>
      <c r="G60" s="13">
        <v>608</v>
      </c>
      <c r="H60" s="13">
        <v>557</v>
      </c>
      <c r="I60" s="13"/>
      <c r="J60" s="13">
        <v>594</v>
      </c>
      <c r="K60" s="13">
        <v>632</v>
      </c>
      <c r="L60" s="13">
        <v>1335</v>
      </c>
      <c r="M60" s="13">
        <v>590</v>
      </c>
      <c r="N60" s="13"/>
      <c r="O60" s="13">
        <v>642</v>
      </c>
      <c r="P60" s="13"/>
      <c r="Q60" s="13"/>
      <c r="R60" s="13"/>
      <c r="S60" s="13"/>
      <c r="T60" s="13"/>
      <c r="U60" s="13"/>
      <c r="V60" s="13"/>
      <c r="W60" s="13"/>
      <c r="X60" s="29">
        <v>2081</v>
      </c>
      <c r="Y60" s="7" t="s">
        <v>5</v>
      </c>
      <c r="Z60" s="58">
        <v>30</v>
      </c>
      <c r="AB60">
        <f t="shared" si="5"/>
        <v>1.5588014981273408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8" customHeight="1" x14ac:dyDescent="0.2">
      <c r="A61" s="13">
        <v>2016</v>
      </c>
      <c r="B61" s="13"/>
      <c r="C61" s="13"/>
      <c r="D61" s="13"/>
      <c r="E61" s="13"/>
      <c r="F61" s="13"/>
      <c r="G61" s="109">
        <v>192</v>
      </c>
      <c r="H61" s="13"/>
      <c r="I61" s="13"/>
      <c r="J61" s="109">
        <v>873</v>
      </c>
      <c r="K61" s="109">
        <v>591</v>
      </c>
      <c r="L61" s="13"/>
      <c r="M61" s="13"/>
      <c r="N61" s="13"/>
      <c r="O61" s="109">
        <v>474</v>
      </c>
      <c r="P61" s="13"/>
      <c r="Q61" s="13"/>
      <c r="R61" s="13"/>
      <c r="S61" s="13"/>
      <c r="T61" s="13"/>
      <c r="U61" s="13"/>
      <c r="V61" s="13"/>
      <c r="W61" s="13"/>
      <c r="X61" s="29">
        <v>1346</v>
      </c>
      <c r="Y61" s="7" t="s">
        <v>5</v>
      </c>
      <c r="Z61" s="58">
        <v>35</v>
      </c>
      <c r="AB61">
        <f t="shared" si="5"/>
        <v>1.5418098510882017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8" customHeight="1" x14ac:dyDescent="0.2">
      <c r="A62" s="13">
        <v>2017</v>
      </c>
      <c r="B62" s="13"/>
      <c r="C62" s="13"/>
      <c r="D62" s="13"/>
      <c r="E62" s="13"/>
      <c r="F62" s="109">
        <v>105</v>
      </c>
      <c r="G62" s="13"/>
      <c r="H62" s="109">
        <v>3811</v>
      </c>
      <c r="I62" s="109">
        <v>3824</v>
      </c>
      <c r="J62" s="109">
        <v>2656</v>
      </c>
      <c r="K62" s="109">
        <v>2430</v>
      </c>
      <c r="L62" s="13"/>
      <c r="M62" s="109">
        <v>403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29">
        <v>4984</v>
      </c>
      <c r="Y62" s="7" t="s">
        <v>5</v>
      </c>
      <c r="Z62" s="58">
        <v>35</v>
      </c>
      <c r="AB62">
        <f t="shared" si="5"/>
        <v>1.3033472803347281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ht="18" customHeight="1" x14ac:dyDescent="0.2">
      <c r="A63" s="13">
        <v>2018</v>
      </c>
      <c r="B63" s="13"/>
      <c r="C63" s="13"/>
      <c r="D63" s="13"/>
      <c r="E63" s="13"/>
      <c r="F63" s="437">
        <v>31</v>
      </c>
      <c r="G63" s="1"/>
      <c r="H63" s="1"/>
      <c r="I63" s="590">
        <v>1930</v>
      </c>
      <c r="J63" s="338">
        <v>1332</v>
      </c>
      <c r="K63" s="590">
        <v>989</v>
      </c>
      <c r="L63" s="13"/>
      <c r="M63" s="155">
        <v>1497</v>
      </c>
      <c r="N63" s="13"/>
      <c r="O63" s="155">
        <v>781</v>
      </c>
      <c r="P63" s="13"/>
      <c r="Q63" s="13"/>
      <c r="R63" s="13"/>
      <c r="S63" s="13"/>
      <c r="T63" s="13"/>
      <c r="U63" s="13"/>
      <c r="V63" s="13"/>
      <c r="W63" s="13"/>
      <c r="X63" s="29">
        <v>3115</v>
      </c>
      <c r="Y63" s="7"/>
      <c r="Z63" s="58">
        <v>35</v>
      </c>
      <c r="AB63">
        <f t="shared" si="5"/>
        <v>1.6139896373056994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ht="18" customHeight="1" x14ac:dyDescent="0.2">
      <c r="A64" s="13">
        <v>2019</v>
      </c>
      <c r="B64" s="13"/>
      <c r="C64" s="13"/>
      <c r="D64" s="13"/>
      <c r="E64" s="13"/>
      <c r="F64" s="109">
        <v>84</v>
      </c>
      <c r="G64" s="447">
        <v>0</v>
      </c>
      <c r="H64" s="338">
        <v>431</v>
      </c>
      <c r="I64" s="338">
        <v>856</v>
      </c>
      <c r="J64" s="109">
        <v>1035</v>
      </c>
      <c r="K64" s="590">
        <v>781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29">
        <v>1704</v>
      </c>
      <c r="Y64" s="7"/>
      <c r="Z64" s="58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ht="18" customHeight="1" x14ac:dyDescent="0.2">
      <c r="A65" s="13">
        <v>2020</v>
      </c>
      <c r="B65" s="13"/>
      <c r="C65" s="13"/>
      <c r="D65" s="13"/>
      <c r="E65" s="13"/>
      <c r="F65" s="13"/>
      <c r="G65" s="109">
        <v>209</v>
      </c>
      <c r="H65" s="109">
        <v>382</v>
      </c>
      <c r="I65" s="13"/>
      <c r="J65" s="13"/>
      <c r="K65" s="109">
        <v>378</v>
      </c>
      <c r="L65" s="590">
        <v>319</v>
      </c>
      <c r="M65" s="109">
        <v>620</v>
      </c>
      <c r="N65" s="13"/>
      <c r="O65" s="590">
        <v>546</v>
      </c>
      <c r="P65" s="13"/>
      <c r="Q65" s="13"/>
      <c r="R65" s="13"/>
      <c r="S65" s="13"/>
      <c r="T65" s="13"/>
      <c r="U65" s="13"/>
      <c r="V65" s="13"/>
      <c r="W65" s="13"/>
      <c r="X65" s="768">
        <v>2468</v>
      </c>
      <c r="Y65" s="7"/>
      <c r="Z65" s="58"/>
      <c r="AB65">
        <f t="shared" ref="AB65:AB66" si="9">X65/MAX(B65:W65)</f>
        <v>3.9806451612903224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s="150" customFormat="1" ht="18" customHeight="1" x14ac:dyDescent="0.2">
      <c r="A66" s="89">
        <v>2021</v>
      </c>
      <c r="B66" s="89"/>
      <c r="C66" s="89"/>
      <c r="D66" s="89"/>
      <c r="E66" s="89"/>
      <c r="F66" s="89"/>
      <c r="G66" s="109">
        <v>308</v>
      </c>
      <c r="H66" s="109">
        <v>1005</v>
      </c>
      <c r="I66" s="89"/>
      <c r="J66" s="89"/>
      <c r="K66" s="109">
        <v>625</v>
      </c>
      <c r="L66" s="736"/>
      <c r="M66" s="109">
        <v>1808</v>
      </c>
      <c r="N66" s="89"/>
      <c r="O66" s="736"/>
      <c r="P66" s="89"/>
      <c r="Q66" s="89"/>
      <c r="R66" s="89"/>
      <c r="S66" s="89"/>
      <c r="T66" s="89"/>
      <c r="U66" s="89"/>
      <c r="V66" s="89"/>
      <c r="W66" s="89"/>
      <c r="X66" s="21">
        <v>4795</v>
      </c>
      <c r="Y66" s="11"/>
      <c r="Z66" s="92">
        <v>25</v>
      </c>
      <c r="AB66">
        <f t="shared" si="9"/>
        <v>2.6521017699115044</v>
      </c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</row>
    <row r="67" spans="1:47" s="150" customFormat="1" ht="18" customHeight="1" x14ac:dyDescent="0.2">
      <c r="A67" s="89">
        <v>2022</v>
      </c>
      <c r="B67" s="89"/>
      <c r="C67" s="89"/>
      <c r="D67" s="89"/>
      <c r="E67" s="89"/>
      <c r="F67" s="89"/>
      <c r="G67" s="338">
        <v>384</v>
      </c>
      <c r="H67" s="89"/>
      <c r="I67" s="89"/>
      <c r="J67" s="89"/>
      <c r="K67" s="89"/>
      <c r="L67" s="590">
        <v>1445</v>
      </c>
      <c r="M67" s="89"/>
      <c r="N67" s="89"/>
      <c r="O67" s="736"/>
      <c r="P67" s="155">
        <v>802</v>
      </c>
      <c r="Q67" s="89"/>
      <c r="R67" s="89"/>
      <c r="S67" s="89"/>
      <c r="T67" s="89"/>
      <c r="U67" s="89"/>
      <c r="V67" s="89"/>
      <c r="W67" s="89"/>
      <c r="X67" s="21"/>
      <c r="Y67" s="11"/>
      <c r="Z67" s="92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</row>
    <row r="68" spans="1:47" s="150" customFormat="1" ht="18" customHeight="1" x14ac:dyDescent="0.2">
      <c r="A68" s="89">
        <v>2023</v>
      </c>
      <c r="B68" s="89"/>
      <c r="C68" s="89"/>
      <c r="D68" s="89"/>
      <c r="E68" s="89"/>
      <c r="F68" s="109">
        <v>42</v>
      </c>
      <c r="G68" s="89"/>
      <c r="H68" s="109">
        <v>108</v>
      </c>
      <c r="I68" s="89"/>
      <c r="J68" s="89"/>
      <c r="K68" s="89"/>
      <c r="L68" s="89"/>
      <c r="M68" s="109">
        <v>1019</v>
      </c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21"/>
      <c r="Y68" s="11"/>
      <c r="Z68" s="92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</row>
    <row r="69" spans="1:47" ht="18" customHeight="1" x14ac:dyDescent="0.2">
      <c r="A69" s="64" t="s">
        <v>17</v>
      </c>
      <c r="B69" s="16"/>
      <c r="C69" s="16"/>
      <c r="D69" s="16">
        <f t="shared" ref="D69:T69" si="10">AVERAGE(D40:D54)</f>
        <v>3</v>
      </c>
      <c r="E69" s="16"/>
      <c r="F69" s="16">
        <f t="shared" si="10"/>
        <v>22</v>
      </c>
      <c r="G69" s="16">
        <f t="shared" si="10"/>
        <v>80</v>
      </c>
      <c r="H69" s="16">
        <f t="shared" si="10"/>
        <v>191.44444444444446</v>
      </c>
      <c r="I69" s="16">
        <f t="shared" si="10"/>
        <v>764.75</v>
      </c>
      <c r="J69" s="16">
        <f t="shared" si="10"/>
        <v>779</v>
      </c>
      <c r="K69" s="16">
        <f t="shared" si="10"/>
        <v>247.5</v>
      </c>
      <c r="L69" s="16">
        <f t="shared" si="10"/>
        <v>1578.4285714285713</v>
      </c>
      <c r="M69" s="16">
        <f t="shared" si="10"/>
        <v>586</v>
      </c>
      <c r="N69" s="16">
        <f t="shared" si="10"/>
        <v>938.33333333333337</v>
      </c>
      <c r="O69" s="16">
        <f t="shared" si="10"/>
        <v>579</v>
      </c>
      <c r="P69" s="16">
        <f t="shared" si="10"/>
        <v>947</v>
      </c>
      <c r="Q69" s="16">
        <f t="shared" si="10"/>
        <v>395.33333333333331</v>
      </c>
      <c r="R69" s="16">
        <f t="shared" si="10"/>
        <v>259.33333333333331</v>
      </c>
      <c r="S69" s="16">
        <f t="shared" si="10"/>
        <v>110</v>
      </c>
      <c r="T69" s="16">
        <f t="shared" si="10"/>
        <v>377</v>
      </c>
      <c r="U69" s="16"/>
      <c r="V69" s="16"/>
      <c r="W69" s="16"/>
      <c r="X69" s="16">
        <f>AVERAGE(X40:X54)</f>
        <v>2033.4666666666667</v>
      </c>
      <c r="Y69" s="17"/>
      <c r="Z69" s="16">
        <f>AVERAGE(Z40:Z54)</f>
        <v>35.9</v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  <c r="Z70" s="292" t="s">
        <v>186</v>
      </c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ht="18" customHeight="1" x14ac:dyDescent="0.2">
      <c r="A71" s="1002" t="s">
        <v>636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ht="18" customHeight="1" thickTop="1" x14ac:dyDescent="0.2">
      <c r="A73" s="70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ht="18" customHeight="1" thickBot="1" x14ac:dyDescent="0.25">
      <c r="A74" s="7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A74" s="2" t="s">
        <v>398</v>
      </c>
      <c r="AB74" t="s">
        <v>142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 ht="18" customHeight="1" x14ac:dyDescent="0.25">
      <c r="A75" s="1">
        <v>1995</v>
      </c>
      <c r="B75" s="6"/>
      <c r="C75" s="6"/>
      <c r="D75" s="6"/>
      <c r="E75" s="6"/>
      <c r="F75" s="6"/>
      <c r="G75" s="6"/>
      <c r="H75" s="6">
        <v>0</v>
      </c>
      <c r="I75" s="6"/>
      <c r="J75" s="6">
        <v>76</v>
      </c>
      <c r="K75" s="6">
        <v>997</v>
      </c>
      <c r="L75" s="6">
        <v>657</v>
      </c>
      <c r="M75" s="6">
        <v>4000</v>
      </c>
      <c r="N75" s="6">
        <v>3368</v>
      </c>
      <c r="O75" s="6"/>
      <c r="P75" s="6"/>
      <c r="Q75" s="6"/>
      <c r="R75" s="6"/>
      <c r="S75" s="6"/>
      <c r="T75" s="13"/>
      <c r="U75" s="13"/>
      <c r="V75" s="13"/>
      <c r="W75" s="13"/>
      <c r="X75" s="7">
        <v>3703</v>
      </c>
      <c r="Y75" s="7" t="s">
        <v>5</v>
      </c>
      <c r="Z75" s="10">
        <v>15</v>
      </c>
      <c r="AA75" s="2">
        <f>MAX(B75:W75)</f>
        <v>4000</v>
      </c>
      <c r="AB75">
        <f>X75/MAX(B75:W75)</f>
        <v>0.92574999999999996</v>
      </c>
      <c r="AC75"/>
      <c r="AD75" s="269" t="s">
        <v>117</v>
      </c>
      <c r="AE75" s="270" t="s">
        <v>118</v>
      </c>
      <c r="AF75" s="271" t="s">
        <v>119</v>
      </c>
      <c r="AG75" s="272"/>
      <c r="AH75" s="271" t="s">
        <v>120</v>
      </c>
      <c r="AI75" s="271"/>
      <c r="AJ75" s="272"/>
      <c r="AK75" s="273" t="s">
        <v>121</v>
      </c>
      <c r="AL75" s="272"/>
      <c r="AM75" s="274" t="s">
        <v>122</v>
      </c>
      <c r="AN75"/>
      <c r="AO75"/>
      <c r="AP75"/>
      <c r="AQ75"/>
      <c r="AR75"/>
      <c r="AS75"/>
      <c r="AT75"/>
      <c r="AU75"/>
    </row>
    <row r="76" spans="1:47" ht="18" customHeight="1" x14ac:dyDescent="0.2">
      <c r="A76" s="1">
        <v>1996</v>
      </c>
      <c r="B76" s="6"/>
      <c r="C76" s="6"/>
      <c r="D76" s="6">
        <v>0</v>
      </c>
      <c r="E76" s="6"/>
      <c r="F76" s="6">
        <v>1</v>
      </c>
      <c r="G76" s="6"/>
      <c r="H76" s="6">
        <v>23</v>
      </c>
      <c r="I76" s="6"/>
      <c r="J76" s="6">
        <v>379</v>
      </c>
      <c r="K76" s="6">
        <v>1600</v>
      </c>
      <c r="L76" s="6"/>
      <c r="M76" s="6"/>
      <c r="N76" s="6">
        <v>2637</v>
      </c>
      <c r="O76" s="6"/>
      <c r="P76" s="6"/>
      <c r="Q76" s="6">
        <v>128</v>
      </c>
      <c r="R76" s="6"/>
      <c r="S76" s="6"/>
      <c r="T76" s="13"/>
      <c r="U76" s="13"/>
      <c r="V76" s="13"/>
      <c r="W76" s="13"/>
      <c r="X76" s="7">
        <v>3324</v>
      </c>
      <c r="Y76" s="7" t="s">
        <v>5</v>
      </c>
      <c r="Z76" s="10">
        <v>15</v>
      </c>
      <c r="AA76" s="2">
        <f t="shared" ref="AA76:AA97" si="11">MAX(B76:W76)</f>
        <v>2637</v>
      </c>
      <c r="AB76">
        <f t="shared" ref="AB76:AB97" si="12">X76/MAX(B76:W76)</f>
        <v>1.2605233219567691</v>
      </c>
      <c r="AC76"/>
      <c r="AD76" s="275" t="s">
        <v>37</v>
      </c>
      <c r="AE76" s="830"/>
      <c r="AF76" s="830" t="s">
        <v>146</v>
      </c>
      <c r="AG76" s="262"/>
      <c r="AH76" s="163" t="s">
        <v>148</v>
      </c>
      <c r="AI76" s="163" t="s">
        <v>147</v>
      </c>
      <c r="AJ76" s="262"/>
      <c r="AK76" s="164"/>
      <c r="AL76" s="262"/>
      <c r="AM76" s="276"/>
      <c r="AN76"/>
      <c r="AO76"/>
      <c r="AP76"/>
      <c r="AQ76"/>
      <c r="AR76"/>
      <c r="AS76"/>
      <c r="AT76"/>
      <c r="AU76"/>
    </row>
    <row r="77" spans="1:47" ht="18" customHeight="1" x14ac:dyDescent="0.2">
      <c r="A77" s="1">
        <v>1997</v>
      </c>
      <c r="B77" s="6"/>
      <c r="C77" s="6"/>
      <c r="D77" s="6"/>
      <c r="E77" s="6"/>
      <c r="F77" s="6">
        <v>0</v>
      </c>
      <c r="G77" s="6">
        <v>0</v>
      </c>
      <c r="H77" s="6">
        <v>4</v>
      </c>
      <c r="I77" s="6"/>
      <c r="J77" s="6">
        <v>20</v>
      </c>
      <c r="K77" s="6">
        <v>46</v>
      </c>
      <c r="L77" s="6"/>
      <c r="M77" s="6">
        <v>3448</v>
      </c>
      <c r="N77" s="6"/>
      <c r="O77" s="6"/>
      <c r="P77" s="6"/>
      <c r="Q77" s="6"/>
      <c r="R77" s="6"/>
      <c r="S77" s="6"/>
      <c r="T77" s="13"/>
      <c r="U77" s="13"/>
      <c r="V77" s="13"/>
      <c r="W77" s="13"/>
      <c r="X77" s="7">
        <v>4320</v>
      </c>
      <c r="Y77" s="7" t="s">
        <v>5</v>
      </c>
      <c r="Z77" s="10">
        <v>15</v>
      </c>
      <c r="AA77" s="2">
        <f t="shared" si="11"/>
        <v>3448</v>
      </c>
      <c r="AB77">
        <f t="shared" si="12"/>
        <v>1.2529002320185614</v>
      </c>
      <c r="AC77"/>
      <c r="AD77" s="275" t="s">
        <v>127</v>
      </c>
      <c r="AE77" s="229">
        <v>44440</v>
      </c>
      <c r="AF77" s="167"/>
      <c r="AG77" s="262"/>
      <c r="AH77" s="262"/>
      <c r="AI77" s="263">
        <v>0</v>
      </c>
      <c r="AJ77" s="262"/>
      <c r="AK77" s="262"/>
      <c r="AL77" s="262"/>
      <c r="AM77" s="277"/>
      <c r="AN77"/>
      <c r="AO77"/>
      <c r="AP77"/>
      <c r="AQ77"/>
      <c r="AR77"/>
      <c r="AS77"/>
      <c r="AT77"/>
      <c r="AU77"/>
    </row>
    <row r="78" spans="1:47" ht="18" customHeight="1" x14ac:dyDescent="0.2">
      <c r="A78" s="1">
        <v>1998</v>
      </c>
      <c r="B78" s="6"/>
      <c r="C78" s="6"/>
      <c r="D78" s="6"/>
      <c r="E78" s="6"/>
      <c r="F78" s="6"/>
      <c r="G78" s="6"/>
      <c r="H78" s="6">
        <v>37</v>
      </c>
      <c r="I78" s="6"/>
      <c r="J78" s="6">
        <v>93</v>
      </c>
      <c r="K78" s="6"/>
      <c r="L78" s="6"/>
      <c r="M78" s="6">
        <v>6100</v>
      </c>
      <c r="N78" s="6"/>
      <c r="O78" s="6"/>
      <c r="P78" s="6"/>
      <c r="Q78" s="6"/>
      <c r="R78" s="6"/>
      <c r="S78" s="6"/>
      <c r="T78" s="13"/>
      <c r="U78" s="13"/>
      <c r="V78" s="13"/>
      <c r="W78" s="13"/>
      <c r="X78" s="7">
        <v>11444</v>
      </c>
      <c r="Y78" s="7" t="s">
        <v>5</v>
      </c>
      <c r="Z78" s="10">
        <v>15</v>
      </c>
      <c r="AA78" s="2">
        <f t="shared" si="11"/>
        <v>6100</v>
      </c>
      <c r="AB78">
        <f t="shared" si="12"/>
        <v>1.8760655737704919</v>
      </c>
      <c r="AC78"/>
      <c r="AD78" s="275"/>
      <c r="AE78" s="229">
        <v>44446</v>
      </c>
      <c r="AF78" s="263">
        <v>2</v>
      </c>
      <c r="AG78" s="262"/>
      <c r="AH78" s="264">
        <v>0.9</v>
      </c>
      <c r="AI78" s="265">
        <f t="shared" ref="AI78:AI85" si="13">AF78/AH78</f>
        <v>2.2222222222222223</v>
      </c>
      <c r="AJ78" s="262"/>
      <c r="AK78" s="265">
        <f>(AE78-AE77)*(AF78+AF77)</f>
        <v>12</v>
      </c>
      <c r="AL78" s="262"/>
      <c r="AM78" s="278">
        <f>(AE78-AE77)*(AI78+AI77)</f>
        <v>13.333333333333334</v>
      </c>
      <c r="AN78"/>
      <c r="AO78"/>
      <c r="AP78"/>
      <c r="AQ78"/>
      <c r="AR78"/>
      <c r="AS78"/>
      <c r="AT78"/>
      <c r="AU78"/>
    </row>
    <row r="79" spans="1:47" ht="18" customHeight="1" x14ac:dyDescent="0.2">
      <c r="A79" s="1">
        <v>1999</v>
      </c>
      <c r="B79" s="6"/>
      <c r="C79" s="6"/>
      <c r="D79" s="6"/>
      <c r="E79" s="6"/>
      <c r="F79" s="6"/>
      <c r="G79" s="6"/>
      <c r="H79" s="6">
        <v>18</v>
      </c>
      <c r="I79" s="6"/>
      <c r="J79" s="6"/>
      <c r="K79" s="6">
        <v>453</v>
      </c>
      <c r="L79" s="6"/>
      <c r="M79" s="6">
        <v>1937</v>
      </c>
      <c r="N79" s="6"/>
      <c r="O79" s="6">
        <v>2373</v>
      </c>
      <c r="P79" s="6"/>
      <c r="Q79" s="6"/>
      <c r="R79" s="6"/>
      <c r="S79" s="6"/>
      <c r="T79" s="13"/>
      <c r="U79" s="13"/>
      <c r="V79" s="13"/>
      <c r="W79" s="13"/>
      <c r="X79" s="9">
        <v>6832</v>
      </c>
      <c r="Y79" s="7" t="s">
        <v>5</v>
      </c>
      <c r="Z79" s="60">
        <v>12.5</v>
      </c>
      <c r="AA79" s="2">
        <f t="shared" si="11"/>
        <v>2373</v>
      </c>
      <c r="AB79">
        <f t="shared" si="12"/>
        <v>2.8790560471976403</v>
      </c>
      <c r="AC79"/>
      <c r="AD79" s="275"/>
      <c r="AE79" s="229">
        <v>44455</v>
      </c>
      <c r="AF79" s="263">
        <v>6</v>
      </c>
      <c r="AG79" s="262"/>
      <c r="AH79" s="264">
        <v>0.9</v>
      </c>
      <c r="AI79" s="265">
        <f t="shared" si="13"/>
        <v>6.6666666666666661</v>
      </c>
      <c r="AJ79" s="262"/>
      <c r="AK79" s="265">
        <f t="shared" ref="AK79:AK87" si="14">(AE79-AE78)*(AF79+AF78)</f>
        <v>72</v>
      </c>
      <c r="AL79" s="262"/>
      <c r="AM79" s="278">
        <f t="shared" ref="AM79:AM87" si="15">(AE79-AE78)*(AI79+AI78)</f>
        <v>80</v>
      </c>
      <c r="AN79"/>
      <c r="AO79"/>
      <c r="AP79"/>
      <c r="AQ79"/>
      <c r="AR79"/>
      <c r="AS79"/>
      <c r="AT79"/>
      <c r="AU79"/>
    </row>
    <row r="80" spans="1:47" ht="18" customHeight="1" x14ac:dyDescent="0.2">
      <c r="A80" s="1">
        <v>2000</v>
      </c>
      <c r="B80" s="6"/>
      <c r="C80" s="6"/>
      <c r="D80" s="6"/>
      <c r="E80" s="6"/>
      <c r="F80" s="6"/>
      <c r="G80" s="6"/>
      <c r="H80" s="6"/>
      <c r="I80" s="6"/>
      <c r="J80" s="6">
        <v>155</v>
      </c>
      <c r="K80" s="6"/>
      <c r="L80" s="6">
        <v>1230</v>
      </c>
      <c r="M80" s="6"/>
      <c r="N80" s="6"/>
      <c r="O80" s="6"/>
      <c r="P80" s="6"/>
      <c r="Q80" s="6"/>
      <c r="R80" s="6"/>
      <c r="S80" s="6"/>
      <c r="T80" s="13">
        <v>0</v>
      </c>
      <c r="U80" s="13"/>
      <c r="V80" s="13"/>
      <c r="W80" s="13"/>
      <c r="X80" s="10">
        <v>3803</v>
      </c>
      <c r="Y80" s="7" t="s">
        <v>5</v>
      </c>
      <c r="Z80" s="60">
        <v>12.5</v>
      </c>
      <c r="AA80" s="2">
        <f t="shared" si="11"/>
        <v>1230</v>
      </c>
      <c r="AB80">
        <f t="shared" si="12"/>
        <v>3.0918699186991869</v>
      </c>
      <c r="AC80"/>
      <c r="AD80" s="279"/>
      <c r="AE80" s="229">
        <v>44476</v>
      </c>
      <c r="AF80" s="263">
        <v>406</v>
      </c>
      <c r="AG80" s="262"/>
      <c r="AH80" s="264">
        <v>0.9</v>
      </c>
      <c r="AI80" s="265">
        <f t="shared" si="13"/>
        <v>451.11111111111109</v>
      </c>
      <c r="AJ80" s="262"/>
      <c r="AK80" s="265">
        <f t="shared" si="14"/>
        <v>8652</v>
      </c>
      <c r="AL80" s="262"/>
      <c r="AM80" s="278">
        <f t="shared" si="15"/>
        <v>9613.3333333333339</v>
      </c>
      <c r="AN80"/>
      <c r="AO80"/>
      <c r="AP80"/>
      <c r="AQ80"/>
      <c r="AR80"/>
      <c r="AS80"/>
      <c r="AT80"/>
      <c r="AU80"/>
    </row>
    <row r="81" spans="1:47" ht="18" customHeight="1" x14ac:dyDescent="0.2">
      <c r="A81" s="1">
        <v>2001</v>
      </c>
      <c r="B81" s="6"/>
      <c r="C81" s="6"/>
      <c r="D81" s="6"/>
      <c r="E81" s="6"/>
      <c r="F81" s="6"/>
      <c r="G81" s="6"/>
      <c r="H81" s="6">
        <v>34</v>
      </c>
      <c r="I81" s="6"/>
      <c r="J81" s="6">
        <v>232</v>
      </c>
      <c r="K81" s="6"/>
      <c r="L81" s="6">
        <v>1400</v>
      </c>
      <c r="M81" s="6"/>
      <c r="N81" s="6"/>
      <c r="O81" s="6"/>
      <c r="P81" s="6"/>
      <c r="Q81" s="6"/>
      <c r="R81" s="6">
        <v>2</v>
      </c>
      <c r="S81" s="6"/>
      <c r="T81" s="13"/>
      <c r="U81" s="13"/>
      <c r="V81" s="13"/>
      <c r="W81" s="13"/>
      <c r="X81" s="7">
        <v>2800</v>
      </c>
      <c r="Y81" s="7" t="s">
        <v>5</v>
      </c>
      <c r="Z81" s="60">
        <v>15</v>
      </c>
      <c r="AA81" s="2">
        <f t="shared" si="11"/>
        <v>1400</v>
      </c>
      <c r="AB81">
        <f t="shared" si="12"/>
        <v>2</v>
      </c>
      <c r="AC81"/>
      <c r="AD81" s="280"/>
      <c r="AE81" s="229">
        <v>44488</v>
      </c>
      <c r="AF81" s="263">
        <v>873</v>
      </c>
      <c r="AG81" s="262"/>
      <c r="AH81" s="264">
        <v>0.9</v>
      </c>
      <c r="AI81" s="265">
        <f t="shared" si="13"/>
        <v>970</v>
      </c>
      <c r="AJ81" s="262"/>
      <c r="AK81" s="265">
        <f t="shared" si="14"/>
        <v>15348</v>
      </c>
      <c r="AL81" s="262"/>
      <c r="AM81" s="278">
        <f t="shared" si="15"/>
        <v>17053.333333333332</v>
      </c>
      <c r="AN81"/>
      <c r="AO81"/>
      <c r="AP81"/>
      <c r="AQ81"/>
      <c r="AR81"/>
      <c r="AS81"/>
      <c r="AT81"/>
      <c r="AU81"/>
    </row>
    <row r="82" spans="1:47" ht="18" customHeight="1" x14ac:dyDescent="0.2">
      <c r="A82" s="1">
        <v>2002</v>
      </c>
      <c r="B82" s="6"/>
      <c r="C82" s="6"/>
      <c r="D82" s="6"/>
      <c r="E82" s="6"/>
      <c r="F82" s="6"/>
      <c r="G82" s="6"/>
      <c r="H82" s="6"/>
      <c r="I82" s="6">
        <v>138</v>
      </c>
      <c r="J82" s="6"/>
      <c r="K82" s="6"/>
      <c r="L82" s="6">
        <v>1446</v>
      </c>
      <c r="M82" s="6"/>
      <c r="N82" s="6"/>
      <c r="O82" s="6"/>
      <c r="P82" s="6"/>
      <c r="Q82" s="6"/>
      <c r="R82" s="6">
        <v>5</v>
      </c>
      <c r="S82" s="6"/>
      <c r="T82" s="13"/>
      <c r="U82" s="13"/>
      <c r="V82" s="13"/>
      <c r="W82" s="13"/>
      <c r="X82" s="7">
        <v>1508</v>
      </c>
      <c r="Y82" s="7" t="s">
        <v>9</v>
      </c>
      <c r="Z82" s="60"/>
      <c r="AA82" s="2">
        <f t="shared" si="11"/>
        <v>1446</v>
      </c>
      <c r="AB82">
        <f t="shared" si="12"/>
        <v>1.0428769017980637</v>
      </c>
      <c r="AC82"/>
      <c r="AD82" s="280"/>
      <c r="AE82" s="229">
        <v>44515</v>
      </c>
      <c r="AF82" s="263">
        <v>0</v>
      </c>
      <c r="AG82" s="262"/>
      <c r="AH82" s="264">
        <v>0.9</v>
      </c>
      <c r="AI82" s="265">
        <f t="shared" si="13"/>
        <v>0</v>
      </c>
      <c r="AJ82" s="262"/>
      <c r="AK82" s="265">
        <f t="shared" si="14"/>
        <v>23571</v>
      </c>
      <c r="AL82" s="262"/>
      <c r="AM82" s="278">
        <f t="shared" si="15"/>
        <v>26190</v>
      </c>
      <c r="AN82"/>
      <c r="AO82"/>
      <c r="AP82"/>
      <c r="AQ82"/>
      <c r="AR82"/>
      <c r="AS82"/>
      <c r="AT82"/>
      <c r="AU82"/>
    </row>
    <row r="83" spans="1:47" ht="18" customHeight="1" x14ac:dyDescent="0.2">
      <c r="A83" s="1">
        <v>2003</v>
      </c>
      <c r="B83" s="6"/>
      <c r="C83" s="6"/>
      <c r="D83" s="6"/>
      <c r="E83" s="6"/>
      <c r="F83" s="6"/>
      <c r="G83" s="6">
        <v>0</v>
      </c>
      <c r="H83" s="6">
        <v>54</v>
      </c>
      <c r="I83" s="6">
        <v>431</v>
      </c>
      <c r="J83" s="6"/>
      <c r="K83" s="6">
        <v>107</v>
      </c>
      <c r="L83" s="6"/>
      <c r="M83" s="6"/>
      <c r="N83" s="6">
        <v>2249</v>
      </c>
      <c r="O83" s="6"/>
      <c r="P83" s="6">
        <v>283</v>
      </c>
      <c r="Q83" s="6"/>
      <c r="R83" s="6"/>
      <c r="S83" s="6"/>
      <c r="T83" s="13"/>
      <c r="U83" s="13"/>
      <c r="V83" s="13"/>
      <c r="W83" s="13"/>
      <c r="X83" s="7">
        <v>4250</v>
      </c>
      <c r="Y83" s="7" t="s">
        <v>5</v>
      </c>
      <c r="Z83" s="60">
        <v>12</v>
      </c>
      <c r="AA83" s="2">
        <f t="shared" si="11"/>
        <v>2249</v>
      </c>
      <c r="AB83">
        <f t="shared" si="12"/>
        <v>1.8897287683414852</v>
      </c>
      <c r="AC83"/>
      <c r="AD83" s="280"/>
      <c r="AE83" s="229">
        <v>44516</v>
      </c>
      <c r="AF83" s="263">
        <v>0</v>
      </c>
      <c r="AG83" s="262"/>
      <c r="AH83" s="264">
        <v>0.9</v>
      </c>
      <c r="AI83" s="265">
        <f t="shared" si="13"/>
        <v>0</v>
      </c>
      <c r="AJ83" s="262"/>
      <c r="AK83" s="265">
        <f t="shared" si="14"/>
        <v>0</v>
      </c>
      <c r="AL83" s="262"/>
      <c r="AM83" s="278">
        <f t="shared" si="15"/>
        <v>0</v>
      </c>
      <c r="AN83"/>
      <c r="AO83"/>
      <c r="AP83"/>
      <c r="AQ83"/>
      <c r="AR83"/>
      <c r="AS83"/>
      <c r="AT83"/>
      <c r="AU83"/>
    </row>
    <row r="84" spans="1:47" ht="18" customHeight="1" x14ac:dyDescent="0.2">
      <c r="A84" s="1">
        <v>2004</v>
      </c>
      <c r="B84" s="6"/>
      <c r="C84" s="6"/>
      <c r="D84" s="6"/>
      <c r="E84" s="6"/>
      <c r="F84" s="6"/>
      <c r="G84" s="6"/>
      <c r="H84" s="6"/>
      <c r="I84" s="6">
        <v>170</v>
      </c>
      <c r="J84" s="6">
        <v>341</v>
      </c>
      <c r="K84" s="6"/>
      <c r="L84" s="6">
        <v>4611</v>
      </c>
      <c r="M84" s="6"/>
      <c r="N84" s="6">
        <v>2871</v>
      </c>
      <c r="O84" s="6"/>
      <c r="P84" s="6"/>
      <c r="Q84" s="6"/>
      <c r="R84" s="6"/>
      <c r="S84" s="6">
        <v>2</v>
      </c>
      <c r="T84" s="13"/>
      <c r="U84" s="13"/>
      <c r="V84" s="13"/>
      <c r="W84" s="13"/>
      <c r="X84" s="7">
        <v>6855</v>
      </c>
      <c r="Y84" s="7" t="s">
        <v>5</v>
      </c>
      <c r="Z84" s="60">
        <v>20</v>
      </c>
      <c r="AA84" s="2">
        <f t="shared" si="11"/>
        <v>4611</v>
      </c>
      <c r="AB84">
        <f t="shared" si="12"/>
        <v>1.4866623292127521</v>
      </c>
      <c r="AC84"/>
      <c r="AD84" s="280"/>
      <c r="AE84" s="229">
        <v>44517</v>
      </c>
      <c r="AF84" s="263">
        <v>0</v>
      </c>
      <c r="AG84" s="262"/>
      <c r="AH84" s="264">
        <v>0.9</v>
      </c>
      <c r="AI84" s="265">
        <f t="shared" si="13"/>
        <v>0</v>
      </c>
      <c r="AJ84" s="262"/>
      <c r="AK84" s="265">
        <f t="shared" si="14"/>
        <v>0</v>
      </c>
      <c r="AL84" s="262"/>
      <c r="AM84" s="278">
        <f t="shared" si="15"/>
        <v>0</v>
      </c>
      <c r="AN84"/>
      <c r="AO84"/>
      <c r="AP84"/>
      <c r="AQ84"/>
      <c r="AR84"/>
      <c r="AS84"/>
      <c r="AT84"/>
      <c r="AU84"/>
    </row>
    <row r="85" spans="1:47" ht="18" customHeight="1" x14ac:dyDescent="0.2">
      <c r="A85" s="1">
        <v>2005</v>
      </c>
      <c r="B85" s="6"/>
      <c r="C85" s="6"/>
      <c r="D85" s="6"/>
      <c r="E85" s="6"/>
      <c r="F85" s="6"/>
      <c r="G85" s="6"/>
      <c r="H85" s="6"/>
      <c r="I85" s="6"/>
      <c r="J85" s="6">
        <v>180</v>
      </c>
      <c r="K85" s="6">
        <v>84</v>
      </c>
      <c r="L85" s="6"/>
      <c r="M85" s="6"/>
      <c r="N85" s="6"/>
      <c r="O85" s="6"/>
      <c r="P85" s="6"/>
      <c r="Q85" s="6">
        <v>6</v>
      </c>
      <c r="R85" s="6"/>
      <c r="S85" s="6"/>
      <c r="T85" s="13"/>
      <c r="U85" s="13"/>
      <c r="V85" s="13"/>
      <c r="W85" s="13"/>
      <c r="X85" s="11">
        <v>469</v>
      </c>
      <c r="Y85" s="7" t="s">
        <v>5</v>
      </c>
      <c r="Z85" s="60">
        <v>12</v>
      </c>
      <c r="AA85" s="2">
        <f t="shared" si="11"/>
        <v>180</v>
      </c>
      <c r="AB85">
        <f t="shared" si="12"/>
        <v>2.6055555555555556</v>
      </c>
      <c r="AC85"/>
      <c r="AD85" s="280"/>
      <c r="AE85" s="229">
        <v>44518</v>
      </c>
      <c r="AF85" s="263">
        <v>0</v>
      </c>
      <c r="AG85" s="262"/>
      <c r="AH85" s="264">
        <v>0.9</v>
      </c>
      <c r="AI85" s="265">
        <f t="shared" si="13"/>
        <v>0</v>
      </c>
      <c r="AJ85" s="262"/>
      <c r="AK85" s="265">
        <f t="shared" si="14"/>
        <v>0</v>
      </c>
      <c r="AL85" s="262"/>
      <c r="AM85" s="278">
        <f t="shared" si="15"/>
        <v>0</v>
      </c>
      <c r="AN85"/>
      <c r="AO85"/>
      <c r="AP85"/>
      <c r="AQ85"/>
      <c r="AR85"/>
      <c r="AS85"/>
      <c r="AT85"/>
      <c r="AU85"/>
    </row>
    <row r="86" spans="1:47" ht="18" customHeight="1" x14ac:dyDescent="0.2">
      <c r="A86" s="1">
        <v>2006</v>
      </c>
      <c r="B86" s="6"/>
      <c r="C86" s="6"/>
      <c r="D86" s="6"/>
      <c r="E86" s="6"/>
      <c r="F86" s="6"/>
      <c r="G86" s="6"/>
      <c r="H86" s="6">
        <v>18</v>
      </c>
      <c r="I86" s="6"/>
      <c r="J86" s="6">
        <v>81</v>
      </c>
      <c r="K86" s="6"/>
      <c r="L86" s="6">
        <v>9759</v>
      </c>
      <c r="M86" s="6"/>
      <c r="N86" s="6">
        <v>1916</v>
      </c>
      <c r="O86" s="6"/>
      <c r="P86" s="6"/>
      <c r="Q86" s="6"/>
      <c r="R86" s="6"/>
      <c r="S86" s="6"/>
      <c r="T86" s="13"/>
      <c r="U86" s="13"/>
      <c r="V86" s="13"/>
      <c r="W86" s="13"/>
      <c r="X86" s="12">
        <v>13650</v>
      </c>
      <c r="Y86" s="7" t="s">
        <v>5</v>
      </c>
      <c r="Z86" s="60">
        <v>12</v>
      </c>
      <c r="AA86" s="2">
        <f t="shared" si="11"/>
        <v>9759</v>
      </c>
      <c r="AB86">
        <f t="shared" si="12"/>
        <v>1.3987088841069781</v>
      </c>
      <c r="AC86"/>
      <c r="AD86" s="290"/>
      <c r="AE86" s="229">
        <v>44519</v>
      </c>
      <c r="AF86" s="55"/>
      <c r="AG86" s="55"/>
      <c r="AH86" s="55"/>
      <c r="AI86" s="263">
        <v>0</v>
      </c>
      <c r="AJ86" s="55"/>
      <c r="AK86" s="265">
        <f t="shared" si="14"/>
        <v>0</v>
      </c>
      <c r="AL86" s="262"/>
      <c r="AM86" s="278">
        <f t="shared" si="15"/>
        <v>0</v>
      </c>
      <c r="AN86"/>
      <c r="AO86"/>
      <c r="AP86"/>
      <c r="AQ86"/>
      <c r="AR86"/>
      <c r="AS86"/>
      <c r="AT86"/>
      <c r="AU86"/>
    </row>
    <row r="87" spans="1:47" ht="18" customHeight="1" x14ac:dyDescent="0.2">
      <c r="A87" s="1">
        <v>2007</v>
      </c>
      <c r="B87" s="6"/>
      <c r="C87" s="6"/>
      <c r="D87" s="6"/>
      <c r="E87" s="6"/>
      <c r="F87" s="6"/>
      <c r="G87" s="6"/>
      <c r="H87" s="6">
        <v>46</v>
      </c>
      <c r="I87" s="6"/>
      <c r="J87" s="6">
        <v>867</v>
      </c>
      <c r="K87" s="6"/>
      <c r="L87" s="6"/>
      <c r="M87" s="6">
        <v>4658</v>
      </c>
      <c r="N87" s="6"/>
      <c r="O87" s="6"/>
      <c r="P87" s="6"/>
      <c r="Q87" s="6"/>
      <c r="R87" s="6">
        <v>5</v>
      </c>
      <c r="S87" s="6"/>
      <c r="T87" s="13"/>
      <c r="U87" s="13"/>
      <c r="V87" s="13"/>
      <c r="W87" s="13"/>
      <c r="X87" s="12">
        <v>7466</v>
      </c>
      <c r="Y87" s="7" t="s">
        <v>5</v>
      </c>
      <c r="Z87" s="60">
        <v>20</v>
      </c>
      <c r="AA87" s="2">
        <f t="shared" si="11"/>
        <v>4658</v>
      </c>
      <c r="AB87">
        <f t="shared" si="12"/>
        <v>1.6028338342636324</v>
      </c>
      <c r="AC87"/>
      <c r="AD87" s="275" t="s">
        <v>128</v>
      </c>
      <c r="AE87" s="229"/>
      <c r="AF87" s="176"/>
      <c r="AG87" s="262"/>
      <c r="AH87" s="177"/>
      <c r="AI87" s="178">
        <v>0</v>
      </c>
      <c r="AJ87" s="179"/>
      <c r="AK87" s="265">
        <f t="shared" si="14"/>
        <v>0</v>
      </c>
      <c r="AL87" s="262"/>
      <c r="AM87" s="278">
        <f t="shared" si="15"/>
        <v>0</v>
      </c>
      <c r="AN87"/>
      <c r="AO87"/>
      <c r="AP87"/>
      <c r="AQ87"/>
      <c r="AR87"/>
      <c r="AS87"/>
      <c r="AT87"/>
      <c r="AU87"/>
    </row>
    <row r="88" spans="1:47" s="55" customFormat="1" ht="18" customHeight="1" x14ac:dyDescent="0.2">
      <c r="A88" s="13">
        <v>2008</v>
      </c>
      <c r="B88" s="13"/>
      <c r="C88" s="13"/>
      <c r="D88" s="13"/>
      <c r="E88" s="13"/>
      <c r="F88" s="13"/>
      <c r="G88" s="13">
        <v>12</v>
      </c>
      <c r="H88" s="13"/>
      <c r="I88" s="13"/>
      <c r="J88" s="13">
        <v>133</v>
      </c>
      <c r="K88" s="13"/>
      <c r="L88" s="13"/>
      <c r="M88" s="13"/>
      <c r="N88" s="13">
        <v>2137</v>
      </c>
      <c r="O88" s="13"/>
      <c r="P88" s="13"/>
      <c r="Q88" s="13">
        <v>7</v>
      </c>
      <c r="R88" s="13"/>
      <c r="S88" s="13"/>
      <c r="T88" s="13"/>
      <c r="U88" s="13"/>
      <c r="V88" s="13"/>
      <c r="W88" s="13"/>
      <c r="X88" s="13">
        <v>3661</v>
      </c>
      <c r="Y88" s="7" t="s">
        <v>5</v>
      </c>
      <c r="Z88" s="58">
        <v>15</v>
      </c>
      <c r="AA88" s="2">
        <f t="shared" si="11"/>
        <v>2137</v>
      </c>
      <c r="AB88">
        <f t="shared" si="12"/>
        <v>1.7131492746841366</v>
      </c>
      <c r="AC88"/>
      <c r="AD88" s="275" t="s">
        <v>2</v>
      </c>
      <c r="AE88" s="167">
        <v>7</v>
      </c>
      <c r="AF88" s="167"/>
      <c r="AG88" s="167"/>
      <c r="AH88" s="262"/>
      <c r="AI88" s="262"/>
      <c r="AJ88" s="262"/>
      <c r="AK88" s="262"/>
      <c r="AL88" s="262"/>
      <c r="AM88" s="277"/>
      <c r="AN88"/>
      <c r="AO88"/>
      <c r="AP88"/>
      <c r="AQ88"/>
      <c r="AR88"/>
      <c r="AS88"/>
      <c r="AT88"/>
      <c r="AU88"/>
    </row>
    <row r="89" spans="1:47" ht="18" customHeight="1" x14ac:dyDescent="0.2">
      <c r="A89" s="13">
        <v>2009</v>
      </c>
      <c r="B89" s="13"/>
      <c r="C89" s="13"/>
      <c r="D89" s="13"/>
      <c r="E89" s="13"/>
      <c r="F89" s="13"/>
      <c r="G89" s="13"/>
      <c r="H89" s="13"/>
      <c r="I89" s="13">
        <v>77</v>
      </c>
      <c r="J89" s="13">
        <v>173</v>
      </c>
      <c r="K89" s="13"/>
      <c r="L89" s="13">
        <v>293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>
        <v>660</v>
      </c>
      <c r="Y89" s="7" t="s">
        <v>5</v>
      </c>
      <c r="Z89" s="58">
        <v>20</v>
      </c>
      <c r="AA89" s="2">
        <f t="shared" si="11"/>
        <v>293</v>
      </c>
      <c r="AB89">
        <f t="shared" si="12"/>
        <v>2.2525597269624575</v>
      </c>
      <c r="AC89"/>
      <c r="AD89" s="275" t="s">
        <v>129</v>
      </c>
      <c r="AE89" s="167"/>
      <c r="AF89" s="167">
        <f>MAX(AF77:AF87)</f>
        <v>873</v>
      </c>
      <c r="AG89" s="167"/>
      <c r="AH89" s="167"/>
      <c r="AI89" s="167">
        <f>MAX(AI77:AI87)</f>
        <v>970</v>
      </c>
      <c r="AJ89" s="167"/>
      <c r="AK89" s="167"/>
      <c r="AL89" s="262"/>
      <c r="AM89" s="277"/>
      <c r="AN89"/>
      <c r="AO89"/>
      <c r="AP89"/>
      <c r="AQ89"/>
      <c r="AR89"/>
      <c r="AS89"/>
      <c r="AT89"/>
      <c r="AU89"/>
    </row>
    <row r="90" spans="1:47" ht="18" customHeight="1" x14ac:dyDescent="0.2">
      <c r="A90" s="13">
        <v>2010</v>
      </c>
      <c r="B90" s="13"/>
      <c r="C90" s="13"/>
      <c r="D90" s="13"/>
      <c r="E90" s="13"/>
      <c r="F90" s="13"/>
      <c r="G90" s="13">
        <v>6</v>
      </c>
      <c r="H90" s="13"/>
      <c r="I90" s="13"/>
      <c r="J90" s="13">
        <v>210</v>
      </c>
      <c r="K90" s="13"/>
      <c r="L90" s="13"/>
      <c r="M90" s="13">
        <v>23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>
        <v>555</v>
      </c>
      <c r="Y90" s="7"/>
      <c r="Z90" s="58"/>
      <c r="AA90" s="2">
        <f t="shared" si="11"/>
        <v>210</v>
      </c>
      <c r="AB90">
        <f t="shared" si="12"/>
        <v>2.6428571428571428</v>
      </c>
      <c r="AC90"/>
      <c r="AD90" s="275" t="s">
        <v>130</v>
      </c>
      <c r="AE90" s="167"/>
      <c r="AF90" s="263">
        <v>15</v>
      </c>
      <c r="AG90" s="167"/>
      <c r="AH90" s="262"/>
      <c r="AI90" s="263">
        <v>15</v>
      </c>
      <c r="AJ90" s="266"/>
      <c r="AK90" s="266"/>
      <c r="AL90" s="262"/>
      <c r="AM90" s="277"/>
      <c r="AN90"/>
      <c r="AO90"/>
      <c r="AP90"/>
      <c r="AQ90"/>
      <c r="AR90"/>
      <c r="AS90"/>
      <c r="AT90"/>
      <c r="AU90"/>
    </row>
    <row r="91" spans="1:47" ht="18" customHeight="1" x14ac:dyDescent="0.2">
      <c r="A91" s="13">
        <v>2011</v>
      </c>
      <c r="B91" s="13"/>
      <c r="C91" s="13"/>
      <c r="D91" s="13"/>
      <c r="E91" s="13"/>
      <c r="F91" s="13"/>
      <c r="G91" s="13"/>
      <c r="H91" s="13">
        <v>62</v>
      </c>
      <c r="I91" s="13"/>
      <c r="J91" s="13"/>
      <c r="K91" s="13">
        <v>2026</v>
      </c>
      <c r="L91" s="13"/>
      <c r="M91" s="13">
        <v>5943</v>
      </c>
      <c r="N91" s="13"/>
      <c r="O91" s="13">
        <v>1311</v>
      </c>
      <c r="P91" s="13">
        <v>127</v>
      </c>
      <c r="Q91" s="13"/>
      <c r="R91" s="13"/>
      <c r="S91" s="13"/>
      <c r="T91" s="13"/>
      <c r="U91" s="13">
        <v>0</v>
      </c>
      <c r="V91" s="13"/>
      <c r="W91" s="13"/>
      <c r="X91" s="13">
        <v>8427</v>
      </c>
      <c r="Y91" s="7" t="s">
        <v>5</v>
      </c>
      <c r="Z91" s="58">
        <v>16</v>
      </c>
      <c r="AA91" s="2">
        <f t="shared" si="11"/>
        <v>5943</v>
      </c>
      <c r="AB91">
        <f t="shared" si="12"/>
        <v>1.4179707218576476</v>
      </c>
      <c r="AC91"/>
      <c r="AD91" s="275" t="s">
        <v>131</v>
      </c>
      <c r="AE91" s="167"/>
      <c r="AF91" s="267">
        <f>(0.5*SUM(AK78:AK87))/AF90</f>
        <v>1588.5</v>
      </c>
      <c r="AG91" s="167"/>
      <c r="AH91" s="262"/>
      <c r="AI91" s="267">
        <f>(0.5*SUM(AM78:AM87))/AI90</f>
        <v>1765</v>
      </c>
      <c r="AJ91" s="266"/>
      <c r="AK91" s="266"/>
      <c r="AL91" s="262"/>
      <c r="AM91" s="277"/>
      <c r="AN91"/>
      <c r="AO91"/>
      <c r="AP91"/>
      <c r="AQ91"/>
      <c r="AR91"/>
      <c r="AS91"/>
      <c r="AT91"/>
      <c r="AU91"/>
    </row>
    <row r="92" spans="1:47" ht="18" customHeight="1" thickBot="1" x14ac:dyDescent="0.25">
      <c r="A92" s="13">
        <v>2012</v>
      </c>
      <c r="B92" s="13"/>
      <c r="C92" s="13"/>
      <c r="D92" s="13"/>
      <c r="E92" s="13"/>
      <c r="F92" s="13"/>
      <c r="G92" s="13"/>
      <c r="H92" s="13">
        <v>3</v>
      </c>
      <c r="I92" s="13"/>
      <c r="J92" s="13">
        <v>20</v>
      </c>
      <c r="K92" s="13"/>
      <c r="L92" s="13">
        <v>729</v>
      </c>
      <c r="M92" s="13"/>
      <c r="N92" s="13">
        <v>1411</v>
      </c>
      <c r="O92" s="13"/>
      <c r="P92" s="13"/>
      <c r="Q92" s="13"/>
      <c r="R92" s="13"/>
      <c r="S92" s="13"/>
      <c r="T92" s="13"/>
      <c r="U92" s="13"/>
      <c r="V92" s="13"/>
      <c r="W92" s="13"/>
      <c r="X92" s="13">
        <v>2369</v>
      </c>
      <c r="Y92" s="7" t="s">
        <v>9</v>
      </c>
      <c r="Z92" s="58"/>
      <c r="AA92" s="2">
        <f t="shared" si="11"/>
        <v>1411</v>
      </c>
      <c r="AB92">
        <f t="shared" si="12"/>
        <v>1.6789510985116938</v>
      </c>
      <c r="AC92"/>
      <c r="AD92" s="291"/>
      <c r="AE92" s="286"/>
      <c r="AF92" s="286"/>
      <c r="AG92" s="286"/>
      <c r="AH92" s="286"/>
      <c r="AI92" s="286"/>
      <c r="AJ92" s="286"/>
      <c r="AK92" s="286"/>
      <c r="AL92" s="286"/>
      <c r="AM92" s="288"/>
      <c r="AN92"/>
      <c r="AO92"/>
      <c r="AP92"/>
      <c r="AQ92"/>
      <c r="AR92"/>
      <c r="AS92"/>
      <c r="AT92"/>
      <c r="AU92"/>
    </row>
    <row r="93" spans="1:47" ht="18" customHeight="1" x14ac:dyDescent="0.2">
      <c r="A93" s="13">
        <v>2013</v>
      </c>
      <c r="B93" s="13"/>
      <c r="C93" s="13"/>
      <c r="D93" s="13"/>
      <c r="E93" s="13"/>
      <c r="F93" s="13"/>
      <c r="G93" s="13">
        <v>0</v>
      </c>
      <c r="H93" s="13">
        <v>0</v>
      </c>
      <c r="I93" s="13">
        <v>494</v>
      </c>
      <c r="J93" s="13">
        <v>323</v>
      </c>
      <c r="K93" s="13">
        <v>980</v>
      </c>
      <c r="L93" s="13">
        <v>1730</v>
      </c>
      <c r="M93" s="13"/>
      <c r="N93" s="13">
        <v>6610</v>
      </c>
      <c r="O93" s="13"/>
      <c r="P93" s="13"/>
      <c r="Q93" s="13"/>
      <c r="R93" s="13"/>
      <c r="S93" s="13"/>
      <c r="T93" s="13"/>
      <c r="U93" s="13"/>
      <c r="V93" s="13"/>
      <c r="W93" s="13"/>
      <c r="X93" s="147">
        <v>11130</v>
      </c>
      <c r="Y93" s="7" t="s">
        <v>5</v>
      </c>
      <c r="Z93" s="58">
        <v>20</v>
      </c>
      <c r="AA93" s="2">
        <f t="shared" si="11"/>
        <v>6610</v>
      </c>
      <c r="AB93">
        <f t="shared" si="12"/>
        <v>1.6838124054462935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ht="18" customHeight="1" x14ac:dyDescent="0.2">
      <c r="A94" s="13">
        <v>2014</v>
      </c>
      <c r="B94" s="13"/>
      <c r="C94" s="13"/>
      <c r="D94" s="13"/>
      <c r="E94" s="13"/>
      <c r="F94" s="13">
        <v>0</v>
      </c>
      <c r="G94" s="13">
        <v>0</v>
      </c>
      <c r="H94" s="13"/>
      <c r="I94" s="13">
        <v>234</v>
      </c>
      <c r="J94" s="13">
        <v>880</v>
      </c>
      <c r="K94" s="13">
        <v>2248</v>
      </c>
      <c r="L94" s="13"/>
      <c r="M94" s="13"/>
      <c r="N94" s="13"/>
      <c r="O94" s="13"/>
      <c r="P94" s="13"/>
      <c r="Q94" s="13">
        <v>66</v>
      </c>
      <c r="R94" s="13"/>
      <c r="S94" s="13"/>
      <c r="T94" s="13"/>
      <c r="U94" s="13"/>
      <c r="V94" s="13"/>
      <c r="W94" s="13"/>
      <c r="X94" s="147">
        <v>4706</v>
      </c>
      <c r="Y94" s="7" t="s">
        <v>5</v>
      </c>
      <c r="Z94" s="58">
        <v>15</v>
      </c>
      <c r="AA94" s="2">
        <f t="shared" si="11"/>
        <v>2248</v>
      </c>
      <c r="AB94">
        <f t="shared" si="12"/>
        <v>2.0934163701067616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ht="18" customHeight="1" x14ac:dyDescent="0.2">
      <c r="A95" s="13">
        <v>2015</v>
      </c>
      <c r="B95" s="13"/>
      <c r="C95" s="13"/>
      <c r="D95" s="13"/>
      <c r="E95" s="13"/>
      <c r="F95" s="13">
        <v>6</v>
      </c>
      <c r="G95" s="13">
        <v>63</v>
      </c>
      <c r="H95" s="13">
        <v>55</v>
      </c>
      <c r="I95" s="13"/>
      <c r="J95" s="13">
        <v>1599</v>
      </c>
      <c r="K95" s="13">
        <v>972</v>
      </c>
      <c r="L95" s="13">
        <v>4076</v>
      </c>
      <c r="M95" s="13">
        <v>1218</v>
      </c>
      <c r="N95" s="13"/>
      <c r="O95" s="13">
        <v>195</v>
      </c>
      <c r="P95" s="13"/>
      <c r="Q95" s="13"/>
      <c r="R95" s="13"/>
      <c r="S95" s="13"/>
      <c r="T95" s="13"/>
      <c r="U95" s="13"/>
      <c r="V95" s="13"/>
      <c r="W95" s="13"/>
      <c r="X95" s="147">
        <v>5622</v>
      </c>
      <c r="Y95" s="7" t="s">
        <v>5</v>
      </c>
      <c r="Z95" s="58">
        <v>15</v>
      </c>
      <c r="AA95" s="2">
        <f t="shared" si="11"/>
        <v>4076</v>
      </c>
      <c r="AB95">
        <f t="shared" si="12"/>
        <v>1.3792934249263984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ht="18" customHeight="1" x14ac:dyDescent="0.2">
      <c r="A96" s="13">
        <v>2016</v>
      </c>
      <c r="B96" s="13"/>
      <c r="C96" s="13"/>
      <c r="D96" s="13"/>
      <c r="E96" s="13"/>
      <c r="F96" s="13"/>
      <c r="G96" s="109">
        <v>11</v>
      </c>
      <c r="H96" s="13"/>
      <c r="I96" s="13"/>
      <c r="J96" s="590">
        <v>720</v>
      </c>
      <c r="K96" s="155">
        <v>757</v>
      </c>
      <c r="L96" s="13"/>
      <c r="M96" s="13"/>
      <c r="N96" s="13"/>
      <c r="O96" s="155">
        <v>1017</v>
      </c>
      <c r="P96" s="13"/>
      <c r="Q96" s="13"/>
      <c r="R96" s="13"/>
      <c r="S96" s="13"/>
      <c r="T96" s="13"/>
      <c r="U96" s="13"/>
      <c r="V96" s="13"/>
      <c r="W96" s="13"/>
      <c r="X96" s="147">
        <v>3441</v>
      </c>
      <c r="Y96" s="7"/>
      <c r="Z96" s="58">
        <v>15</v>
      </c>
      <c r="AA96" s="2">
        <f t="shared" si="11"/>
        <v>1017</v>
      </c>
      <c r="AB96">
        <f t="shared" si="12"/>
        <v>3.3834808259587019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ht="18" customHeight="1" x14ac:dyDescent="0.2">
      <c r="A97" s="13">
        <v>2017</v>
      </c>
      <c r="B97" s="13"/>
      <c r="C97" s="13"/>
      <c r="D97" s="13"/>
      <c r="E97" s="13"/>
      <c r="F97" s="109">
        <v>2</v>
      </c>
      <c r="G97" s="13"/>
      <c r="H97" s="590">
        <v>192</v>
      </c>
      <c r="I97" s="590">
        <v>495</v>
      </c>
      <c r="J97" s="590">
        <v>887</v>
      </c>
      <c r="K97" s="590">
        <v>1875</v>
      </c>
      <c r="L97" s="13"/>
      <c r="M97" s="512">
        <v>578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47">
        <v>3153</v>
      </c>
      <c r="Y97" s="7"/>
      <c r="Z97" s="58">
        <v>15</v>
      </c>
      <c r="AA97" s="2">
        <f t="shared" si="11"/>
        <v>1875</v>
      </c>
      <c r="AB97">
        <f t="shared" si="12"/>
        <v>1.6816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ht="18" customHeight="1" x14ac:dyDescent="0.2">
      <c r="A98" s="13">
        <v>2018</v>
      </c>
      <c r="B98" s="13"/>
      <c r="C98" s="13"/>
      <c r="D98" s="13"/>
      <c r="E98" s="13"/>
      <c r="F98" s="437">
        <v>0</v>
      </c>
      <c r="G98" s="1"/>
      <c r="H98" s="1"/>
      <c r="I98" s="437">
        <v>10</v>
      </c>
      <c r="J98" s="590">
        <v>324</v>
      </c>
      <c r="K98" s="155">
        <v>342</v>
      </c>
      <c r="L98" s="13"/>
      <c r="M98" s="155">
        <v>1470</v>
      </c>
      <c r="N98" s="13"/>
      <c r="O98" s="155">
        <v>174</v>
      </c>
      <c r="P98" s="13"/>
      <c r="Q98" s="13"/>
      <c r="R98" s="13"/>
      <c r="S98" s="13"/>
      <c r="T98" s="13"/>
      <c r="U98" s="13"/>
      <c r="V98" s="13"/>
      <c r="W98" s="13"/>
      <c r="X98" s="147">
        <v>2327</v>
      </c>
      <c r="Y98" s="7"/>
      <c r="Z98" s="58">
        <v>15</v>
      </c>
      <c r="AA98" s="2">
        <f>MAX(B98:W98)</f>
        <v>1470</v>
      </c>
      <c r="AB98">
        <f>X98/MAX(B98:W98)</f>
        <v>1.5829931972789115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ht="18" customHeight="1" x14ac:dyDescent="0.2">
      <c r="A99" s="13">
        <v>2019</v>
      </c>
      <c r="B99" s="13"/>
      <c r="C99" s="13"/>
      <c r="D99" s="13"/>
      <c r="E99" s="13"/>
      <c r="F99" s="109">
        <v>5</v>
      </c>
      <c r="G99" s="447">
        <v>0</v>
      </c>
      <c r="H99" s="109">
        <v>70</v>
      </c>
      <c r="I99" s="338">
        <v>245</v>
      </c>
      <c r="J99" s="590">
        <v>378</v>
      </c>
      <c r="K99" s="590">
        <v>1386</v>
      </c>
      <c r="L99" s="13"/>
      <c r="M99" s="13"/>
      <c r="N99" s="155">
        <v>1921</v>
      </c>
      <c r="O99" s="13"/>
      <c r="P99" s="13"/>
      <c r="Q99" s="13"/>
      <c r="R99" s="13"/>
      <c r="S99" s="13"/>
      <c r="T99" s="13"/>
      <c r="U99" s="13"/>
      <c r="V99" s="13"/>
      <c r="W99" s="13"/>
      <c r="X99" s="147">
        <v>3992</v>
      </c>
      <c r="Y99" s="7"/>
      <c r="Z99" s="58">
        <v>25</v>
      </c>
      <c r="AA99" s="2">
        <f>MAX(B99:W99)</f>
        <v>1921</v>
      </c>
      <c r="AB99">
        <f>X99/MAX(B99:W99)</f>
        <v>2.0780843310775636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ht="18" customHeight="1" x14ac:dyDescent="0.2">
      <c r="A100" s="13">
        <v>2020</v>
      </c>
      <c r="B100" s="13"/>
      <c r="C100" s="13"/>
      <c r="D100" s="13"/>
      <c r="E100" s="13"/>
      <c r="F100" s="13"/>
      <c r="G100" s="109">
        <v>1</v>
      </c>
      <c r="H100" s="109">
        <v>15</v>
      </c>
      <c r="I100" s="13"/>
      <c r="J100" s="13"/>
      <c r="K100" s="109">
        <v>477</v>
      </c>
      <c r="L100" s="155">
        <v>989</v>
      </c>
      <c r="M100" s="155">
        <v>2246</v>
      </c>
      <c r="N100" s="13"/>
      <c r="O100" s="155">
        <v>122</v>
      </c>
      <c r="P100" s="13"/>
      <c r="Q100" s="13"/>
      <c r="R100" s="13"/>
      <c r="S100" s="13"/>
      <c r="T100" s="13"/>
      <c r="U100" s="13"/>
      <c r="V100" s="13"/>
      <c r="W100" s="13"/>
      <c r="X100" s="147">
        <v>3687</v>
      </c>
      <c r="Y100" s="7"/>
      <c r="Z100" s="58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s="150" customFormat="1" ht="18" customHeight="1" x14ac:dyDescent="0.2">
      <c r="A101" s="89">
        <v>2021</v>
      </c>
      <c r="B101" s="89"/>
      <c r="C101" s="89"/>
      <c r="D101" s="89"/>
      <c r="E101" s="89"/>
      <c r="F101" s="89"/>
      <c r="G101" s="109">
        <v>2</v>
      </c>
      <c r="H101" s="109">
        <v>6</v>
      </c>
      <c r="I101" s="89"/>
      <c r="J101" s="89"/>
      <c r="K101" s="155">
        <v>406</v>
      </c>
      <c r="L101" s="737"/>
      <c r="M101" s="155">
        <v>888</v>
      </c>
      <c r="N101" s="89"/>
      <c r="O101" s="737"/>
      <c r="P101" s="89"/>
      <c r="Q101" s="89"/>
      <c r="R101" s="89"/>
      <c r="S101" s="89"/>
      <c r="T101" s="89"/>
      <c r="U101" s="89"/>
      <c r="V101" s="89"/>
      <c r="W101" s="89"/>
      <c r="X101" s="753">
        <v>2042</v>
      </c>
      <c r="Y101" s="11"/>
      <c r="Z101" s="92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</row>
    <row r="102" spans="1:47" s="150" customFormat="1" ht="18" customHeight="1" x14ac:dyDescent="0.2">
      <c r="A102" s="89">
        <v>2022</v>
      </c>
      <c r="B102" s="89"/>
      <c r="C102" s="89"/>
      <c r="D102" s="89"/>
      <c r="E102" s="89"/>
      <c r="F102" s="89"/>
      <c r="G102" s="109">
        <v>0</v>
      </c>
      <c r="H102" s="89"/>
      <c r="I102" s="89"/>
      <c r="J102" s="89"/>
      <c r="K102" s="737"/>
      <c r="L102" s="155">
        <v>27</v>
      </c>
      <c r="M102" s="737"/>
      <c r="N102" s="89"/>
      <c r="O102" s="737"/>
      <c r="P102" s="155">
        <v>5</v>
      </c>
      <c r="Q102" s="89"/>
      <c r="R102" s="89"/>
      <c r="S102" s="89"/>
      <c r="T102" s="89"/>
      <c r="U102" s="89"/>
      <c r="V102" s="89"/>
      <c r="W102" s="89"/>
      <c r="X102" s="753"/>
      <c r="Y102" s="11"/>
      <c r="Z102" s="92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</row>
    <row r="103" spans="1:47" s="150" customFormat="1" ht="18" customHeight="1" x14ac:dyDescent="0.2">
      <c r="A103" s="89">
        <v>2023</v>
      </c>
      <c r="B103" s="89"/>
      <c r="C103" s="89"/>
      <c r="D103" s="89"/>
      <c r="E103" s="89"/>
      <c r="F103" s="109">
        <v>0</v>
      </c>
      <c r="G103" s="89"/>
      <c r="H103" s="109">
        <v>0</v>
      </c>
      <c r="I103" s="89"/>
      <c r="J103" s="89"/>
      <c r="K103" s="89"/>
      <c r="L103" s="89"/>
      <c r="M103" s="155">
        <v>2330</v>
      </c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753"/>
      <c r="Y103" s="11"/>
      <c r="Z103" s="92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</row>
    <row r="104" spans="1:47" ht="18" customHeight="1" x14ac:dyDescent="0.2">
      <c r="A104" s="64" t="s">
        <v>17</v>
      </c>
      <c r="B104" s="16"/>
      <c r="C104" s="16"/>
      <c r="D104" s="16">
        <f t="shared" ref="D104:T104" si="16">AVERAGE(D75:D89)</f>
        <v>0</v>
      </c>
      <c r="E104" s="16"/>
      <c r="F104" s="16">
        <f t="shared" si="16"/>
        <v>0.5</v>
      </c>
      <c r="G104" s="16">
        <f t="shared" si="16"/>
        <v>4</v>
      </c>
      <c r="H104" s="16">
        <f t="shared" si="16"/>
        <v>26</v>
      </c>
      <c r="I104" s="16">
        <f t="shared" si="16"/>
        <v>204</v>
      </c>
      <c r="J104" s="16">
        <f t="shared" si="16"/>
        <v>227.5</v>
      </c>
      <c r="K104" s="16">
        <f t="shared" si="16"/>
        <v>547.83333333333337</v>
      </c>
      <c r="L104" s="16">
        <f t="shared" si="16"/>
        <v>2770.8571428571427</v>
      </c>
      <c r="M104" s="16">
        <f t="shared" si="16"/>
        <v>4028.6</v>
      </c>
      <c r="N104" s="16">
        <f t="shared" si="16"/>
        <v>2529.6666666666665</v>
      </c>
      <c r="O104" s="16">
        <f t="shared" si="16"/>
        <v>2373</v>
      </c>
      <c r="P104" s="16">
        <f t="shared" si="16"/>
        <v>283</v>
      </c>
      <c r="Q104" s="16">
        <f t="shared" si="16"/>
        <v>47</v>
      </c>
      <c r="R104" s="16">
        <f t="shared" si="16"/>
        <v>4</v>
      </c>
      <c r="S104" s="16">
        <f t="shared" si="16"/>
        <v>2</v>
      </c>
      <c r="T104" s="16">
        <f t="shared" si="16"/>
        <v>0</v>
      </c>
      <c r="U104" s="16"/>
      <c r="V104" s="16"/>
      <c r="W104" s="16"/>
      <c r="X104" s="16">
        <f>AVERAGE(X75:X89)</f>
        <v>4983</v>
      </c>
      <c r="Y104" s="17"/>
      <c r="Z104" s="16">
        <f>AVERAGE(Z75:Z89)</f>
        <v>15.071428571428571</v>
      </c>
    </row>
    <row r="105" spans="1:47" x14ac:dyDescent="0.2">
      <c r="Z105" s="292" t="s">
        <v>187</v>
      </c>
    </row>
  </sheetData>
  <mergeCells count="17">
    <mergeCell ref="A1:I1"/>
    <mergeCell ref="B3:W3"/>
    <mergeCell ref="X3:X4"/>
    <mergeCell ref="A36:I36"/>
    <mergeCell ref="A3:A4"/>
    <mergeCell ref="Z3:Z4"/>
    <mergeCell ref="Y38:Y39"/>
    <mergeCell ref="Z38:Z39"/>
    <mergeCell ref="A38:A39"/>
    <mergeCell ref="B38:W38"/>
    <mergeCell ref="Y3:Y4"/>
    <mergeCell ref="X38:X39"/>
    <mergeCell ref="Z73:Z74"/>
    <mergeCell ref="Y73:Y74"/>
    <mergeCell ref="A71:I71"/>
    <mergeCell ref="B73:W73"/>
    <mergeCell ref="X73:X74"/>
  </mergeCells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AE56"/>
  <sheetViews>
    <sheetView topLeftCell="A34" zoomScale="85" zoomScaleNormal="85" workbookViewId="0">
      <selection activeCell="J56" sqref="J56"/>
    </sheetView>
  </sheetViews>
  <sheetFormatPr defaultRowHeight="12.75" x14ac:dyDescent="0.2"/>
  <cols>
    <col min="2" max="9" width="5.42578125" customWidth="1"/>
    <col min="10" max="10" width="7" bestFit="1" customWidth="1"/>
    <col min="11" max="23" width="5.42578125" customWidth="1"/>
    <col min="24" max="24" width="9" customWidth="1"/>
    <col min="25" max="25" width="9.85546875" customWidth="1"/>
    <col min="26" max="26" width="10.28515625" customWidth="1"/>
    <col min="27" max="27" width="12.140625" bestFit="1" customWidth="1"/>
  </cols>
  <sheetData>
    <row r="1" spans="1:28" x14ac:dyDescent="0.2">
      <c r="A1" s="1002" t="s">
        <v>637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56"/>
      <c r="AA1" s="2"/>
    </row>
    <row r="2" spans="1:28" ht="13.5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Y2" s="2"/>
      <c r="Z2" s="56"/>
      <c r="AA2" s="2"/>
    </row>
    <row r="3" spans="1:28" ht="13.5" thickTop="1" x14ac:dyDescent="0.2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A3" s="2"/>
    </row>
    <row r="4" spans="1:28" x14ac:dyDescent="0.2">
      <c r="A4" s="1005"/>
      <c r="B4" s="320">
        <v>81</v>
      </c>
      <c r="C4" s="320">
        <v>82</v>
      </c>
      <c r="D4" s="320">
        <v>83</v>
      </c>
      <c r="E4" s="320">
        <v>84</v>
      </c>
      <c r="F4" s="320">
        <v>91</v>
      </c>
      <c r="G4" s="320">
        <v>92</v>
      </c>
      <c r="H4" s="320">
        <v>93</v>
      </c>
      <c r="I4" s="320">
        <v>94</v>
      </c>
      <c r="J4" s="320">
        <v>101</v>
      </c>
      <c r="K4" s="320">
        <v>102</v>
      </c>
      <c r="L4" s="18">
        <v>103</v>
      </c>
      <c r="M4" s="18">
        <v>104</v>
      </c>
      <c r="N4" s="18">
        <v>105</v>
      </c>
      <c r="O4" s="18">
        <v>111</v>
      </c>
      <c r="P4" s="18">
        <v>112</v>
      </c>
      <c r="Q4" s="18">
        <v>113</v>
      </c>
      <c r="R4" s="18">
        <v>114</v>
      </c>
      <c r="S4" s="18">
        <v>115</v>
      </c>
      <c r="T4" s="18">
        <v>121</v>
      </c>
      <c r="U4" s="320">
        <v>122</v>
      </c>
      <c r="V4" s="320">
        <v>123</v>
      </c>
      <c r="W4" s="320">
        <v>124</v>
      </c>
      <c r="X4" s="1005"/>
      <c r="Y4" s="1011"/>
      <c r="Z4" s="1009"/>
      <c r="AA4" s="68" t="s">
        <v>44</v>
      </c>
      <c r="AB4" t="s">
        <v>142</v>
      </c>
    </row>
    <row r="5" spans="1:28" x14ac:dyDescent="0.2">
      <c r="A5" s="1">
        <v>2011</v>
      </c>
      <c r="B5" s="6"/>
      <c r="C5" s="6"/>
      <c r="D5" s="6"/>
      <c r="E5" s="6"/>
      <c r="F5" s="6"/>
      <c r="G5" s="6"/>
      <c r="H5" s="6"/>
      <c r="I5" s="6"/>
      <c r="J5" s="6"/>
      <c r="K5" s="6"/>
      <c r="L5" s="325">
        <v>10</v>
      </c>
      <c r="M5" s="325">
        <v>6</v>
      </c>
      <c r="N5" s="201"/>
      <c r="O5" s="325">
        <v>3</v>
      </c>
      <c r="P5" s="325">
        <v>0</v>
      </c>
      <c r="Q5" s="201"/>
      <c r="R5" s="201"/>
      <c r="S5" s="201"/>
      <c r="T5" s="325">
        <v>2</v>
      </c>
      <c r="U5" s="1"/>
      <c r="V5" s="1"/>
      <c r="W5" s="1"/>
      <c r="X5" s="7">
        <v>20</v>
      </c>
      <c r="Y5" s="7"/>
      <c r="Z5" s="10">
        <v>20</v>
      </c>
      <c r="AA5" s="8"/>
      <c r="AB5">
        <f>X5/MAX(B5:W5)</f>
        <v>2</v>
      </c>
    </row>
    <row r="6" spans="1:28" x14ac:dyDescent="0.2">
      <c r="A6" s="7">
        <v>2012</v>
      </c>
      <c r="B6" s="7"/>
      <c r="C6" s="7"/>
      <c r="D6" s="7"/>
      <c r="E6" s="7"/>
      <c r="F6" s="7"/>
      <c r="G6" s="7"/>
      <c r="H6" s="7"/>
      <c r="I6" s="7"/>
      <c r="J6" s="7"/>
      <c r="K6" s="325">
        <v>13</v>
      </c>
      <c r="L6" s="7"/>
      <c r="M6" s="325">
        <v>26</v>
      </c>
      <c r="N6" s="325">
        <v>2</v>
      </c>
      <c r="O6" s="325">
        <v>6</v>
      </c>
      <c r="P6" s="325">
        <v>0</v>
      </c>
      <c r="Q6" s="325">
        <v>0</v>
      </c>
      <c r="R6" s="325">
        <v>0</v>
      </c>
      <c r="S6" s="325">
        <v>0</v>
      </c>
      <c r="T6" s="7"/>
      <c r="U6" s="7"/>
      <c r="V6" s="7"/>
      <c r="W6" s="7"/>
      <c r="X6" s="7">
        <v>41</v>
      </c>
      <c r="Y6" s="7"/>
      <c r="Z6" s="7">
        <v>20</v>
      </c>
    </row>
    <row r="7" spans="1:28" x14ac:dyDescent="0.2">
      <c r="A7" s="7">
        <v>2013</v>
      </c>
      <c r="B7" s="7"/>
      <c r="C7" s="7"/>
      <c r="D7" s="7"/>
      <c r="E7" s="7"/>
      <c r="F7" s="7"/>
      <c r="G7" s="7"/>
      <c r="H7" s="7"/>
      <c r="I7" s="7"/>
      <c r="J7" s="7"/>
      <c r="K7" s="325">
        <v>11</v>
      </c>
      <c r="L7" s="325">
        <v>10</v>
      </c>
      <c r="M7" s="325">
        <v>6</v>
      </c>
      <c r="N7" s="325">
        <v>2</v>
      </c>
      <c r="O7" s="7"/>
      <c r="P7" s="325">
        <v>1</v>
      </c>
      <c r="Q7" s="325">
        <v>0</v>
      </c>
      <c r="R7" s="7"/>
      <c r="S7" s="325">
        <v>0</v>
      </c>
      <c r="T7" s="7"/>
      <c r="U7" s="7"/>
      <c r="V7" s="7"/>
      <c r="W7" s="7"/>
      <c r="X7" s="7">
        <v>13</v>
      </c>
      <c r="Y7" s="7"/>
      <c r="Z7" s="7">
        <v>20</v>
      </c>
    </row>
    <row r="8" spans="1:28" x14ac:dyDescent="0.2">
      <c r="A8" s="7">
        <v>2014</v>
      </c>
      <c r="B8" s="7"/>
      <c r="C8" s="7"/>
      <c r="D8" s="7"/>
      <c r="E8" s="7"/>
      <c r="F8" s="7"/>
      <c r="G8" s="7"/>
      <c r="H8" s="7"/>
      <c r="I8" s="7"/>
      <c r="J8" s="328">
        <v>5</v>
      </c>
      <c r="K8" s="325">
        <v>6</v>
      </c>
      <c r="L8" s="7"/>
      <c r="M8" s="325">
        <v>3</v>
      </c>
      <c r="N8" s="7"/>
      <c r="O8" s="7"/>
      <c r="P8" s="325">
        <v>0</v>
      </c>
      <c r="Q8" s="325">
        <v>0</v>
      </c>
      <c r="R8" s="7"/>
      <c r="S8" s="325">
        <v>0</v>
      </c>
      <c r="T8" s="7"/>
      <c r="U8" s="7"/>
      <c r="V8" s="7"/>
      <c r="W8" s="7"/>
      <c r="X8" s="7">
        <v>7</v>
      </c>
      <c r="Y8" s="7" t="s">
        <v>9</v>
      </c>
      <c r="Z8" s="7">
        <v>20</v>
      </c>
    </row>
    <row r="9" spans="1:28" x14ac:dyDescent="0.2">
      <c r="A9" s="7">
        <v>2015</v>
      </c>
      <c r="B9" s="7"/>
      <c r="C9" s="7"/>
      <c r="D9" s="7"/>
      <c r="E9" s="7"/>
      <c r="F9" s="7"/>
      <c r="G9" s="7"/>
      <c r="H9" s="325">
        <v>11</v>
      </c>
      <c r="I9" s="7"/>
      <c r="J9" s="325">
        <v>7</v>
      </c>
      <c r="K9" s="7"/>
      <c r="L9" s="325">
        <v>3</v>
      </c>
      <c r="M9" s="7"/>
      <c r="N9" s="325">
        <v>1</v>
      </c>
      <c r="O9" s="325">
        <v>0</v>
      </c>
      <c r="P9" s="325">
        <v>0</v>
      </c>
      <c r="Q9" s="7"/>
      <c r="R9" s="325">
        <v>0</v>
      </c>
      <c r="S9" s="7"/>
      <c r="T9" s="7"/>
      <c r="U9" s="325">
        <v>0</v>
      </c>
      <c r="V9" s="7"/>
      <c r="W9" s="7"/>
      <c r="X9" s="7">
        <v>17</v>
      </c>
      <c r="Y9" s="7"/>
      <c r="Z9" s="7">
        <v>20</v>
      </c>
    </row>
    <row r="10" spans="1:28" x14ac:dyDescent="0.2">
      <c r="A10" s="7">
        <v>2016</v>
      </c>
      <c r="B10" s="7"/>
      <c r="C10" s="7"/>
      <c r="D10" s="7"/>
      <c r="E10" s="7"/>
      <c r="F10" s="7"/>
      <c r="G10" s="7"/>
      <c r="H10" s="7"/>
      <c r="I10" s="325">
        <v>5</v>
      </c>
      <c r="J10" s="325">
        <v>4</v>
      </c>
      <c r="K10" s="325">
        <v>2</v>
      </c>
      <c r="L10" s="7"/>
      <c r="M10" s="7"/>
      <c r="N10" s="7"/>
      <c r="O10" s="486">
        <v>4</v>
      </c>
      <c r="P10" s="7"/>
      <c r="Q10" s="7"/>
      <c r="R10" s="7"/>
      <c r="S10" s="7"/>
      <c r="T10" s="7"/>
      <c r="U10" s="7"/>
      <c r="V10" s="7"/>
      <c r="W10" s="7"/>
      <c r="X10" s="7">
        <v>13</v>
      </c>
      <c r="Y10" s="7"/>
      <c r="Z10" s="7">
        <v>20</v>
      </c>
    </row>
    <row r="11" spans="1:28" x14ac:dyDescent="0.2">
      <c r="A11" s="7">
        <v>2017</v>
      </c>
      <c r="B11" s="7"/>
      <c r="C11" s="7"/>
      <c r="D11" s="7"/>
      <c r="E11" s="7"/>
      <c r="F11" s="7"/>
      <c r="G11" s="325">
        <v>0</v>
      </c>
      <c r="H11" s="7"/>
      <c r="I11" s="7"/>
      <c r="J11" s="325">
        <v>13</v>
      </c>
      <c r="K11" s="325">
        <v>4</v>
      </c>
      <c r="L11" s="7"/>
      <c r="M11" s="325">
        <v>3</v>
      </c>
      <c r="N11" s="325">
        <v>1</v>
      </c>
      <c r="O11" s="7"/>
      <c r="P11" s="7"/>
      <c r="Q11" s="7"/>
      <c r="R11" s="7"/>
      <c r="S11" s="325">
        <v>0</v>
      </c>
      <c r="T11" s="7"/>
      <c r="U11" s="7"/>
      <c r="V11" s="7"/>
      <c r="W11" s="7"/>
      <c r="X11" s="7">
        <v>14</v>
      </c>
      <c r="Y11" s="7" t="s">
        <v>9</v>
      </c>
      <c r="Z11" s="7"/>
    </row>
    <row r="12" spans="1:28" x14ac:dyDescent="0.2">
      <c r="A12" s="7">
        <v>2018</v>
      </c>
      <c r="B12" s="7"/>
      <c r="C12" s="7"/>
      <c r="D12" s="7"/>
      <c r="E12" s="7"/>
      <c r="F12" s="7"/>
      <c r="G12" s="7"/>
      <c r="H12" s="325">
        <v>26</v>
      </c>
      <c r="I12" s="7"/>
      <c r="J12" s="486">
        <v>28</v>
      </c>
      <c r="K12" s="486">
        <v>25</v>
      </c>
      <c r="L12" s="325">
        <v>11</v>
      </c>
      <c r="M12" s="7"/>
      <c r="N12" s="7"/>
      <c r="O12" s="325">
        <v>2</v>
      </c>
      <c r="P12" s="7"/>
      <c r="Q12" s="7"/>
      <c r="R12" s="7"/>
      <c r="S12" s="7"/>
      <c r="T12" s="7"/>
      <c r="U12" s="7"/>
      <c r="V12" s="7"/>
      <c r="W12" s="7"/>
      <c r="X12" s="7">
        <v>64</v>
      </c>
      <c r="Y12" s="7" t="s">
        <v>5</v>
      </c>
      <c r="Z12" s="7"/>
    </row>
    <row r="13" spans="1:28" x14ac:dyDescent="0.2">
      <c r="A13" s="7">
        <v>2019</v>
      </c>
      <c r="B13" s="7"/>
      <c r="C13" s="7"/>
      <c r="D13" s="7"/>
      <c r="E13" s="7"/>
      <c r="F13" s="7"/>
      <c r="G13" s="7"/>
      <c r="H13" s="589">
        <v>2</v>
      </c>
      <c r="I13" s="7"/>
      <c r="J13" s="600">
        <v>1</v>
      </c>
      <c r="K13" s="600">
        <v>4</v>
      </c>
      <c r="L13" s="7"/>
      <c r="M13" s="589">
        <v>0</v>
      </c>
      <c r="N13" s="7"/>
      <c r="O13" s="7"/>
      <c r="P13" s="589">
        <v>0</v>
      </c>
      <c r="Q13" s="7"/>
      <c r="R13" s="7"/>
      <c r="S13" s="7"/>
      <c r="T13" s="7"/>
      <c r="U13" s="7"/>
      <c r="V13" s="7"/>
      <c r="W13" s="7"/>
      <c r="X13" s="7">
        <v>7</v>
      </c>
      <c r="Y13" s="7" t="s">
        <v>5</v>
      </c>
      <c r="Z13" s="7">
        <v>20</v>
      </c>
    </row>
    <row r="14" spans="1:28" x14ac:dyDescent="0.2">
      <c r="A14" s="7">
        <v>2020</v>
      </c>
      <c r="B14" s="7"/>
      <c r="C14" s="7"/>
      <c r="D14" s="7"/>
      <c r="E14" s="7"/>
      <c r="F14" s="7"/>
      <c r="G14" s="7"/>
      <c r="H14" s="589">
        <v>0</v>
      </c>
      <c r="I14" s="7"/>
      <c r="J14" s="600">
        <v>2</v>
      </c>
      <c r="K14" s="7"/>
      <c r="L14" s="7"/>
      <c r="M14" s="685">
        <v>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>
        <v>16</v>
      </c>
      <c r="Y14" s="7"/>
      <c r="Z14" s="7"/>
    </row>
    <row r="15" spans="1:28" s="151" customFormat="1" x14ac:dyDescent="0.2">
      <c r="A15" s="11">
        <v>2021</v>
      </c>
      <c r="B15" s="11"/>
      <c r="C15" s="11"/>
      <c r="D15" s="11"/>
      <c r="E15" s="11"/>
      <c r="F15" s="11"/>
      <c r="G15" s="11"/>
      <c r="H15" s="11"/>
      <c r="I15" s="589">
        <v>19</v>
      </c>
      <c r="J15" s="754"/>
      <c r="K15" s="600">
        <v>8</v>
      </c>
      <c r="L15" s="11"/>
      <c r="M15" s="755"/>
      <c r="N15" s="11"/>
      <c r="O15" s="11"/>
      <c r="P15" s="11"/>
      <c r="Q15" s="589">
        <v>0</v>
      </c>
      <c r="R15" s="11"/>
      <c r="S15" s="11"/>
      <c r="T15" s="11"/>
      <c r="U15" s="11"/>
      <c r="V15" s="11"/>
      <c r="W15" s="11"/>
      <c r="X15" s="11">
        <v>24</v>
      </c>
      <c r="Y15" s="11"/>
      <c r="Z15" s="11"/>
    </row>
    <row r="16" spans="1:28" s="151" customFormat="1" x14ac:dyDescent="0.2">
      <c r="A16" s="11">
        <v>2022</v>
      </c>
      <c r="B16" s="11"/>
      <c r="C16" s="11"/>
      <c r="D16" s="11"/>
      <c r="E16" s="11"/>
      <c r="F16" s="11"/>
      <c r="G16" s="589">
        <v>4</v>
      </c>
      <c r="H16" s="11"/>
      <c r="I16" s="589">
        <v>17</v>
      </c>
      <c r="J16" s="754"/>
      <c r="K16" s="754"/>
      <c r="L16" s="601">
        <v>9</v>
      </c>
      <c r="M16" s="600">
        <v>10</v>
      </c>
      <c r="N16" s="11"/>
      <c r="O16" s="600">
        <v>2</v>
      </c>
      <c r="P16" s="600">
        <v>1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31" s="151" customFormat="1" x14ac:dyDescent="0.2">
      <c r="A17" s="11">
        <v>2023</v>
      </c>
      <c r="B17" s="11"/>
      <c r="C17" s="11"/>
      <c r="D17" s="11"/>
      <c r="E17" s="11"/>
      <c r="F17" s="11"/>
      <c r="G17" s="11"/>
      <c r="H17" s="11"/>
      <c r="I17" s="11"/>
      <c r="J17" s="589">
        <v>78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31" x14ac:dyDescent="0.2">
      <c r="A18" s="326"/>
      <c r="B18" s="326"/>
      <c r="C18" s="326"/>
      <c r="D18" s="326"/>
      <c r="E18" s="32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</row>
    <row r="20" spans="1:31" x14ac:dyDescent="0.2">
      <c r="A20" s="1002" t="s">
        <v>638</v>
      </c>
      <c r="B20" s="1003"/>
      <c r="C20" s="1003"/>
      <c r="D20" s="1003"/>
      <c r="E20" s="1003"/>
      <c r="F20" s="1003"/>
      <c r="G20" s="1003"/>
      <c r="H20" s="1003"/>
      <c r="I20" s="1003"/>
    </row>
    <row r="21" spans="1:31" ht="13.5" thickBot="1" x14ac:dyDescent="0.25"/>
    <row r="22" spans="1:31" ht="13.5" thickTop="1" x14ac:dyDescent="0.2">
      <c r="A22" s="1004" t="s">
        <v>0</v>
      </c>
      <c r="B22" s="1006" t="s">
        <v>1</v>
      </c>
      <c r="C22" s="1006"/>
      <c r="D22" s="1006"/>
      <c r="E22" s="1006"/>
      <c r="F22" s="1006"/>
      <c r="G22" s="1006"/>
      <c r="H22" s="1006"/>
      <c r="I22" s="1006"/>
      <c r="J22" s="1006"/>
      <c r="K22" s="1006"/>
      <c r="L22" s="1006"/>
      <c r="M22" s="1006"/>
      <c r="N22" s="1006"/>
      <c r="O22" s="1006"/>
      <c r="P22" s="1006"/>
      <c r="Q22" s="1006"/>
      <c r="R22" s="1006"/>
      <c r="S22" s="1006"/>
      <c r="T22" s="1006"/>
      <c r="U22" s="1006"/>
      <c r="V22" s="1006"/>
      <c r="W22" s="1006"/>
      <c r="X22" s="1004" t="s">
        <v>2</v>
      </c>
      <c r="Y22" s="1010" t="s">
        <v>3</v>
      </c>
      <c r="Z22" s="1008" t="s">
        <v>4</v>
      </c>
      <c r="AA22" s="2"/>
    </row>
    <row r="23" spans="1:31" x14ac:dyDescent="0.2">
      <c r="A23" s="1005"/>
      <c r="B23" s="320">
        <v>81</v>
      </c>
      <c r="C23" s="320">
        <v>82</v>
      </c>
      <c r="D23" s="320">
        <v>83</v>
      </c>
      <c r="E23" s="320">
        <v>84</v>
      </c>
      <c r="F23" s="320">
        <v>91</v>
      </c>
      <c r="G23" s="320">
        <v>92</v>
      </c>
      <c r="H23" s="320">
        <v>93</v>
      </c>
      <c r="I23" s="320">
        <v>94</v>
      </c>
      <c r="J23" s="320">
        <v>101</v>
      </c>
      <c r="K23" s="320">
        <v>102</v>
      </c>
      <c r="L23" s="18">
        <v>103</v>
      </c>
      <c r="M23" s="18">
        <v>104</v>
      </c>
      <c r="N23" s="18">
        <v>105</v>
      </c>
      <c r="O23" s="18">
        <v>111</v>
      </c>
      <c r="P23" s="18">
        <v>112</v>
      </c>
      <c r="Q23" s="18">
        <v>113</v>
      </c>
      <c r="R23" s="18">
        <v>114</v>
      </c>
      <c r="S23" s="18">
        <v>115</v>
      </c>
      <c r="T23" s="18">
        <v>121</v>
      </c>
      <c r="U23" s="320">
        <v>122</v>
      </c>
      <c r="V23" s="320">
        <v>123</v>
      </c>
      <c r="W23" s="320">
        <v>124</v>
      </c>
      <c r="X23" s="1005"/>
      <c r="Y23" s="1011"/>
      <c r="Z23" s="1009"/>
      <c r="AA23" s="68" t="s">
        <v>44</v>
      </c>
      <c r="AB23" s="7" t="s">
        <v>142</v>
      </c>
      <c r="AC23" s="7"/>
      <c r="AD23" s="7"/>
      <c r="AE23" s="7"/>
    </row>
    <row r="24" spans="1:31" x14ac:dyDescent="0.2">
      <c r="A24" s="1">
        <v>2011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325">
        <v>731</v>
      </c>
      <c r="M24" s="325">
        <v>743</v>
      </c>
      <c r="N24" s="201"/>
      <c r="O24" s="325">
        <v>755</v>
      </c>
      <c r="P24" s="325">
        <v>481</v>
      </c>
      <c r="Q24" s="201"/>
      <c r="R24" s="201"/>
      <c r="S24" s="201"/>
      <c r="T24" s="325">
        <v>606</v>
      </c>
      <c r="U24" s="1"/>
      <c r="V24" s="1"/>
      <c r="W24" s="1"/>
      <c r="X24" s="142">
        <v>2351</v>
      </c>
      <c r="Y24" s="7"/>
      <c r="Z24" s="10">
        <v>35</v>
      </c>
      <c r="AA24" s="8"/>
      <c r="AB24" s="7">
        <f>X24/MAX(B24:W24)</f>
        <v>3.1139072847682119</v>
      </c>
      <c r="AC24" s="7"/>
      <c r="AD24" s="7"/>
      <c r="AE24" s="7"/>
    </row>
    <row r="25" spans="1:31" x14ac:dyDescent="0.2">
      <c r="A25" s="7">
        <v>2012</v>
      </c>
      <c r="B25" s="7"/>
      <c r="C25" s="7"/>
      <c r="D25" s="7"/>
      <c r="E25" s="7"/>
      <c r="F25" s="7"/>
      <c r="G25" s="7"/>
      <c r="H25" s="7"/>
      <c r="I25" s="7"/>
      <c r="J25" s="7"/>
      <c r="K25" s="325">
        <v>198</v>
      </c>
      <c r="L25" s="7"/>
      <c r="M25" s="325">
        <v>1009</v>
      </c>
      <c r="N25" s="325">
        <v>705</v>
      </c>
      <c r="O25" s="325">
        <v>697</v>
      </c>
      <c r="P25" s="325">
        <v>672</v>
      </c>
      <c r="Q25" s="325">
        <v>582</v>
      </c>
      <c r="R25" s="325">
        <v>184</v>
      </c>
      <c r="S25" s="325">
        <v>591</v>
      </c>
      <c r="T25" s="7"/>
      <c r="U25" s="7"/>
      <c r="V25" s="7"/>
      <c r="W25" s="7"/>
      <c r="X25" s="142">
        <v>2378</v>
      </c>
      <c r="Y25" s="330"/>
      <c r="Z25" s="7">
        <v>23</v>
      </c>
      <c r="AB25" s="7">
        <f t="shared" ref="AB25:AB32" si="0">X25/MAX(B25:W25)</f>
        <v>2.3567888999008919</v>
      </c>
      <c r="AC25" s="331" t="s">
        <v>239</v>
      </c>
      <c r="AD25" s="7"/>
      <c r="AE25" s="7"/>
    </row>
    <row r="26" spans="1:31" x14ac:dyDescent="0.2">
      <c r="A26" s="7">
        <v>2013</v>
      </c>
      <c r="B26" s="7"/>
      <c r="C26" s="7"/>
      <c r="D26" s="7"/>
      <c r="E26" s="7"/>
      <c r="F26" s="7"/>
      <c r="G26" s="7"/>
      <c r="H26" s="7"/>
      <c r="I26" s="7"/>
      <c r="J26" s="7"/>
      <c r="K26" s="325">
        <v>1243</v>
      </c>
      <c r="L26" s="325">
        <v>1025</v>
      </c>
      <c r="M26" s="325">
        <v>931</v>
      </c>
      <c r="N26" s="325">
        <v>1138</v>
      </c>
      <c r="O26" s="7"/>
      <c r="P26" s="325">
        <v>1139</v>
      </c>
      <c r="Q26" s="325">
        <v>811</v>
      </c>
      <c r="R26" s="7"/>
      <c r="S26" s="325">
        <v>674</v>
      </c>
      <c r="T26" s="7"/>
      <c r="U26" s="7"/>
      <c r="V26" s="7"/>
      <c r="W26" s="7"/>
      <c r="X26" s="142">
        <v>2154</v>
      </c>
      <c r="Y26" s="330"/>
      <c r="Z26" s="7">
        <v>36</v>
      </c>
      <c r="AB26" s="7">
        <f t="shared" si="0"/>
        <v>1.7329042638777152</v>
      </c>
      <c r="AC26" s="331" t="s">
        <v>240</v>
      </c>
      <c r="AD26" s="7"/>
      <c r="AE26" s="7"/>
    </row>
    <row r="27" spans="1:31" x14ac:dyDescent="0.2">
      <c r="A27" s="7">
        <v>2014</v>
      </c>
      <c r="B27" s="7"/>
      <c r="C27" s="7"/>
      <c r="D27" s="7"/>
      <c r="E27" s="7"/>
      <c r="F27" s="7"/>
      <c r="G27" s="7"/>
      <c r="H27" s="7"/>
      <c r="I27" s="7"/>
      <c r="J27" s="328">
        <v>1054</v>
      </c>
      <c r="K27" s="325">
        <v>1502</v>
      </c>
      <c r="L27" s="7"/>
      <c r="M27" s="325">
        <v>1422</v>
      </c>
      <c r="N27" s="7"/>
      <c r="O27" s="7"/>
      <c r="P27" s="325">
        <v>1021</v>
      </c>
      <c r="Q27" s="325">
        <v>918</v>
      </c>
      <c r="R27" s="7"/>
      <c r="S27" s="325">
        <v>763</v>
      </c>
      <c r="T27" s="7"/>
      <c r="U27" s="7"/>
      <c r="V27" s="7"/>
      <c r="W27" s="7"/>
      <c r="X27" s="142">
        <v>2710</v>
      </c>
      <c r="Y27" s="330" t="s">
        <v>5</v>
      </c>
      <c r="Z27" s="7">
        <v>39</v>
      </c>
      <c r="AB27" s="7">
        <f t="shared" si="0"/>
        <v>1.8042609853528628</v>
      </c>
      <c r="AC27" s="331" t="s">
        <v>241</v>
      </c>
      <c r="AD27" s="7"/>
      <c r="AE27" s="7"/>
    </row>
    <row r="28" spans="1:31" x14ac:dyDescent="0.2">
      <c r="A28" s="7">
        <v>2015</v>
      </c>
      <c r="B28" s="7"/>
      <c r="C28" s="7"/>
      <c r="D28" s="7"/>
      <c r="E28" s="7"/>
      <c r="F28" s="7"/>
      <c r="G28" s="7"/>
      <c r="H28" s="325">
        <v>321</v>
      </c>
      <c r="I28" s="7"/>
      <c r="J28" s="325">
        <v>717</v>
      </c>
      <c r="K28" s="7"/>
      <c r="L28" s="325">
        <v>1062</v>
      </c>
      <c r="M28" s="7"/>
      <c r="N28" s="325">
        <v>1110</v>
      </c>
      <c r="O28" s="325">
        <v>841</v>
      </c>
      <c r="P28" s="325">
        <v>641</v>
      </c>
      <c r="Q28" s="7"/>
      <c r="R28" s="325">
        <v>546</v>
      </c>
      <c r="S28" s="7"/>
      <c r="T28" s="7"/>
      <c r="U28" s="325">
        <v>210</v>
      </c>
      <c r="V28" s="7"/>
      <c r="W28" s="7"/>
      <c r="X28" s="142">
        <v>1883</v>
      </c>
      <c r="Y28" s="330" t="s">
        <v>5</v>
      </c>
      <c r="Z28" s="7">
        <v>35</v>
      </c>
      <c r="AB28" s="7">
        <f t="shared" si="0"/>
        <v>1.6963963963963964</v>
      </c>
      <c r="AC28" s="331" t="s">
        <v>242</v>
      </c>
      <c r="AD28" s="7"/>
      <c r="AE28" s="7"/>
    </row>
    <row r="29" spans="1:31" x14ac:dyDescent="0.2">
      <c r="A29" s="7">
        <v>2016</v>
      </c>
      <c r="B29" s="7"/>
      <c r="C29" s="7"/>
      <c r="D29" s="7"/>
      <c r="E29" s="7"/>
      <c r="F29" s="7"/>
      <c r="G29" s="7"/>
      <c r="H29" s="7"/>
      <c r="I29" s="325">
        <v>564</v>
      </c>
      <c r="J29" s="325">
        <v>809</v>
      </c>
      <c r="K29" s="325">
        <v>907</v>
      </c>
      <c r="L29" s="7"/>
      <c r="M29" s="7"/>
      <c r="N29" s="7"/>
      <c r="O29" s="487">
        <v>867</v>
      </c>
      <c r="P29" s="7"/>
      <c r="Q29" s="7"/>
      <c r="R29" s="7"/>
      <c r="S29" s="7"/>
      <c r="T29" s="7"/>
      <c r="U29" s="7"/>
      <c r="V29" s="7"/>
      <c r="W29" s="7"/>
      <c r="X29" s="142">
        <v>1759</v>
      </c>
      <c r="Y29" s="330"/>
      <c r="Z29" s="11">
        <v>35</v>
      </c>
      <c r="AB29" s="7">
        <f t="shared" si="0"/>
        <v>1.9393605292171996</v>
      </c>
      <c r="AC29" s="7"/>
      <c r="AD29" s="7"/>
      <c r="AE29" s="7"/>
    </row>
    <row r="30" spans="1:31" x14ac:dyDescent="0.2">
      <c r="A30" s="7">
        <v>2017</v>
      </c>
      <c r="B30" s="7"/>
      <c r="C30" s="7"/>
      <c r="D30" s="7"/>
      <c r="E30" s="7"/>
      <c r="F30" s="7"/>
      <c r="G30" s="325">
        <v>277</v>
      </c>
      <c r="H30" s="7"/>
      <c r="I30" s="7"/>
      <c r="J30" s="325">
        <v>498</v>
      </c>
      <c r="K30" s="325">
        <v>371</v>
      </c>
      <c r="L30" s="7"/>
      <c r="M30" s="325">
        <v>780</v>
      </c>
      <c r="N30" s="513">
        <v>700</v>
      </c>
      <c r="O30" s="7"/>
      <c r="P30" s="7"/>
      <c r="Q30" s="7"/>
      <c r="R30" s="7"/>
      <c r="S30" s="325">
        <v>414</v>
      </c>
      <c r="T30" s="7"/>
      <c r="U30" s="7"/>
      <c r="V30" s="7"/>
      <c r="W30" s="7"/>
      <c r="X30" s="142">
        <v>1490</v>
      </c>
      <c r="Y30" s="330"/>
      <c r="Z30" s="11">
        <v>35</v>
      </c>
      <c r="AB30" s="7">
        <f t="shared" si="0"/>
        <v>1.9102564102564104</v>
      </c>
      <c r="AC30" s="7"/>
      <c r="AD30" s="7"/>
      <c r="AE30" s="7"/>
    </row>
    <row r="31" spans="1:31" x14ac:dyDescent="0.2">
      <c r="A31" s="7">
        <v>2018</v>
      </c>
      <c r="B31" s="7"/>
      <c r="C31" s="7"/>
      <c r="D31" s="7"/>
      <c r="E31" s="7"/>
      <c r="F31" s="7"/>
      <c r="G31" s="7"/>
      <c r="H31" s="325">
        <v>804</v>
      </c>
      <c r="I31" s="7"/>
      <c r="J31" s="325">
        <v>1189</v>
      </c>
      <c r="K31" s="325">
        <v>1359</v>
      </c>
      <c r="L31" s="513">
        <v>1205</v>
      </c>
      <c r="M31" s="7"/>
      <c r="N31" s="7"/>
      <c r="O31" s="568">
        <v>1146</v>
      </c>
      <c r="P31" s="7"/>
      <c r="Q31" s="7"/>
      <c r="R31" s="568">
        <v>845</v>
      </c>
      <c r="S31" s="7"/>
      <c r="T31" s="7"/>
      <c r="U31" s="7"/>
      <c r="V31" s="7"/>
      <c r="W31" s="7"/>
      <c r="X31" s="142">
        <v>3529</v>
      </c>
      <c r="Y31" s="330"/>
      <c r="Z31" s="11">
        <v>35</v>
      </c>
      <c r="AB31" s="7">
        <f t="shared" si="0"/>
        <v>2.5967623252391463</v>
      </c>
      <c r="AC31" s="7"/>
      <c r="AD31" s="7"/>
      <c r="AE31" s="7"/>
    </row>
    <row r="32" spans="1:31" x14ac:dyDescent="0.2">
      <c r="A32" s="7">
        <v>2019</v>
      </c>
      <c r="B32" s="7"/>
      <c r="C32" s="7"/>
      <c r="D32" s="7"/>
      <c r="E32" s="7"/>
      <c r="F32" s="7"/>
      <c r="G32" s="7"/>
      <c r="H32" s="589">
        <v>475</v>
      </c>
      <c r="I32" s="7"/>
      <c r="J32" s="601">
        <v>556</v>
      </c>
      <c r="K32" s="601">
        <v>583</v>
      </c>
      <c r="L32" s="7"/>
      <c r="M32" s="601">
        <v>453</v>
      </c>
      <c r="N32" s="7"/>
      <c r="O32" s="7"/>
      <c r="P32" s="600">
        <v>334</v>
      </c>
      <c r="Q32" s="7"/>
      <c r="R32" s="7"/>
      <c r="S32" s="7"/>
      <c r="T32" s="7"/>
      <c r="U32" s="7"/>
      <c r="V32" s="7"/>
      <c r="W32" s="7"/>
      <c r="X32" s="142">
        <v>1147</v>
      </c>
      <c r="Y32" s="330"/>
      <c r="Z32" s="11">
        <v>35</v>
      </c>
      <c r="AB32" s="7">
        <f t="shared" si="0"/>
        <v>1.967409948542024</v>
      </c>
      <c r="AC32" s="7"/>
      <c r="AD32" s="7"/>
      <c r="AE32" s="7"/>
    </row>
    <row r="33" spans="1:31" x14ac:dyDescent="0.2">
      <c r="A33" s="7">
        <v>2020</v>
      </c>
      <c r="B33" s="7"/>
      <c r="C33" s="7"/>
      <c r="D33" s="7"/>
      <c r="E33" s="7"/>
      <c r="F33" s="7"/>
      <c r="G33" s="7"/>
      <c r="H33" s="589">
        <v>60</v>
      </c>
      <c r="I33" s="7"/>
      <c r="J33" s="589">
        <v>693</v>
      </c>
      <c r="K33" s="7"/>
      <c r="L33" s="7"/>
      <c r="M33" s="616">
        <v>216</v>
      </c>
      <c r="N33" s="7"/>
      <c r="O33" s="7"/>
      <c r="P33" s="7"/>
      <c r="Q33" s="589"/>
      <c r="R33" s="7"/>
      <c r="S33" s="7"/>
      <c r="T33" s="7"/>
      <c r="U33" s="7"/>
      <c r="V33" s="7"/>
      <c r="W33" s="7"/>
      <c r="X33" s="142">
        <v>693</v>
      </c>
      <c r="Y33" s="330"/>
      <c r="Z33" s="11"/>
      <c r="AB33" s="7"/>
      <c r="AC33" s="7"/>
      <c r="AD33" s="7"/>
      <c r="AE33" s="7"/>
    </row>
    <row r="34" spans="1:31" s="151" customFormat="1" x14ac:dyDescent="0.2">
      <c r="A34" s="11">
        <v>2021</v>
      </c>
      <c r="B34" s="11"/>
      <c r="C34" s="11"/>
      <c r="D34" s="11"/>
      <c r="E34" s="11"/>
      <c r="F34" s="11"/>
      <c r="G34" s="11"/>
      <c r="H34" s="11"/>
      <c r="I34" s="589">
        <v>187</v>
      </c>
      <c r="J34" s="11"/>
      <c r="K34" s="589">
        <v>439</v>
      </c>
      <c r="L34" s="11"/>
      <c r="M34" s="756"/>
      <c r="N34" s="11"/>
      <c r="O34" s="11"/>
      <c r="P34" s="11"/>
      <c r="Q34" s="589">
        <v>646</v>
      </c>
      <c r="R34" s="11"/>
      <c r="S34" s="11"/>
      <c r="T34" s="11"/>
      <c r="U34" s="11"/>
      <c r="V34" s="11"/>
      <c r="W34" s="11"/>
      <c r="X34" s="143">
        <v>807</v>
      </c>
      <c r="Y34" s="665"/>
      <c r="Z34" s="11"/>
      <c r="AB34" s="11"/>
      <c r="AC34" s="11"/>
      <c r="AD34" s="11"/>
      <c r="AE34" s="11"/>
    </row>
    <row r="35" spans="1:31" s="151" customFormat="1" x14ac:dyDescent="0.2">
      <c r="A35" s="11">
        <v>2022</v>
      </c>
      <c r="B35" s="11"/>
      <c r="C35" s="11"/>
      <c r="D35" s="11"/>
      <c r="E35" s="11"/>
      <c r="F35" s="11"/>
      <c r="G35" s="589">
        <v>149</v>
      </c>
      <c r="H35" s="11"/>
      <c r="I35" s="589">
        <v>223</v>
      </c>
      <c r="J35" s="11"/>
      <c r="K35" s="11"/>
      <c r="L35" s="589">
        <v>211</v>
      </c>
      <c r="M35" s="601">
        <v>233</v>
      </c>
      <c r="N35" s="11"/>
      <c r="O35" s="694">
        <v>421</v>
      </c>
      <c r="P35" s="694">
        <v>349</v>
      </c>
      <c r="Q35" s="11"/>
      <c r="R35" s="11"/>
      <c r="S35" s="11"/>
      <c r="T35" s="11"/>
      <c r="U35" s="11"/>
      <c r="V35" s="11"/>
      <c r="W35" s="11"/>
      <c r="X35" s="143"/>
      <c r="Y35" s="665"/>
      <c r="Z35" s="11"/>
      <c r="AB35" s="11"/>
      <c r="AC35" s="11"/>
      <c r="AD35" s="11"/>
      <c r="AE35" s="11"/>
    </row>
    <row r="36" spans="1:31" s="151" customFormat="1" x14ac:dyDescent="0.2">
      <c r="A36" s="11">
        <v>2023</v>
      </c>
      <c r="B36" s="11"/>
      <c r="C36" s="11"/>
      <c r="D36" s="11"/>
      <c r="E36" s="11"/>
      <c r="F36" s="11"/>
      <c r="G36" s="11"/>
      <c r="H36" s="11"/>
      <c r="I36" s="11"/>
      <c r="J36" s="589">
        <v>655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43"/>
      <c r="Y36" s="665"/>
      <c r="Z36" s="11"/>
      <c r="AB36" s="11"/>
      <c r="AC36" s="11"/>
      <c r="AD36" s="11"/>
      <c r="AE36" s="11"/>
    </row>
    <row r="37" spans="1:31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327"/>
      <c r="Z37" s="327"/>
      <c r="AB37" s="7"/>
      <c r="AC37" s="7"/>
      <c r="AD37" s="7"/>
      <c r="AE37" s="7"/>
    </row>
    <row r="38" spans="1:3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AB38" s="7"/>
      <c r="AC38" s="7"/>
      <c r="AD38" s="7"/>
      <c r="AE38" s="7"/>
    </row>
    <row r="39" spans="1:31" x14ac:dyDescent="0.2">
      <c r="A39" s="1002" t="s">
        <v>639</v>
      </c>
      <c r="B39" s="1003"/>
      <c r="C39" s="1003"/>
      <c r="D39" s="1003"/>
      <c r="E39" s="1003"/>
      <c r="F39" s="1003"/>
      <c r="G39" s="1003"/>
      <c r="H39" s="1003"/>
      <c r="I39" s="1003"/>
      <c r="AB39" s="7"/>
      <c r="AC39" s="7"/>
      <c r="AD39" s="7"/>
      <c r="AE39" s="7"/>
    </row>
    <row r="40" spans="1:31" ht="13.5" thickBot="1" x14ac:dyDescent="0.25">
      <c r="AB40" s="7"/>
      <c r="AC40" s="7"/>
      <c r="AD40" s="7"/>
      <c r="AE40" s="7"/>
    </row>
    <row r="41" spans="1:31" ht="13.5" thickTop="1" x14ac:dyDescent="0.2">
      <c r="A41" s="1004" t="s">
        <v>0</v>
      </c>
      <c r="B41" s="1006" t="s">
        <v>1</v>
      </c>
      <c r="C41" s="1006"/>
      <c r="D41" s="1006"/>
      <c r="E41" s="1006"/>
      <c r="F41" s="1006"/>
      <c r="G41" s="1006"/>
      <c r="H41" s="1006"/>
      <c r="I41" s="1006"/>
      <c r="J41" s="1006"/>
      <c r="K41" s="1006"/>
      <c r="L41" s="1006"/>
      <c r="M41" s="1006"/>
      <c r="N41" s="1006"/>
      <c r="O41" s="1006"/>
      <c r="P41" s="1006"/>
      <c r="Q41" s="1006"/>
      <c r="R41" s="1006"/>
      <c r="S41" s="1006"/>
      <c r="T41" s="1006"/>
      <c r="U41" s="1006"/>
      <c r="V41" s="1006"/>
      <c r="W41" s="1006"/>
      <c r="X41" s="1004" t="s">
        <v>2</v>
      </c>
      <c r="Y41" s="1010" t="s">
        <v>3</v>
      </c>
      <c r="Z41" s="1008" t="s">
        <v>4</v>
      </c>
      <c r="AA41" s="2"/>
      <c r="AB41" s="7"/>
      <c r="AC41" s="7"/>
      <c r="AD41" s="7"/>
      <c r="AE41" s="7"/>
    </row>
    <row r="42" spans="1:31" x14ac:dyDescent="0.2">
      <c r="A42" s="1005"/>
      <c r="B42" s="320">
        <v>81</v>
      </c>
      <c r="C42" s="320">
        <v>82</v>
      </c>
      <c r="D42" s="320">
        <v>83</v>
      </c>
      <c r="E42" s="320">
        <v>84</v>
      </c>
      <c r="F42" s="320">
        <v>91</v>
      </c>
      <c r="G42" s="320">
        <v>92</v>
      </c>
      <c r="H42" s="320">
        <v>93</v>
      </c>
      <c r="I42" s="320">
        <v>94</v>
      </c>
      <c r="J42" s="320">
        <v>101</v>
      </c>
      <c r="K42" s="320">
        <v>102</v>
      </c>
      <c r="L42" s="18">
        <v>103</v>
      </c>
      <c r="M42" s="18">
        <v>104</v>
      </c>
      <c r="N42" s="18">
        <v>105</v>
      </c>
      <c r="O42" s="18">
        <v>111</v>
      </c>
      <c r="P42" s="18">
        <v>112</v>
      </c>
      <c r="Q42" s="18">
        <v>113</v>
      </c>
      <c r="R42" s="18">
        <v>114</v>
      </c>
      <c r="S42" s="18">
        <v>115</v>
      </c>
      <c r="T42" s="18">
        <v>121</v>
      </c>
      <c r="U42" s="320">
        <v>122</v>
      </c>
      <c r="V42" s="320">
        <v>123</v>
      </c>
      <c r="W42" s="320">
        <v>124</v>
      </c>
      <c r="X42" s="1005"/>
      <c r="Y42" s="1011"/>
      <c r="Z42" s="1009"/>
      <c r="AA42" s="68" t="s">
        <v>44</v>
      </c>
      <c r="AB42" s="7" t="s">
        <v>142</v>
      </c>
      <c r="AC42" s="7"/>
      <c r="AD42" s="7"/>
      <c r="AE42" s="7"/>
    </row>
    <row r="43" spans="1:31" x14ac:dyDescent="0.2">
      <c r="A43" s="1">
        <v>2011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325">
        <v>4597</v>
      </c>
      <c r="M43" s="325">
        <v>2794</v>
      </c>
      <c r="N43" s="201"/>
      <c r="O43" s="325">
        <v>1731</v>
      </c>
      <c r="P43" s="325">
        <v>1048</v>
      </c>
      <c r="Q43" s="201"/>
      <c r="R43" s="201"/>
      <c r="S43" s="201"/>
      <c r="T43" s="325">
        <v>1</v>
      </c>
      <c r="U43" s="1"/>
      <c r="V43" s="1"/>
      <c r="W43" s="1"/>
      <c r="X43" s="142">
        <v>10349</v>
      </c>
      <c r="Y43" s="7"/>
      <c r="Z43" s="10">
        <v>20</v>
      </c>
      <c r="AA43" s="8"/>
      <c r="AB43" s="7">
        <f>X43/MAX(B43:W43)</f>
        <v>2.251250815749402</v>
      </c>
      <c r="AC43" s="7"/>
      <c r="AD43" s="7"/>
      <c r="AE43" s="7"/>
    </row>
    <row r="44" spans="1:31" x14ac:dyDescent="0.2">
      <c r="A44" s="7">
        <v>2012</v>
      </c>
      <c r="B44" s="7"/>
      <c r="C44" s="7"/>
      <c r="D44" s="7"/>
      <c r="E44" s="7"/>
      <c r="F44" s="7"/>
      <c r="G44" s="7"/>
      <c r="H44" s="7"/>
      <c r="I44" s="7"/>
      <c r="J44" s="7"/>
      <c r="K44" s="325">
        <v>543</v>
      </c>
      <c r="L44" s="7"/>
      <c r="M44" s="325">
        <v>8718</v>
      </c>
      <c r="N44" s="325">
        <v>4178</v>
      </c>
      <c r="O44" s="325">
        <v>812</v>
      </c>
      <c r="P44" s="325">
        <v>105</v>
      </c>
      <c r="Q44" s="325">
        <v>18</v>
      </c>
      <c r="R44" s="325">
        <v>0</v>
      </c>
      <c r="S44" s="325">
        <v>1</v>
      </c>
      <c r="T44" s="7"/>
      <c r="U44" s="7"/>
      <c r="V44" s="7"/>
      <c r="W44" s="7"/>
      <c r="X44" s="142">
        <v>14106</v>
      </c>
      <c r="Y44" s="7"/>
      <c r="Z44" s="7">
        <v>15</v>
      </c>
      <c r="AB44" s="7">
        <f t="shared" ref="AB44:AB51" si="1">X44/MAX(B44:W44)</f>
        <v>1.618031658637302</v>
      </c>
      <c r="AC44" s="7"/>
      <c r="AD44" s="7"/>
      <c r="AE44" s="7"/>
    </row>
    <row r="45" spans="1:31" x14ac:dyDescent="0.2">
      <c r="A45" s="1">
        <v>2013</v>
      </c>
      <c r="B45" s="7"/>
      <c r="C45" s="7"/>
      <c r="D45" s="7"/>
      <c r="E45" s="7"/>
      <c r="F45" s="7"/>
      <c r="G45" s="7"/>
      <c r="H45" s="7"/>
      <c r="I45" s="7"/>
      <c r="J45" s="7"/>
      <c r="K45" s="325">
        <v>5502</v>
      </c>
      <c r="L45" s="325">
        <v>4354</v>
      </c>
      <c r="M45" s="325">
        <v>3440</v>
      </c>
      <c r="N45" s="325">
        <v>1597</v>
      </c>
      <c r="O45" s="7"/>
      <c r="P45" s="325">
        <v>495</v>
      </c>
      <c r="Q45" s="325">
        <v>13</v>
      </c>
      <c r="R45" s="7"/>
      <c r="S45" s="325">
        <v>1</v>
      </c>
      <c r="T45" s="7"/>
      <c r="U45" s="7"/>
      <c r="V45" s="7"/>
      <c r="W45" s="7"/>
      <c r="X45" s="142">
        <v>10349</v>
      </c>
      <c r="Y45" s="7"/>
      <c r="Z45" s="7"/>
      <c r="AB45" s="7">
        <f t="shared" si="1"/>
        <v>1.8809523809523809</v>
      </c>
      <c r="AC45" s="7"/>
      <c r="AD45" s="7"/>
      <c r="AE45" s="7"/>
    </row>
    <row r="46" spans="1:31" x14ac:dyDescent="0.2">
      <c r="A46" s="7">
        <v>2014</v>
      </c>
      <c r="B46" s="7"/>
      <c r="C46" s="7"/>
      <c r="D46" s="7"/>
      <c r="E46" s="7"/>
      <c r="F46" s="7"/>
      <c r="G46" s="7"/>
      <c r="H46" s="7"/>
      <c r="I46" s="7"/>
      <c r="J46" s="329">
        <v>1949</v>
      </c>
      <c r="K46" s="325">
        <v>5559</v>
      </c>
      <c r="L46" s="7"/>
      <c r="M46" s="325">
        <v>4120</v>
      </c>
      <c r="N46" s="7"/>
      <c r="O46" s="7"/>
      <c r="P46" s="325">
        <v>296</v>
      </c>
      <c r="Q46" s="325">
        <v>232</v>
      </c>
      <c r="R46" s="7"/>
      <c r="S46" s="325">
        <v>0</v>
      </c>
      <c r="T46" s="7"/>
      <c r="U46" s="7"/>
      <c r="V46" s="7"/>
      <c r="W46" s="7"/>
      <c r="X46" s="142">
        <v>12282</v>
      </c>
      <c r="Y46" s="7"/>
      <c r="Z46" s="7">
        <v>15</v>
      </c>
      <c r="AB46" s="7">
        <f t="shared" si="1"/>
        <v>2.2093901780895844</v>
      </c>
      <c r="AC46" s="7"/>
      <c r="AD46" s="7"/>
      <c r="AE46" s="7"/>
    </row>
    <row r="47" spans="1:31" x14ac:dyDescent="0.2">
      <c r="A47" s="1">
        <v>2015</v>
      </c>
      <c r="B47" s="7"/>
      <c r="C47" s="7"/>
      <c r="D47" s="7"/>
      <c r="E47" s="7"/>
      <c r="F47" s="7"/>
      <c r="G47" s="7"/>
      <c r="H47" s="325">
        <v>69</v>
      </c>
      <c r="I47" s="7"/>
      <c r="J47" s="325">
        <v>1192</v>
      </c>
      <c r="K47" s="7"/>
      <c r="L47" s="325">
        <v>2992</v>
      </c>
      <c r="M47" s="7"/>
      <c r="N47" s="325">
        <v>1236</v>
      </c>
      <c r="O47" s="325">
        <v>143</v>
      </c>
      <c r="P47" s="325">
        <v>4</v>
      </c>
      <c r="Q47" s="7"/>
      <c r="R47" s="325">
        <v>2</v>
      </c>
      <c r="S47" s="7"/>
      <c r="T47" s="7"/>
      <c r="U47" s="325">
        <v>1</v>
      </c>
      <c r="V47" s="7"/>
      <c r="W47" s="7"/>
      <c r="X47" s="142">
        <v>4490</v>
      </c>
      <c r="Y47" s="7"/>
      <c r="Z47" s="7">
        <v>15</v>
      </c>
      <c r="AB47" s="7">
        <f t="shared" si="1"/>
        <v>1.500668449197861</v>
      </c>
      <c r="AC47" s="7"/>
      <c r="AD47" s="7"/>
      <c r="AE47" s="7"/>
    </row>
    <row r="48" spans="1:31" x14ac:dyDescent="0.2">
      <c r="A48" s="7">
        <v>2016</v>
      </c>
      <c r="B48" s="7"/>
      <c r="C48" s="7"/>
      <c r="D48" s="7"/>
      <c r="E48" s="7"/>
      <c r="F48" s="7"/>
      <c r="G48" s="7"/>
      <c r="H48" s="7"/>
      <c r="I48" s="325">
        <v>154</v>
      </c>
      <c r="J48" s="325">
        <v>634</v>
      </c>
      <c r="K48" s="325">
        <v>1400</v>
      </c>
      <c r="L48" s="7"/>
      <c r="M48" s="7"/>
      <c r="N48" s="7"/>
      <c r="O48" s="486">
        <v>1246</v>
      </c>
      <c r="P48" s="7"/>
      <c r="Q48" s="7"/>
      <c r="R48" s="7"/>
      <c r="S48" s="7"/>
      <c r="T48" s="7"/>
      <c r="U48" s="7"/>
      <c r="V48" s="7"/>
      <c r="W48" s="7"/>
      <c r="X48" s="142">
        <v>3934</v>
      </c>
      <c r="Y48" s="7"/>
      <c r="Z48" s="7">
        <v>15</v>
      </c>
      <c r="AB48" s="7">
        <f t="shared" si="1"/>
        <v>2.81</v>
      </c>
      <c r="AC48" s="7"/>
      <c r="AD48" s="7"/>
      <c r="AE48" s="7"/>
    </row>
    <row r="49" spans="1:31" x14ac:dyDescent="0.2">
      <c r="A49" s="7">
        <v>2017</v>
      </c>
      <c r="B49" s="7"/>
      <c r="C49" s="7"/>
      <c r="D49" s="7"/>
      <c r="E49" s="7"/>
      <c r="F49" s="7"/>
      <c r="G49" s="325">
        <v>16</v>
      </c>
      <c r="H49" s="7"/>
      <c r="I49" s="7"/>
      <c r="J49" s="487">
        <v>331</v>
      </c>
      <c r="K49" s="487">
        <v>239</v>
      </c>
      <c r="L49" s="7"/>
      <c r="M49" s="486">
        <v>708</v>
      </c>
      <c r="N49" s="486">
        <v>211</v>
      </c>
      <c r="O49" s="7"/>
      <c r="P49" s="7"/>
      <c r="Q49" s="7"/>
      <c r="R49" s="7"/>
      <c r="S49" s="325">
        <v>0</v>
      </c>
      <c r="T49" s="7"/>
      <c r="U49" s="7"/>
      <c r="V49" s="7"/>
      <c r="W49" s="7"/>
      <c r="X49" s="142">
        <v>1228</v>
      </c>
      <c r="Y49" s="7"/>
      <c r="Z49" s="7">
        <v>15</v>
      </c>
      <c r="AB49" s="7">
        <f t="shared" si="1"/>
        <v>1.7344632768361581</v>
      </c>
      <c r="AC49" s="7"/>
      <c r="AD49" s="7"/>
      <c r="AE49" s="7"/>
    </row>
    <row r="50" spans="1:31" x14ac:dyDescent="0.2">
      <c r="A50" s="7">
        <v>2018</v>
      </c>
      <c r="B50" s="7"/>
      <c r="C50" s="7"/>
      <c r="D50" s="7"/>
      <c r="E50" s="7"/>
      <c r="F50" s="7"/>
      <c r="G50" s="7"/>
      <c r="H50" s="325">
        <v>10</v>
      </c>
      <c r="I50" s="7"/>
      <c r="J50" s="325">
        <v>64</v>
      </c>
      <c r="K50" s="568">
        <v>684</v>
      </c>
      <c r="L50" s="486">
        <v>806</v>
      </c>
      <c r="M50" s="7"/>
      <c r="N50" s="7"/>
      <c r="O50" s="486">
        <v>158</v>
      </c>
      <c r="P50" s="7"/>
      <c r="Q50" s="7"/>
      <c r="R50" s="7"/>
      <c r="S50" s="7"/>
      <c r="T50" s="7"/>
      <c r="U50" s="7"/>
      <c r="V50" s="7"/>
      <c r="W50" s="7"/>
      <c r="X50" s="142">
        <v>1561</v>
      </c>
      <c r="Y50" s="7"/>
      <c r="Z50" s="7">
        <v>15</v>
      </c>
      <c r="AB50" s="7">
        <f t="shared" si="1"/>
        <v>1.9367245657568237</v>
      </c>
      <c r="AC50" s="7"/>
      <c r="AD50" s="7"/>
      <c r="AE50" s="7"/>
    </row>
    <row r="51" spans="1:31" x14ac:dyDescent="0.2">
      <c r="A51" s="7">
        <v>2019</v>
      </c>
      <c r="B51" s="7"/>
      <c r="C51" s="7"/>
      <c r="D51" s="7"/>
      <c r="E51" s="7"/>
      <c r="F51" s="7"/>
      <c r="G51" s="7"/>
      <c r="H51" s="589">
        <v>20</v>
      </c>
      <c r="I51" s="7"/>
      <c r="J51" s="589">
        <v>294</v>
      </c>
      <c r="K51" s="600">
        <v>412</v>
      </c>
      <c r="L51" s="7"/>
      <c r="M51" s="600">
        <v>2285</v>
      </c>
      <c r="N51" s="7"/>
      <c r="O51" s="7"/>
      <c r="P51" s="600">
        <v>125</v>
      </c>
      <c r="Q51" s="7"/>
      <c r="R51" s="7"/>
      <c r="S51" s="7"/>
      <c r="T51" s="7"/>
      <c r="U51" s="7"/>
      <c r="V51" s="7"/>
      <c r="W51" s="7"/>
      <c r="X51" s="142">
        <v>3707</v>
      </c>
      <c r="Y51" s="7"/>
      <c r="Z51" s="7">
        <v>15</v>
      </c>
      <c r="AB51" s="7">
        <f t="shared" si="1"/>
        <v>1.6223194748358862</v>
      </c>
      <c r="AC51" s="7"/>
      <c r="AD51" s="7"/>
      <c r="AE51" s="7"/>
    </row>
    <row r="52" spans="1:31" x14ac:dyDescent="0.2">
      <c r="A52" s="7">
        <v>2020</v>
      </c>
      <c r="B52" s="7"/>
      <c r="C52" s="7"/>
      <c r="D52" s="7"/>
      <c r="E52" s="7"/>
      <c r="F52" s="7"/>
      <c r="G52" s="7"/>
      <c r="H52" s="589">
        <v>1</v>
      </c>
      <c r="I52" s="7"/>
      <c r="J52" s="694">
        <v>436</v>
      </c>
      <c r="K52" s="7"/>
      <c r="L52" s="7"/>
      <c r="M52" s="687">
        <v>3006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142">
        <v>3006</v>
      </c>
      <c r="Y52" s="7"/>
      <c r="Z52" s="7"/>
      <c r="AB52" s="7"/>
      <c r="AC52" s="7"/>
      <c r="AD52" s="7"/>
      <c r="AE52" s="7"/>
    </row>
    <row r="53" spans="1:31" s="151" customFormat="1" x14ac:dyDescent="0.2">
      <c r="A53" s="11">
        <v>2021</v>
      </c>
      <c r="B53" s="11"/>
      <c r="C53" s="11"/>
      <c r="D53" s="11"/>
      <c r="E53" s="11"/>
      <c r="F53" s="11"/>
      <c r="G53" s="11"/>
      <c r="H53" s="11"/>
      <c r="I53" s="589">
        <v>0</v>
      </c>
      <c r="J53" s="757"/>
      <c r="K53" s="601">
        <v>932</v>
      </c>
      <c r="L53" s="11"/>
      <c r="M53" s="742"/>
      <c r="N53" s="11"/>
      <c r="O53" s="11"/>
      <c r="P53" s="11"/>
      <c r="Q53" s="589">
        <v>44</v>
      </c>
      <c r="R53" s="11"/>
      <c r="S53" s="11"/>
      <c r="T53" s="11"/>
      <c r="U53" s="11"/>
      <c r="V53" s="11"/>
      <c r="W53" s="11"/>
      <c r="X53" s="143">
        <v>1036</v>
      </c>
      <c r="Y53" s="11"/>
      <c r="Z53" s="11"/>
      <c r="AB53" s="11"/>
      <c r="AC53" s="11"/>
      <c r="AD53" s="11"/>
      <c r="AE53" s="11"/>
    </row>
    <row r="54" spans="1:31" s="151" customFormat="1" x14ac:dyDescent="0.2">
      <c r="A54" s="11">
        <v>2022</v>
      </c>
      <c r="B54" s="11"/>
      <c r="C54" s="11"/>
      <c r="D54" s="11"/>
      <c r="E54" s="11"/>
      <c r="F54" s="11"/>
      <c r="G54" s="589">
        <v>0</v>
      </c>
      <c r="H54" s="11"/>
      <c r="I54" s="589">
        <v>12</v>
      </c>
      <c r="J54" s="757"/>
      <c r="K54" s="876"/>
      <c r="L54" s="600">
        <v>42</v>
      </c>
      <c r="M54" s="600">
        <v>198</v>
      </c>
      <c r="N54" s="11"/>
      <c r="O54" s="600">
        <v>1567</v>
      </c>
      <c r="P54" s="600">
        <v>886</v>
      </c>
      <c r="Q54" s="11"/>
      <c r="R54" s="11"/>
      <c r="S54" s="11"/>
      <c r="T54" s="11"/>
      <c r="U54" s="11"/>
      <c r="V54" s="11"/>
      <c r="W54" s="11"/>
      <c r="X54" s="143"/>
      <c r="Y54" s="11"/>
      <c r="Z54" s="11"/>
      <c r="AB54" s="11"/>
      <c r="AC54" s="11"/>
      <c r="AD54" s="11"/>
      <c r="AE54" s="11"/>
    </row>
    <row r="55" spans="1:31" s="151" customFormat="1" x14ac:dyDescent="0.2">
      <c r="A55" s="11">
        <v>2023</v>
      </c>
      <c r="B55" s="11"/>
      <c r="C55" s="11"/>
      <c r="D55" s="11"/>
      <c r="E55" s="11"/>
      <c r="F55" s="11"/>
      <c r="G55" s="11"/>
      <c r="H55" s="11"/>
      <c r="I55" s="11"/>
      <c r="J55" s="589">
        <v>756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43"/>
      <c r="Y55" s="11"/>
      <c r="Z55" s="11"/>
      <c r="AB55" s="11"/>
      <c r="AC55" s="11"/>
      <c r="AD55" s="11"/>
      <c r="AE55" s="11"/>
    </row>
    <row r="56" spans="1:31" x14ac:dyDescent="0.2">
      <c r="A56" s="327"/>
      <c r="B56" s="327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7"/>
      <c r="W56" s="327"/>
      <c r="X56" s="327"/>
      <c r="Y56" s="327"/>
      <c r="Z56" s="327"/>
    </row>
  </sheetData>
  <mergeCells count="18">
    <mergeCell ref="A20:I20"/>
    <mergeCell ref="A39:I39"/>
    <mergeCell ref="A22:A23"/>
    <mergeCell ref="B22:W22"/>
    <mergeCell ref="X22:X23"/>
    <mergeCell ref="Y22:Y23"/>
    <mergeCell ref="Z22:Z23"/>
    <mergeCell ref="A41:A42"/>
    <mergeCell ref="B41:W41"/>
    <mergeCell ref="X41:X42"/>
    <mergeCell ref="Y41:Y42"/>
    <mergeCell ref="Z41:Z42"/>
    <mergeCell ref="Z3:Z4"/>
    <mergeCell ref="A1:I1"/>
    <mergeCell ref="A3:A4"/>
    <mergeCell ref="B3:W3"/>
    <mergeCell ref="X3:X4"/>
    <mergeCell ref="Y3:Y4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AZ104"/>
  <sheetViews>
    <sheetView zoomScale="70" zoomScaleNormal="70" workbookViewId="0">
      <selection activeCell="L103" sqref="L103"/>
    </sheetView>
  </sheetViews>
  <sheetFormatPr defaultColWidth="9.140625" defaultRowHeight="12.75" x14ac:dyDescent="0.2"/>
  <cols>
    <col min="1" max="1" width="10.28515625" style="2" customWidth="1"/>
    <col min="2" max="23" width="6.5703125" style="2" customWidth="1"/>
    <col min="24" max="25" width="9.140625" style="2"/>
    <col min="26" max="26" width="11.7109375" style="56" customWidth="1"/>
    <col min="27" max="16384" width="9.140625" style="2"/>
  </cols>
  <sheetData>
    <row r="1" spans="1:52" ht="18" customHeight="1" x14ac:dyDescent="0.2">
      <c r="A1" s="1002" t="s">
        <v>640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2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2" ht="18" customHeight="1" thickTop="1" x14ac:dyDescent="0.2">
      <c r="A3" s="70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B3"/>
      <c r="AC3"/>
      <c r="AD3" s="70" t="s">
        <v>0</v>
      </c>
      <c r="AE3" s="1006" t="s">
        <v>1</v>
      </c>
      <c r="AF3" s="1006"/>
      <c r="AG3" s="1006"/>
      <c r="AH3" s="1006"/>
      <c r="AI3" s="1006"/>
      <c r="AJ3" s="1006"/>
      <c r="AK3" s="1006"/>
      <c r="AL3" s="1006"/>
      <c r="AM3" s="1006"/>
      <c r="AN3" s="1006"/>
      <c r="AO3" s="1006"/>
      <c r="AP3" s="1006"/>
      <c r="AQ3" s="1006"/>
      <c r="AR3" s="1006"/>
      <c r="AS3" s="1006"/>
      <c r="AT3" s="1006"/>
      <c r="AU3" s="1006"/>
      <c r="AV3" s="1006"/>
      <c r="AW3" s="1006"/>
      <c r="AX3" s="1006"/>
      <c r="AY3" s="1006"/>
      <c r="AZ3" s="1006"/>
    </row>
    <row r="4" spans="1:52" ht="18" customHeight="1" x14ac:dyDescent="0.2">
      <c r="A4" s="7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t="s">
        <v>142</v>
      </c>
      <c r="AB4" t="s">
        <v>490</v>
      </c>
      <c r="AD4" s="75"/>
      <c r="AE4" s="5">
        <v>81</v>
      </c>
      <c r="AF4" s="5">
        <v>82</v>
      </c>
      <c r="AG4" s="5">
        <v>83</v>
      </c>
      <c r="AH4" s="5">
        <v>84</v>
      </c>
      <c r="AI4" s="5">
        <v>91</v>
      </c>
      <c r="AJ4" s="5">
        <v>92</v>
      </c>
      <c r="AK4" s="5">
        <v>93</v>
      </c>
      <c r="AL4" s="5">
        <v>94</v>
      </c>
      <c r="AM4" s="5">
        <v>101</v>
      </c>
      <c r="AN4" s="5">
        <v>102</v>
      </c>
      <c r="AO4" s="5">
        <v>103</v>
      </c>
      <c r="AP4" s="5">
        <v>104</v>
      </c>
      <c r="AQ4" s="5">
        <v>105</v>
      </c>
      <c r="AR4" s="5">
        <v>111</v>
      </c>
      <c r="AS4" s="5">
        <v>112</v>
      </c>
      <c r="AT4" s="5">
        <v>113</v>
      </c>
      <c r="AU4" s="5">
        <v>114</v>
      </c>
      <c r="AV4" s="5">
        <v>115</v>
      </c>
      <c r="AW4" s="5">
        <v>121</v>
      </c>
      <c r="AX4" s="5">
        <v>122</v>
      </c>
      <c r="AY4" s="5">
        <v>123</v>
      </c>
      <c r="AZ4" s="5">
        <v>124</v>
      </c>
    </row>
    <row r="5" spans="1:52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6"/>
      <c r="I5" s="6">
        <v>1626</v>
      </c>
      <c r="J5" s="6"/>
      <c r="K5" s="6"/>
      <c r="L5" s="6"/>
      <c r="M5" s="6"/>
      <c r="N5" s="6"/>
      <c r="O5" s="6"/>
      <c r="P5" s="6"/>
      <c r="Q5" s="6"/>
      <c r="R5" s="6"/>
      <c r="S5" s="6"/>
      <c r="T5" s="1"/>
      <c r="U5" s="1"/>
      <c r="V5" s="1"/>
      <c r="W5" s="1"/>
      <c r="X5" s="7">
        <v>1386</v>
      </c>
      <c r="Y5" s="7" t="s">
        <v>7</v>
      </c>
      <c r="Z5" s="10"/>
      <c r="AA5">
        <f t="shared" ref="AA5:AA32" si="0">X5/MAX(B5:W5)</f>
        <v>0.85239852398523985</v>
      </c>
      <c r="AB5" s="438">
        <v>1626</v>
      </c>
      <c r="AD5" s="1">
        <v>1995</v>
      </c>
      <c r="AE5" s="81"/>
      <c r="AF5" s="81"/>
      <c r="AG5" s="81"/>
      <c r="AH5" s="81"/>
      <c r="AI5" s="81"/>
      <c r="AJ5" s="81"/>
      <c r="AK5" s="81"/>
      <c r="AL5" s="81">
        <f>I5/SUM($B5:$W5)</f>
        <v>1</v>
      </c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 s="8" customFormat="1" ht="18" customHeight="1" x14ac:dyDescent="0.2">
      <c r="A6" s="1">
        <v>1996</v>
      </c>
      <c r="B6" s="6"/>
      <c r="C6" s="6"/>
      <c r="D6" s="6">
        <v>5</v>
      </c>
      <c r="E6" s="6">
        <v>572</v>
      </c>
      <c r="F6" s="6"/>
      <c r="G6" s="6">
        <v>2631</v>
      </c>
      <c r="H6" s="6"/>
      <c r="I6" s="6"/>
      <c r="J6" s="198">
        <v>3245</v>
      </c>
      <c r="K6" s="6"/>
      <c r="L6" s="6"/>
      <c r="M6" s="6"/>
      <c r="N6" s="6"/>
      <c r="O6" s="6">
        <v>1814</v>
      </c>
      <c r="P6" s="6"/>
      <c r="Q6" s="6"/>
      <c r="R6" s="6"/>
      <c r="S6" s="6"/>
      <c r="T6" s="1"/>
      <c r="U6" s="1"/>
      <c r="V6" s="1"/>
      <c r="W6" s="1"/>
      <c r="X6" s="7">
        <v>3655</v>
      </c>
      <c r="Y6" s="7" t="s">
        <v>5</v>
      </c>
      <c r="Z6" s="10">
        <v>50</v>
      </c>
      <c r="AA6">
        <f t="shared" si="0"/>
        <v>1.1263482280431434</v>
      </c>
      <c r="AB6" s="438">
        <v>3971</v>
      </c>
      <c r="AD6" s="1">
        <v>1996</v>
      </c>
      <c r="AE6" s="81"/>
      <c r="AF6" s="81"/>
      <c r="AG6" s="82">
        <f>D6/SUM($B6:$W6)</f>
        <v>6.0481432200314503E-4</v>
      </c>
      <c r="AH6" s="81">
        <f>E6/SUM($B6:$W6)</f>
        <v>6.9190758437159786E-2</v>
      </c>
      <c r="AI6" s="81"/>
      <c r="AJ6" s="81">
        <f>G6/SUM($B6:$W6)</f>
        <v>0.31825329623805493</v>
      </c>
      <c r="AK6" s="81"/>
      <c r="AL6" s="81"/>
      <c r="AM6" s="81">
        <f>J6/SUM($B6:$W6)</f>
        <v>0.39252449498004111</v>
      </c>
      <c r="AN6" s="81"/>
      <c r="AO6" s="81"/>
      <c r="AP6" s="81"/>
      <c r="AQ6" s="81"/>
      <c r="AR6" s="81">
        <f>O6/SUM($B6:$W6)</f>
        <v>0.21942663602274101</v>
      </c>
      <c r="AS6" s="81"/>
      <c r="AT6" s="81"/>
      <c r="AU6" s="81"/>
      <c r="AV6" s="81"/>
      <c r="AW6" s="81"/>
      <c r="AX6" s="81"/>
      <c r="AY6" s="81"/>
      <c r="AZ6" s="81"/>
    </row>
    <row r="7" spans="1:52" s="8" customFormat="1" ht="18" customHeight="1" x14ac:dyDescent="0.2">
      <c r="A7" s="1">
        <v>1997</v>
      </c>
      <c r="B7" s="6">
        <v>0</v>
      </c>
      <c r="C7" s="6"/>
      <c r="D7" s="6"/>
      <c r="E7" s="6"/>
      <c r="F7" s="6">
        <v>580</v>
      </c>
      <c r="G7" s="6"/>
      <c r="H7" s="198">
        <v>1201</v>
      </c>
      <c r="I7" s="6">
        <v>779</v>
      </c>
      <c r="J7" s="6"/>
      <c r="K7" s="6"/>
      <c r="L7" s="6"/>
      <c r="M7" s="6">
        <v>177</v>
      </c>
      <c r="N7" s="6"/>
      <c r="O7" s="6"/>
      <c r="P7" s="6"/>
      <c r="Q7" s="6">
        <v>100</v>
      </c>
      <c r="R7" s="6"/>
      <c r="S7" s="6"/>
      <c r="T7" s="1"/>
      <c r="U7" s="1"/>
      <c r="V7" s="1"/>
      <c r="W7" s="1"/>
      <c r="X7" s="7">
        <v>2424</v>
      </c>
      <c r="Y7" s="7" t="s">
        <v>5</v>
      </c>
      <c r="Z7" s="61">
        <v>25</v>
      </c>
      <c r="AA7">
        <f t="shared" si="0"/>
        <v>2.0183180682764363</v>
      </c>
      <c r="AB7" s="438">
        <v>2638</v>
      </c>
      <c r="AD7" s="1">
        <v>1997</v>
      </c>
      <c r="AE7" s="81">
        <f>B7/SUM($B7:$W7)</f>
        <v>0</v>
      </c>
      <c r="AF7" s="81"/>
      <c r="AG7" s="81"/>
      <c r="AH7" s="81"/>
      <c r="AI7" s="81">
        <f>F7/SUM($B7:$W7)</f>
        <v>0.20444131124427212</v>
      </c>
      <c r="AJ7" s="81"/>
      <c r="AK7" s="81">
        <f>H7/SUM($B7:$W7)</f>
        <v>0.42333450828339797</v>
      </c>
      <c r="AL7" s="81">
        <f>I7/SUM($B7:$W7)</f>
        <v>0.27458583010222065</v>
      </c>
      <c r="AM7" s="81"/>
      <c r="AN7" s="81"/>
      <c r="AO7" s="81"/>
      <c r="AP7" s="81">
        <f>M7/SUM($B7:$W7)</f>
        <v>6.2389848431441665E-2</v>
      </c>
      <c r="AQ7" s="81"/>
      <c r="AR7" s="81"/>
      <c r="AS7" s="81"/>
      <c r="AT7" s="81">
        <f>Q7/SUM($B7:$W7)</f>
        <v>3.5248501938667604E-2</v>
      </c>
      <c r="AU7" s="81"/>
      <c r="AV7" s="81"/>
      <c r="AW7" s="81"/>
      <c r="AX7" s="81"/>
      <c r="AY7" s="81"/>
      <c r="AZ7" s="81"/>
    </row>
    <row r="8" spans="1:52" s="8" customFormat="1" ht="18" customHeight="1" x14ac:dyDescent="0.2">
      <c r="A8" s="1">
        <v>1998</v>
      </c>
      <c r="B8" s="6"/>
      <c r="C8" s="6"/>
      <c r="D8" s="6">
        <v>0</v>
      </c>
      <c r="E8" s="6"/>
      <c r="F8" s="6">
        <v>76</v>
      </c>
      <c r="G8" s="6"/>
      <c r="H8" s="6"/>
      <c r="I8" s="6">
        <v>930</v>
      </c>
      <c r="J8" s="6"/>
      <c r="K8" s="6">
        <v>1252</v>
      </c>
      <c r="L8" s="6"/>
      <c r="M8" s="6">
        <v>2651</v>
      </c>
      <c r="N8" s="6"/>
      <c r="O8" s="6"/>
      <c r="P8" s="6"/>
      <c r="Q8" s="6"/>
      <c r="R8" s="6"/>
      <c r="S8" s="6"/>
      <c r="T8" s="1"/>
      <c r="U8" s="1"/>
      <c r="V8" s="1"/>
      <c r="W8" s="1"/>
      <c r="X8" s="7">
        <v>4821</v>
      </c>
      <c r="Y8" s="7" t="s">
        <v>5</v>
      </c>
      <c r="Z8" s="61">
        <v>25</v>
      </c>
      <c r="AA8">
        <f t="shared" si="0"/>
        <v>1.8185590343266691</v>
      </c>
      <c r="AB8" s="438">
        <v>5297</v>
      </c>
      <c r="AD8" s="1">
        <v>1998</v>
      </c>
      <c r="AE8" s="81"/>
      <c r="AF8" s="81"/>
      <c r="AG8" s="81">
        <f>D8/SUM($B8:$W8)</f>
        <v>0</v>
      </c>
      <c r="AH8" s="81"/>
      <c r="AI8" s="81">
        <f>F8/SUM($B8:$W8)</f>
        <v>1.5481768180892239E-2</v>
      </c>
      <c r="AJ8" s="81"/>
      <c r="AK8" s="81"/>
      <c r="AL8" s="81">
        <f t="shared" ref="AL8:AL15" si="1">I8/SUM($B8:$W8)</f>
        <v>0.18944795273986556</v>
      </c>
      <c r="AM8" s="81"/>
      <c r="AN8" s="81">
        <f>K8/SUM($B8:$W8)</f>
        <v>0.25504176003259321</v>
      </c>
      <c r="AO8" s="81"/>
      <c r="AP8" s="81">
        <f>M8/SUM($B8:$W8)</f>
        <v>0.54002851904664906</v>
      </c>
      <c r="AQ8" s="81"/>
      <c r="AR8" s="81"/>
      <c r="AS8" s="81"/>
      <c r="AT8" s="81"/>
      <c r="AU8" s="81"/>
      <c r="AV8" s="81"/>
      <c r="AW8" s="81"/>
      <c r="AX8" s="81"/>
      <c r="AY8" s="81"/>
      <c r="AZ8" s="81"/>
    </row>
    <row r="9" spans="1:52" s="8" customFormat="1" ht="18" customHeight="1" x14ac:dyDescent="0.2">
      <c r="A9" s="1">
        <v>1999</v>
      </c>
      <c r="B9" s="6"/>
      <c r="C9" s="6"/>
      <c r="D9" s="6"/>
      <c r="E9" s="6"/>
      <c r="F9" s="6"/>
      <c r="G9" s="6"/>
      <c r="H9" s="6">
        <v>1234</v>
      </c>
      <c r="I9" s="6">
        <v>1961</v>
      </c>
      <c r="J9" s="6"/>
      <c r="K9" s="6">
        <v>1937</v>
      </c>
      <c r="L9" s="6"/>
      <c r="M9" s="198">
        <v>2600</v>
      </c>
      <c r="N9" s="6"/>
      <c r="O9" s="6"/>
      <c r="P9" s="6"/>
      <c r="Q9" s="6"/>
      <c r="R9" s="6"/>
      <c r="S9" s="6"/>
      <c r="T9" s="1"/>
      <c r="U9" s="1"/>
      <c r="V9" s="1"/>
      <c r="W9" s="1"/>
      <c r="X9" s="9">
        <v>3985</v>
      </c>
      <c r="Y9" s="7" t="s">
        <v>5</v>
      </c>
      <c r="Z9" s="62">
        <v>35</v>
      </c>
      <c r="AA9">
        <f t="shared" si="0"/>
        <v>1.5326923076923078</v>
      </c>
      <c r="AB9" s="438">
        <v>4185</v>
      </c>
      <c r="AD9" s="1">
        <v>1999</v>
      </c>
      <c r="AE9" s="81"/>
      <c r="AF9" s="81"/>
      <c r="AG9" s="81"/>
      <c r="AH9" s="81"/>
      <c r="AI9" s="81"/>
      <c r="AJ9" s="81"/>
      <c r="AK9" s="81">
        <f>H9/SUM($B9:$W9)</f>
        <v>0.15959648215209518</v>
      </c>
      <c r="AL9" s="81">
        <f t="shared" si="1"/>
        <v>0.25362131401965854</v>
      </c>
      <c r="AM9" s="81"/>
      <c r="AN9" s="81">
        <f>K9/SUM($B9:$W9)</f>
        <v>0.25051733057423692</v>
      </c>
      <c r="AO9" s="81"/>
      <c r="AP9" s="81">
        <f>M9/SUM($B9:$W9)</f>
        <v>0.33626487325400933</v>
      </c>
      <c r="AQ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1:52" s="8" customFormat="1" ht="18" customHeight="1" x14ac:dyDescent="0.2">
      <c r="A10" s="1">
        <v>2000</v>
      </c>
      <c r="B10" s="6"/>
      <c r="C10" s="6"/>
      <c r="D10" s="6"/>
      <c r="E10" s="6"/>
      <c r="F10" s="6"/>
      <c r="G10" s="6"/>
      <c r="H10" s="6"/>
      <c r="I10" s="6">
        <v>1281</v>
      </c>
      <c r="J10" s="6"/>
      <c r="K10" s="6">
        <v>993</v>
      </c>
      <c r="L10" s="6"/>
      <c r="M10" s="6"/>
      <c r="N10" s="6"/>
      <c r="O10" s="6"/>
      <c r="P10" s="6"/>
      <c r="Q10" s="6">
        <v>1165</v>
      </c>
      <c r="R10" s="6"/>
      <c r="S10" s="6"/>
      <c r="T10" s="1"/>
      <c r="U10" s="1"/>
      <c r="V10" s="1"/>
      <c r="W10" s="1"/>
      <c r="X10" s="10">
        <v>2282</v>
      </c>
      <c r="Y10" s="7" t="s">
        <v>5</v>
      </c>
      <c r="Z10" s="62">
        <v>50</v>
      </c>
      <c r="AA10">
        <f t="shared" si="0"/>
        <v>1.7814207650273224</v>
      </c>
      <c r="AB10" s="438">
        <v>2572</v>
      </c>
      <c r="AD10" s="1">
        <v>2000</v>
      </c>
      <c r="AE10" s="81"/>
      <c r="AF10" s="81"/>
      <c r="AG10" s="81"/>
      <c r="AH10" s="81"/>
      <c r="AI10" s="81"/>
      <c r="AJ10" s="81"/>
      <c r="AK10" s="81"/>
      <c r="AL10" s="81">
        <f t="shared" si="1"/>
        <v>0.37249200348938644</v>
      </c>
      <c r="AM10" s="81"/>
      <c r="AN10" s="81">
        <f>K10/SUM($B10:$W10)</f>
        <v>0.28874672870020357</v>
      </c>
      <c r="AO10" s="81"/>
      <c r="AP10" s="81"/>
      <c r="AQ10" s="81"/>
      <c r="AR10" s="81"/>
      <c r="AS10" s="81"/>
      <c r="AT10" s="81">
        <f>Q10/SUM($B10:$W10)</f>
        <v>0.33876126781040999</v>
      </c>
      <c r="AU10" s="81"/>
      <c r="AV10" s="81"/>
      <c r="AW10" s="81"/>
      <c r="AX10" s="81"/>
      <c r="AY10" s="81"/>
      <c r="AZ10" s="81"/>
    </row>
    <row r="11" spans="1:52" s="8" customFormat="1" ht="18" customHeight="1" x14ac:dyDescent="0.2">
      <c r="A11" s="1">
        <v>2001</v>
      </c>
      <c r="B11" s="6"/>
      <c r="C11" s="6"/>
      <c r="D11" s="6"/>
      <c r="E11" s="6"/>
      <c r="F11" s="6"/>
      <c r="G11" s="6"/>
      <c r="H11" s="6"/>
      <c r="I11" s="6">
        <v>724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1"/>
      <c r="U11" s="1"/>
      <c r="V11" s="1"/>
      <c r="W11" s="1"/>
      <c r="X11" s="7">
        <v>1450</v>
      </c>
      <c r="Y11" s="7" t="s">
        <v>7</v>
      </c>
      <c r="Z11" s="62"/>
      <c r="AA11">
        <f t="shared" si="0"/>
        <v>2.0027624309392267</v>
      </c>
      <c r="AB11" s="438">
        <v>1450</v>
      </c>
      <c r="AD11" s="1">
        <v>2001</v>
      </c>
      <c r="AE11" s="81"/>
      <c r="AF11" s="81"/>
      <c r="AG11" s="81"/>
      <c r="AH11" s="81"/>
      <c r="AI11" s="81"/>
      <c r="AJ11" s="81"/>
      <c r="AK11" s="81"/>
      <c r="AL11" s="81">
        <f t="shared" si="1"/>
        <v>1</v>
      </c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1:52" s="8" customFormat="1" ht="18" customHeight="1" x14ac:dyDescent="0.2">
      <c r="A12" s="1">
        <v>2002</v>
      </c>
      <c r="B12" s="6"/>
      <c r="C12" s="6"/>
      <c r="D12" s="6"/>
      <c r="E12" s="6"/>
      <c r="F12" s="6"/>
      <c r="G12" s="6">
        <v>391</v>
      </c>
      <c r="H12" s="6"/>
      <c r="I12" s="6">
        <v>526</v>
      </c>
      <c r="J12" s="6"/>
      <c r="K12" s="6">
        <v>799</v>
      </c>
      <c r="L12" s="6">
        <v>799</v>
      </c>
      <c r="M12" s="6"/>
      <c r="N12" s="6"/>
      <c r="O12" s="6"/>
      <c r="P12" s="6"/>
      <c r="Q12" s="6"/>
      <c r="R12" s="6"/>
      <c r="S12" s="6">
        <v>23</v>
      </c>
      <c r="T12" s="1"/>
      <c r="U12" s="1"/>
      <c r="V12" s="1"/>
      <c r="W12" s="1"/>
      <c r="X12" s="7">
        <v>1958</v>
      </c>
      <c r="Y12" s="7" t="s">
        <v>5</v>
      </c>
      <c r="Z12" s="62">
        <v>30</v>
      </c>
      <c r="AA12">
        <f t="shared" si="0"/>
        <v>2.450563204005006</v>
      </c>
      <c r="AB12" s="438">
        <v>2485</v>
      </c>
      <c r="AD12" s="1">
        <v>2002</v>
      </c>
      <c r="AE12" s="81"/>
      <c r="AF12" s="81"/>
      <c r="AG12" s="81"/>
      <c r="AH12" s="81"/>
      <c r="AI12" s="81"/>
      <c r="AJ12" s="81">
        <f>G12/SUM($B12:$W12)</f>
        <v>0.15405831363278172</v>
      </c>
      <c r="AK12" s="81"/>
      <c r="AL12" s="81">
        <f t="shared" si="1"/>
        <v>0.20724980299448384</v>
      </c>
      <c r="AM12" s="81"/>
      <c r="AN12" s="81">
        <f>K12/SUM($B12:$W12)</f>
        <v>0.31481481481481483</v>
      </c>
      <c r="AO12" s="81">
        <f>L12/SUM($B12:$W12)</f>
        <v>0.31481481481481483</v>
      </c>
      <c r="AP12" s="81"/>
      <c r="AQ12" s="81"/>
      <c r="AR12" s="81"/>
      <c r="AS12" s="81"/>
      <c r="AT12" s="81"/>
      <c r="AU12" s="81"/>
      <c r="AV12" s="81">
        <f>S12/SUM($B12:$W12)</f>
        <v>9.0622537431048061E-3</v>
      </c>
      <c r="AW12" s="81"/>
      <c r="AX12" s="81"/>
      <c r="AY12" s="81"/>
      <c r="AZ12" s="81"/>
    </row>
    <row r="13" spans="1:52" s="8" customFormat="1" ht="18" customHeight="1" x14ac:dyDescent="0.2">
      <c r="A13" s="1">
        <v>2003</v>
      </c>
      <c r="B13" s="6"/>
      <c r="C13" s="6"/>
      <c r="D13" s="6"/>
      <c r="E13" s="6"/>
      <c r="F13" s="6"/>
      <c r="G13" s="6"/>
      <c r="H13" s="6">
        <v>373</v>
      </c>
      <c r="I13" s="6">
        <v>805</v>
      </c>
      <c r="J13" s="6"/>
      <c r="K13" s="6"/>
      <c r="L13" s="6"/>
      <c r="M13" s="6"/>
      <c r="N13" s="6"/>
      <c r="O13" s="6">
        <v>1062</v>
      </c>
      <c r="P13" s="6">
        <v>835</v>
      </c>
      <c r="Q13" s="6"/>
      <c r="R13" s="6"/>
      <c r="S13" s="6"/>
      <c r="T13" s="1"/>
      <c r="U13" s="1"/>
      <c r="V13" s="1"/>
      <c r="W13" s="1"/>
      <c r="X13" s="7">
        <v>1554</v>
      </c>
      <c r="Y13" s="7" t="s">
        <v>5</v>
      </c>
      <c r="Z13" s="62">
        <v>30</v>
      </c>
      <c r="AA13">
        <f t="shared" si="0"/>
        <v>1.463276836158192</v>
      </c>
      <c r="AB13" s="438">
        <v>1749</v>
      </c>
      <c r="AD13" s="1">
        <v>2003</v>
      </c>
      <c r="AE13" s="81"/>
      <c r="AF13" s="81"/>
      <c r="AG13" s="81"/>
      <c r="AH13" s="81"/>
      <c r="AI13" s="81"/>
      <c r="AJ13" s="81"/>
      <c r="AK13" s="81">
        <f>H13/SUM($B13:$W13)</f>
        <v>0.12130081300813009</v>
      </c>
      <c r="AL13" s="81">
        <f t="shared" si="1"/>
        <v>0.26178861788617885</v>
      </c>
      <c r="AM13" s="81"/>
      <c r="AN13" s="81"/>
      <c r="AO13" s="81"/>
      <c r="AP13" s="81"/>
      <c r="AQ13" s="81"/>
      <c r="AR13" s="81">
        <f>O13/SUM($B13:$W13)</f>
        <v>0.34536585365853656</v>
      </c>
      <c r="AS13" s="81">
        <f>P13/SUM($B13:$W13)</f>
        <v>0.27154471544715447</v>
      </c>
      <c r="AT13" s="81"/>
      <c r="AU13" s="81"/>
      <c r="AV13" s="81"/>
      <c r="AW13" s="81"/>
      <c r="AX13" s="81"/>
      <c r="AY13" s="81"/>
      <c r="AZ13" s="81"/>
    </row>
    <row r="14" spans="1:52" s="8" customFormat="1" ht="18" customHeight="1" x14ac:dyDescent="0.2">
      <c r="A14" s="1">
        <v>2004</v>
      </c>
      <c r="B14" s="6"/>
      <c r="C14" s="6"/>
      <c r="D14" s="6"/>
      <c r="E14" s="6"/>
      <c r="F14" s="6">
        <v>180</v>
      </c>
      <c r="G14" s="6"/>
      <c r="H14" s="6"/>
      <c r="I14" s="6">
        <v>12</v>
      </c>
      <c r="J14" s="6"/>
      <c r="K14" s="6">
        <v>2919</v>
      </c>
      <c r="L14" s="6"/>
      <c r="M14" s="6"/>
      <c r="N14" s="6"/>
      <c r="O14" s="6"/>
      <c r="P14" s="6"/>
      <c r="Q14" s="6"/>
      <c r="R14" s="6"/>
      <c r="S14" s="6"/>
      <c r="T14" s="1"/>
      <c r="U14" s="1"/>
      <c r="V14" s="1"/>
      <c r="W14" s="1"/>
      <c r="X14" s="11">
        <v>3658</v>
      </c>
      <c r="Y14" s="7" t="s">
        <v>9</v>
      </c>
      <c r="Z14" s="62"/>
      <c r="AA14">
        <f t="shared" si="0"/>
        <v>1.2531688934566632</v>
      </c>
      <c r="AB14" s="438">
        <v>3658</v>
      </c>
      <c r="AD14" s="1">
        <v>2004</v>
      </c>
      <c r="AE14" s="81"/>
      <c r="AF14" s="81"/>
      <c r="AG14" s="81"/>
      <c r="AH14" s="81"/>
      <c r="AI14" s="81">
        <f>F14/SUM($B14:$W14)</f>
        <v>5.7859209257473482E-2</v>
      </c>
      <c r="AJ14" s="81"/>
      <c r="AK14" s="81"/>
      <c r="AL14" s="82">
        <f t="shared" si="1"/>
        <v>3.8572806171648989E-3</v>
      </c>
      <c r="AM14" s="81"/>
      <c r="AN14" s="81">
        <f>K14/SUM($B14:$W14)</f>
        <v>0.9382835101253616</v>
      </c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 s="8" customFormat="1" ht="18" customHeight="1" x14ac:dyDescent="0.2">
      <c r="A15" s="1">
        <v>2005</v>
      </c>
      <c r="B15" s="6"/>
      <c r="C15" s="6"/>
      <c r="D15" s="6"/>
      <c r="E15" s="6">
        <v>13</v>
      </c>
      <c r="F15" s="6"/>
      <c r="G15" s="6"/>
      <c r="H15" s="6"/>
      <c r="I15" s="198">
        <v>1851</v>
      </c>
      <c r="J15" s="6">
        <v>1516</v>
      </c>
      <c r="K15" s="6"/>
      <c r="L15" s="6"/>
      <c r="M15" s="6"/>
      <c r="N15" s="6"/>
      <c r="O15" s="6"/>
      <c r="P15" s="6"/>
      <c r="Q15" s="6"/>
      <c r="R15" s="6"/>
      <c r="S15" s="6"/>
      <c r="T15" s="1"/>
      <c r="U15" s="1"/>
      <c r="V15" s="1"/>
      <c r="W15" s="1"/>
      <c r="X15" s="11">
        <v>2337</v>
      </c>
      <c r="Y15" s="7" t="s">
        <v>6</v>
      </c>
      <c r="Z15" s="52"/>
      <c r="AA15">
        <f t="shared" si="0"/>
        <v>1.2625607779578607</v>
      </c>
      <c r="AB15" s="438">
        <v>2354</v>
      </c>
      <c r="AD15" s="1">
        <v>2005</v>
      </c>
      <c r="AE15" s="81"/>
      <c r="AF15" s="81"/>
      <c r="AG15" s="81"/>
      <c r="AH15" s="82">
        <f>E15/SUM($B15:$W15)</f>
        <v>3.8461538461538464E-3</v>
      </c>
      <c r="AI15" s="81"/>
      <c r="AJ15" s="81"/>
      <c r="AK15" s="81"/>
      <c r="AL15" s="81">
        <f t="shared" si="1"/>
        <v>0.54763313609467457</v>
      </c>
      <c r="AM15" s="81">
        <f>J15/SUM($B15:$W15)</f>
        <v>0.4485207100591716</v>
      </c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6">
        <v>850</v>
      </c>
      <c r="I16" s="6"/>
      <c r="J16" s="6"/>
      <c r="K16" s="6">
        <v>2818</v>
      </c>
      <c r="L16" s="6"/>
      <c r="M16" s="6">
        <v>676</v>
      </c>
      <c r="N16" s="6"/>
      <c r="O16" s="6"/>
      <c r="P16" s="6"/>
      <c r="Q16" s="6"/>
      <c r="R16" s="6"/>
      <c r="S16" s="6"/>
      <c r="T16" s="1"/>
      <c r="U16" s="1"/>
      <c r="V16" s="1"/>
      <c r="W16" s="1"/>
      <c r="X16" s="12">
        <v>3071</v>
      </c>
      <c r="Y16" s="7" t="s">
        <v>5</v>
      </c>
      <c r="Z16" s="54">
        <v>24.5</v>
      </c>
      <c r="AA16">
        <f t="shared" si="0"/>
        <v>1.0897799858055359</v>
      </c>
      <c r="AB16" s="438">
        <v>3071</v>
      </c>
      <c r="AD16" s="1">
        <v>2006</v>
      </c>
      <c r="AE16" s="81"/>
      <c r="AF16" s="81"/>
      <c r="AG16" s="81"/>
      <c r="AH16" s="81"/>
      <c r="AI16" s="81"/>
      <c r="AJ16" s="81"/>
      <c r="AK16" s="81">
        <f>H16/SUM($B16:$W16)</f>
        <v>0.19567219152854512</v>
      </c>
      <c r="AL16" s="81"/>
      <c r="AM16" s="81"/>
      <c r="AN16" s="81">
        <f>K16/SUM($B16:$W16)</f>
        <v>0.64871086556169433</v>
      </c>
      <c r="AO16" s="81"/>
      <c r="AP16" s="81">
        <f>M16/SUM($B16:$W16)</f>
        <v>0.15561694290976058</v>
      </c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 s="8" customFormat="1" ht="18" customHeight="1" x14ac:dyDescent="0.2">
      <c r="A17" s="1">
        <v>2007</v>
      </c>
      <c r="B17" s="6"/>
      <c r="C17" s="6"/>
      <c r="D17" s="6"/>
      <c r="E17" s="6"/>
      <c r="F17" s="198">
        <v>1295</v>
      </c>
      <c r="G17" s="6">
        <v>427</v>
      </c>
      <c r="H17" s="6">
        <v>533</v>
      </c>
      <c r="I17" s="6">
        <v>1100</v>
      </c>
      <c r="J17" s="6">
        <v>331</v>
      </c>
      <c r="K17" s="6"/>
      <c r="L17" s="6"/>
      <c r="M17" s="6"/>
      <c r="N17" s="6"/>
      <c r="O17" s="6">
        <v>224</v>
      </c>
      <c r="P17" s="6"/>
      <c r="Q17" s="6"/>
      <c r="R17" s="6">
        <v>108</v>
      </c>
      <c r="S17" s="6"/>
      <c r="T17" s="1"/>
      <c r="U17" s="1"/>
      <c r="V17" s="1"/>
      <c r="W17" s="1"/>
      <c r="X17" s="12">
        <v>2764</v>
      </c>
      <c r="Y17" s="7" t="s">
        <v>5</v>
      </c>
      <c r="Z17" s="54">
        <v>25</v>
      </c>
      <c r="AA17">
        <f t="shared" si="0"/>
        <v>2.1343629343629344</v>
      </c>
      <c r="AB17" s="438">
        <v>2764</v>
      </c>
      <c r="AD17" s="1">
        <v>2007</v>
      </c>
      <c r="AE17" s="81"/>
      <c r="AF17" s="81"/>
      <c r="AG17" s="81"/>
      <c r="AH17" s="81"/>
      <c r="AI17" s="81">
        <f>F17/SUM($B17:$W17)</f>
        <v>0.32229965156794427</v>
      </c>
      <c r="AJ17" s="81">
        <f>G17/SUM($B17:$W17)</f>
        <v>0.10627177700348432</v>
      </c>
      <c r="AK17" s="81">
        <f>H17/SUM($B17:$W17)</f>
        <v>0.1326530612244898</v>
      </c>
      <c r="AL17" s="81">
        <f>I17/SUM($B17:$W17)</f>
        <v>0.273768043802887</v>
      </c>
      <c r="AM17" s="81">
        <f>J17/SUM($B17:$W17)</f>
        <v>8.2379293180686902E-2</v>
      </c>
      <c r="AN17" s="81"/>
      <c r="AO17" s="81"/>
      <c r="AP17" s="81"/>
      <c r="AQ17" s="81"/>
      <c r="AR17" s="81">
        <f>O17/SUM($B17:$W17)</f>
        <v>5.5749128919860627E-2</v>
      </c>
      <c r="AS17" s="81"/>
      <c r="AT17" s="81"/>
      <c r="AU17" s="81">
        <f>R17/SUM($B17:$W17)</f>
        <v>2.6879044300647088E-2</v>
      </c>
      <c r="AV17" s="81"/>
      <c r="AW17" s="81"/>
      <c r="AX17" s="81"/>
      <c r="AY17" s="81"/>
      <c r="AZ17" s="81"/>
    </row>
    <row r="18" spans="1:52" s="8" customFormat="1" ht="18" customHeight="1" x14ac:dyDescent="0.2">
      <c r="A18" s="1">
        <v>2008</v>
      </c>
      <c r="B18" s="1"/>
      <c r="C18" s="1"/>
      <c r="D18" s="1"/>
      <c r="E18" s="1"/>
      <c r="F18" s="1">
        <v>702</v>
      </c>
      <c r="G18" s="1"/>
      <c r="H18" s="1">
        <v>2151</v>
      </c>
      <c r="I18" s="1"/>
      <c r="J18" s="1">
        <v>554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>
        <v>2298</v>
      </c>
      <c r="Y18" s="7" t="s">
        <v>5</v>
      </c>
      <c r="Z18" s="62">
        <v>20</v>
      </c>
      <c r="AA18">
        <f t="shared" si="0"/>
        <v>1.0683403068340307</v>
      </c>
      <c r="AB18" s="438">
        <v>2683</v>
      </c>
      <c r="AD18" s="1">
        <v>2008</v>
      </c>
      <c r="AE18" s="81"/>
      <c r="AF18" s="81"/>
      <c r="AG18" s="81"/>
      <c r="AH18" s="81"/>
      <c r="AI18" s="81">
        <f>F18/SUM($B18:$W18)</f>
        <v>0.20604637511006751</v>
      </c>
      <c r="AJ18" s="81"/>
      <c r="AK18" s="81">
        <f>H18/SUM($B18:$W18)</f>
        <v>0.63134722629879658</v>
      </c>
      <c r="AL18" s="81"/>
      <c r="AM18" s="81">
        <f>J18/SUM($B18:$W18)</f>
        <v>0.1626063985911359</v>
      </c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 s="8" customFormat="1" ht="18" customHeight="1" x14ac:dyDescent="0.2">
      <c r="A19" s="1">
        <v>2009</v>
      </c>
      <c r="B19" s="1"/>
      <c r="C19" s="1"/>
      <c r="D19" s="1"/>
      <c r="E19" s="1"/>
      <c r="F19" s="1">
        <v>150</v>
      </c>
      <c r="G19" s="1"/>
      <c r="H19" s="1"/>
      <c r="I19" s="1"/>
      <c r="J19" s="1"/>
      <c r="K19" s="1">
        <v>1762</v>
      </c>
      <c r="L19" s="1">
        <v>1718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>
        <v>3440</v>
      </c>
      <c r="Y19" s="7" t="s">
        <v>5</v>
      </c>
      <c r="Z19" s="62">
        <v>30</v>
      </c>
      <c r="AA19">
        <f t="shared" si="0"/>
        <v>1.9523269012485811</v>
      </c>
      <c r="AB19" s="438">
        <v>3440</v>
      </c>
      <c r="AD19" s="1">
        <v>2009</v>
      </c>
      <c r="AE19" s="81"/>
      <c r="AF19" s="81"/>
      <c r="AG19" s="81"/>
      <c r="AH19" s="81"/>
      <c r="AI19" s="81">
        <f>F19/SUM($B19:$W19)</f>
        <v>4.1322314049586778E-2</v>
      </c>
      <c r="AJ19" s="81"/>
      <c r="AK19" s="81"/>
      <c r="AL19" s="81"/>
      <c r="AM19" s="81"/>
      <c r="AN19" s="81">
        <f>K19/SUM($B19:$W19)</f>
        <v>0.48539944903581267</v>
      </c>
      <c r="AO19" s="81">
        <f>L19/SUM($B19:$W19)</f>
        <v>0.47327823691460053</v>
      </c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 s="8" customFormat="1" ht="18" customHeight="1" x14ac:dyDescent="0.2">
      <c r="A20" s="1">
        <v>2010</v>
      </c>
      <c r="B20" s="1"/>
      <c r="C20" s="1"/>
      <c r="D20" s="1"/>
      <c r="E20" s="1">
        <v>2</v>
      </c>
      <c r="F20" s="1"/>
      <c r="G20" s="1">
        <v>36</v>
      </c>
      <c r="H20" s="1"/>
      <c r="I20" s="129">
        <v>1390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>
        <v>3560</v>
      </c>
      <c r="Y20" s="7"/>
      <c r="Z20" s="62"/>
      <c r="AA20">
        <f t="shared" si="0"/>
        <v>2.5611510791366907</v>
      </c>
      <c r="AB20" s="438">
        <v>3560</v>
      </c>
      <c r="AD20" s="1">
        <v>2010</v>
      </c>
      <c r="AE20" s="81"/>
      <c r="AF20" s="81"/>
      <c r="AG20" s="81"/>
      <c r="AH20" s="82">
        <f>E20/SUM($B20:$W20)</f>
        <v>1.4005602240896359E-3</v>
      </c>
      <c r="AI20" s="81"/>
      <c r="AJ20" s="81">
        <f>G20/SUM($B20:$W20)</f>
        <v>2.5210084033613446E-2</v>
      </c>
      <c r="AK20" s="81"/>
      <c r="AL20" s="81">
        <f t="shared" ref="AL20:AL25" si="2">I20/SUM($B20:$W20)</f>
        <v>0.9733893557422969</v>
      </c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1:52" s="8" customFormat="1" ht="18" customHeight="1" x14ac:dyDescent="0.2">
      <c r="A21" s="1">
        <v>2011</v>
      </c>
      <c r="B21" s="1"/>
      <c r="C21" s="1"/>
      <c r="D21" s="1"/>
      <c r="E21" s="1"/>
      <c r="F21" s="1">
        <v>407</v>
      </c>
      <c r="G21" s="1"/>
      <c r="H21" s="129">
        <v>1112</v>
      </c>
      <c r="I21" s="1">
        <v>973</v>
      </c>
      <c r="J21" s="1"/>
      <c r="K21" s="1"/>
      <c r="L21" s="1"/>
      <c r="M21" s="1">
        <v>525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>
        <v>3905</v>
      </c>
      <c r="Y21" s="7" t="s">
        <v>5</v>
      </c>
      <c r="Z21" s="62">
        <v>25</v>
      </c>
      <c r="AA21">
        <f t="shared" si="0"/>
        <v>3.5116906474820144</v>
      </c>
      <c r="AB21" s="438">
        <v>3905</v>
      </c>
      <c r="AD21" s="1">
        <v>2011</v>
      </c>
      <c r="AE21" s="81"/>
      <c r="AF21" s="81"/>
      <c r="AG21" s="81"/>
      <c r="AH21" s="81"/>
      <c r="AI21" s="81">
        <f>F21/SUM($B21:$W21)</f>
        <v>0.1349022207490885</v>
      </c>
      <c r="AJ21" s="81"/>
      <c r="AK21" s="81">
        <f>H21/SUM($B21:$W21)</f>
        <v>0.3685780576731853</v>
      </c>
      <c r="AL21" s="81">
        <f t="shared" si="2"/>
        <v>0.3225058004640371</v>
      </c>
      <c r="AM21" s="81"/>
      <c r="AN21" s="81"/>
      <c r="AO21" s="81"/>
      <c r="AP21" s="81">
        <f>M21/SUM($B21:$W21)</f>
        <v>0.1740139211136891</v>
      </c>
      <c r="AQ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1:52" s="8" customFormat="1" ht="18" customHeight="1" x14ac:dyDescent="0.2">
      <c r="A22" s="1">
        <v>2012</v>
      </c>
      <c r="B22" s="1"/>
      <c r="C22" s="1"/>
      <c r="D22" s="1"/>
      <c r="E22" s="1">
        <v>20</v>
      </c>
      <c r="F22" s="1">
        <v>394</v>
      </c>
      <c r="G22" s="1">
        <v>722</v>
      </c>
      <c r="H22" s="1">
        <v>596</v>
      </c>
      <c r="I22" s="1">
        <v>885</v>
      </c>
      <c r="J22" s="129">
        <v>1092</v>
      </c>
      <c r="K22" s="1">
        <v>902</v>
      </c>
      <c r="L22" s="1">
        <v>633</v>
      </c>
      <c r="M22" s="1"/>
      <c r="N22" s="1">
        <v>654</v>
      </c>
      <c r="O22" s="1"/>
      <c r="P22" s="1"/>
      <c r="Q22" s="1"/>
      <c r="R22" s="1"/>
      <c r="S22" s="1"/>
      <c r="T22" s="1"/>
      <c r="U22" s="1"/>
      <c r="V22" s="1"/>
      <c r="W22" s="1"/>
      <c r="X22" s="1">
        <v>2364</v>
      </c>
      <c r="Y22" s="7" t="s">
        <v>5</v>
      </c>
      <c r="Z22" s="62">
        <v>30</v>
      </c>
      <c r="AA22">
        <f t="shared" si="0"/>
        <v>2.1648351648351647</v>
      </c>
      <c r="AB22" s="438">
        <v>2364</v>
      </c>
      <c r="AD22" s="1">
        <v>2012</v>
      </c>
      <c r="AE22" s="81"/>
      <c r="AF22" s="81"/>
      <c r="AG22" s="81"/>
      <c r="AH22" s="81"/>
      <c r="AI22" s="81">
        <f>F22/SUM($B22:$W22)</f>
        <v>6.6802305866395392E-2</v>
      </c>
      <c r="AJ22" s="81">
        <f>G22/SUM($B22:$W22)</f>
        <v>0.12241437775517125</v>
      </c>
      <c r="AK22" s="81">
        <f>H22/SUM($B22:$W22)</f>
        <v>0.10105120379789759</v>
      </c>
      <c r="AL22" s="81">
        <f t="shared" si="2"/>
        <v>0.15005086469989828</v>
      </c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1:52" s="8" customFormat="1" ht="18" customHeight="1" x14ac:dyDescent="0.2">
      <c r="A23" s="1">
        <v>2013</v>
      </c>
      <c r="B23" s="1"/>
      <c r="C23" s="1"/>
      <c r="D23" s="1"/>
      <c r="E23" s="1">
        <v>8</v>
      </c>
      <c r="F23" s="1">
        <v>25</v>
      </c>
      <c r="G23" s="1">
        <v>28</v>
      </c>
      <c r="H23" s="1">
        <v>95</v>
      </c>
      <c r="I23" s="1">
        <v>479</v>
      </c>
      <c r="J23" s="1"/>
      <c r="K23" s="1"/>
      <c r="L23" s="1">
        <v>827</v>
      </c>
      <c r="M23" s="1">
        <v>1360</v>
      </c>
      <c r="N23" s="1">
        <v>976</v>
      </c>
      <c r="O23" s="1">
        <v>1140</v>
      </c>
      <c r="P23" s="1">
        <v>470</v>
      </c>
      <c r="Q23" s="1"/>
      <c r="R23" s="1">
        <v>267</v>
      </c>
      <c r="S23" s="1"/>
      <c r="T23" s="1"/>
      <c r="U23" s="1"/>
      <c r="V23" s="1"/>
      <c r="W23" s="1"/>
      <c r="X23" s="1">
        <v>2081</v>
      </c>
      <c r="Y23" s="7" t="s">
        <v>5</v>
      </c>
      <c r="Z23" s="62">
        <v>35</v>
      </c>
      <c r="AA23">
        <f t="shared" si="0"/>
        <v>1.5301470588235293</v>
      </c>
      <c r="AB23" s="438">
        <v>2081</v>
      </c>
      <c r="AD23" s="1">
        <v>2013</v>
      </c>
      <c r="AE23" s="81"/>
      <c r="AF23" s="81"/>
      <c r="AG23" s="81"/>
      <c r="AH23" s="81">
        <f>E23/SUM($B23:$W23)</f>
        <v>1.4096916299559472E-3</v>
      </c>
      <c r="AI23" s="81">
        <f>F23/SUM($B23:$W23)</f>
        <v>4.4052863436123352E-3</v>
      </c>
      <c r="AJ23" s="81">
        <f>G23/SUM($B23:$W23)</f>
        <v>4.933920704845815E-3</v>
      </c>
      <c r="AK23" s="81">
        <f>H23/SUM($B23:$W23)</f>
        <v>1.6740088105726872E-2</v>
      </c>
      <c r="AL23" s="81">
        <f t="shared" si="2"/>
        <v>8.4405286343612329E-2</v>
      </c>
      <c r="AM23" s="81"/>
      <c r="AN23" s="81"/>
      <c r="AO23" s="81">
        <f>L23/SUM($B23:$W23)</f>
        <v>0.14572687224669603</v>
      </c>
      <c r="AP23" s="81">
        <f>M23/SUM($B23:$W23)</f>
        <v>0.239647577092511</v>
      </c>
      <c r="AQ23" s="81">
        <f>N23/SUM($B23:$W23)</f>
        <v>0.17198237885462556</v>
      </c>
      <c r="AR23" s="81">
        <f>O23/SUM($B23:$W23)</f>
        <v>0.20088105726872246</v>
      </c>
      <c r="AS23" s="81">
        <f>P23/SUM($B23:$W23)</f>
        <v>8.2819383259911894E-2</v>
      </c>
      <c r="AT23" s="81"/>
      <c r="AU23" s="81">
        <f>R23/SUM($B23:$W23)</f>
        <v>4.7048458149779739E-2</v>
      </c>
      <c r="AV23" s="81"/>
      <c r="AW23" s="81"/>
      <c r="AX23" s="81"/>
      <c r="AY23" s="81"/>
      <c r="AZ23" s="81"/>
    </row>
    <row r="24" spans="1:52" s="8" customFormat="1" ht="18" customHeight="1" x14ac:dyDescent="0.2">
      <c r="A24" s="1">
        <v>2014</v>
      </c>
      <c r="B24" s="1"/>
      <c r="C24" s="1"/>
      <c r="D24" s="1"/>
      <c r="E24" s="1"/>
      <c r="F24" s="186">
        <v>21</v>
      </c>
      <c r="G24" s="186">
        <v>244</v>
      </c>
      <c r="H24" s="189">
        <v>209</v>
      </c>
      <c r="I24" s="189">
        <v>818</v>
      </c>
      <c r="J24" s="189">
        <v>690</v>
      </c>
      <c r="K24" s="199">
        <v>948</v>
      </c>
      <c r="L24" s="187"/>
      <c r="M24" s="187"/>
      <c r="N24" s="187"/>
      <c r="O24" s="187"/>
      <c r="P24" s="187"/>
      <c r="Q24" s="188">
        <v>50</v>
      </c>
      <c r="R24" s="1"/>
      <c r="S24" s="1"/>
      <c r="T24" s="1"/>
      <c r="U24" s="1"/>
      <c r="V24" s="1"/>
      <c r="W24" s="1"/>
      <c r="X24" s="1">
        <v>1185</v>
      </c>
      <c r="Y24" s="7" t="s">
        <v>9</v>
      </c>
      <c r="Z24" s="62"/>
      <c r="AA24">
        <f t="shared" si="0"/>
        <v>1.25</v>
      </c>
      <c r="AB24" s="438">
        <v>1185</v>
      </c>
      <c r="AD24" s="1">
        <v>2014</v>
      </c>
      <c r="AE24" s="81"/>
      <c r="AF24" s="81"/>
      <c r="AG24" s="81"/>
      <c r="AH24" s="81"/>
      <c r="AI24" s="81">
        <f>F24/SUM($B24:$W24)</f>
        <v>7.046979865771812E-3</v>
      </c>
      <c r="AJ24" s="81">
        <f>G24/SUM($B24:$W24)</f>
        <v>8.1879194630872482E-2</v>
      </c>
      <c r="AK24" s="81">
        <f>H24/SUM($B24:$W24)</f>
        <v>7.0134228187919465E-2</v>
      </c>
      <c r="AL24" s="81">
        <f t="shared" si="2"/>
        <v>0.27449664429530202</v>
      </c>
      <c r="AM24" s="81">
        <f>J24/SUM($B24:$W24)</f>
        <v>0.23154362416107382</v>
      </c>
      <c r="AN24" s="81">
        <f>K24/SUM($B24:$W24)</f>
        <v>0.31812080536912751</v>
      </c>
      <c r="AO24" s="81"/>
      <c r="AP24" s="81"/>
      <c r="AQ24" s="81"/>
      <c r="AR24" s="81"/>
      <c r="AS24" s="81"/>
      <c r="AT24" s="81">
        <f>Q24/SUM($B24:$W24)</f>
        <v>1.6778523489932886E-2</v>
      </c>
      <c r="AU24" s="81"/>
      <c r="AV24" s="81"/>
      <c r="AW24" s="81"/>
      <c r="AX24" s="81"/>
      <c r="AY24" s="81"/>
      <c r="AZ24" s="81"/>
    </row>
    <row r="25" spans="1:52" s="8" customFormat="1" ht="18" customHeight="1" x14ac:dyDescent="0.2">
      <c r="A25" s="1">
        <v>2015</v>
      </c>
      <c r="B25" s="1"/>
      <c r="C25" s="1"/>
      <c r="D25" s="1"/>
      <c r="E25" s="1"/>
      <c r="F25" s="1">
        <v>108</v>
      </c>
      <c r="G25" s="1"/>
      <c r="H25" s="1">
        <v>1134</v>
      </c>
      <c r="I25" s="1">
        <v>1222</v>
      </c>
      <c r="J25" s="1"/>
      <c r="K25" s="1">
        <v>2907</v>
      </c>
      <c r="L25" s="1"/>
      <c r="M25" s="1"/>
      <c r="N25" s="1"/>
      <c r="O25" s="1"/>
      <c r="P25" s="1"/>
      <c r="Q25" s="1"/>
      <c r="R25" s="1"/>
      <c r="S25" s="238">
        <v>500</v>
      </c>
      <c r="T25" s="1"/>
      <c r="U25" s="1"/>
      <c r="V25" s="1"/>
      <c r="W25" s="1"/>
      <c r="X25" s="1">
        <v>6516</v>
      </c>
      <c r="Y25" s="7" t="s">
        <v>5</v>
      </c>
      <c r="Z25" s="62">
        <v>35</v>
      </c>
      <c r="AA25">
        <f t="shared" si="0"/>
        <v>2.2414860681114552</v>
      </c>
      <c r="AB25" s="438">
        <v>6516</v>
      </c>
      <c r="AD25" s="1">
        <v>2015</v>
      </c>
      <c r="AE25" s="81"/>
      <c r="AF25" s="81"/>
      <c r="AG25" s="81"/>
      <c r="AH25" s="81"/>
      <c r="AI25" s="81">
        <f>F25/SUM($B25:$W25)</f>
        <v>1.8395503321410323E-2</v>
      </c>
      <c r="AJ25" s="81"/>
      <c r="AK25" s="81">
        <f>H25/SUM($B25:$W25)</f>
        <v>0.19315278487480839</v>
      </c>
      <c r="AL25" s="81">
        <f t="shared" si="2"/>
        <v>0.20814171350706864</v>
      </c>
      <c r="AM25" s="81"/>
      <c r="AN25" s="81">
        <f>K25/SUM($B25:$W25)</f>
        <v>0.49514563106796117</v>
      </c>
      <c r="AO25" s="81"/>
      <c r="AP25" s="81"/>
      <c r="AQ25" s="81"/>
      <c r="AR25" s="81"/>
      <c r="AS25" s="81"/>
      <c r="AT25" s="81"/>
      <c r="AU25" s="81"/>
      <c r="AV25" s="81">
        <f>S25/SUM($B25:$W25)</f>
        <v>8.5164367228751495E-2</v>
      </c>
      <c r="AW25" s="81"/>
      <c r="AX25" s="81"/>
      <c r="AY25" s="81"/>
      <c r="AZ25" s="81"/>
    </row>
    <row r="26" spans="1:52" s="8" customFormat="1" ht="18" customHeight="1" x14ac:dyDescent="0.2">
      <c r="A26" s="1">
        <v>2016</v>
      </c>
      <c r="B26" s="1"/>
      <c r="C26" s="1"/>
      <c r="D26" s="1"/>
      <c r="E26" s="1"/>
      <c r="F26" s="189">
        <v>88</v>
      </c>
      <c r="G26" s="1"/>
      <c r="H26" s="189">
        <v>1121</v>
      </c>
      <c r="I26" s="343">
        <v>530</v>
      </c>
      <c r="J26" s="1"/>
      <c r="K26" s="343">
        <v>792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>
        <v>1606</v>
      </c>
      <c r="Y26" s="7" t="s">
        <v>5</v>
      </c>
      <c r="Z26" s="62">
        <v>35</v>
      </c>
      <c r="AA26">
        <f t="shared" si="0"/>
        <v>1.4326494201605708</v>
      </c>
      <c r="AB26" s="438">
        <v>2101</v>
      </c>
      <c r="AD26" s="1">
        <v>2016</v>
      </c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 s="8" customFormat="1" ht="18" customHeight="1" x14ac:dyDescent="0.2">
      <c r="A27" s="1">
        <v>2017</v>
      </c>
      <c r="B27" s="1"/>
      <c r="C27" s="1"/>
      <c r="D27" s="1"/>
      <c r="E27" s="1"/>
      <c r="F27" s="186">
        <v>105</v>
      </c>
      <c r="G27" s="499">
        <v>1019</v>
      </c>
      <c r="H27" s="499">
        <v>2889</v>
      </c>
      <c r="I27" s="499">
        <v>1678</v>
      </c>
      <c r="J27" s="186">
        <v>2150</v>
      </c>
      <c r="K27" s="186">
        <v>2616</v>
      </c>
      <c r="L27" s="1"/>
      <c r="M27" s="1"/>
      <c r="N27" s="1"/>
      <c r="O27" s="500">
        <v>1072</v>
      </c>
      <c r="P27" s="1"/>
      <c r="Q27" s="1"/>
      <c r="R27" s="1"/>
      <c r="S27" s="1"/>
      <c r="T27" s="1"/>
      <c r="U27" s="1"/>
      <c r="V27" s="1"/>
      <c r="W27" s="1"/>
      <c r="X27" s="1">
        <v>4507</v>
      </c>
      <c r="Y27" s="7" t="s">
        <v>5</v>
      </c>
      <c r="Z27" s="62">
        <v>35</v>
      </c>
      <c r="AA27">
        <f t="shared" si="0"/>
        <v>1.560055382485289</v>
      </c>
      <c r="AB27" s="438">
        <v>5638</v>
      </c>
      <c r="AD27" s="1">
        <v>2017</v>
      </c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 s="8" customFormat="1" ht="18" customHeight="1" x14ac:dyDescent="0.2">
      <c r="A28" s="1">
        <v>2018</v>
      </c>
      <c r="B28" s="1"/>
      <c r="C28" s="1"/>
      <c r="D28" s="1"/>
      <c r="E28" s="1"/>
      <c r="F28" s="186">
        <v>2</v>
      </c>
      <c r="G28" s="1"/>
      <c r="H28" s="1"/>
      <c r="I28" s="1"/>
      <c r="J28" s="569">
        <v>195</v>
      </c>
      <c r="K28" s="1"/>
      <c r="L28" s="569">
        <v>471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>
        <v>723</v>
      </c>
      <c r="Y28" s="7" t="s">
        <v>9</v>
      </c>
      <c r="Z28" s="62"/>
      <c r="AA28">
        <f t="shared" si="0"/>
        <v>1.5350318471337581</v>
      </c>
      <c r="AB28" s="717">
        <v>4610</v>
      </c>
      <c r="AC28" s="8" t="s">
        <v>491</v>
      </c>
      <c r="AD28" s="1">
        <v>2018</v>
      </c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 s="8" customFormat="1" ht="18" customHeight="1" x14ac:dyDescent="0.2">
      <c r="A29" s="1">
        <v>2019</v>
      </c>
      <c r="B29" s="1"/>
      <c r="C29" s="1"/>
      <c r="D29" s="1"/>
      <c r="E29" s="1"/>
      <c r="F29" s="186">
        <v>12</v>
      </c>
      <c r="G29" s="1"/>
      <c r="H29" s="106">
        <v>1001</v>
      </c>
      <c r="I29" s="1"/>
      <c r="J29" s="106">
        <v>1491</v>
      </c>
      <c r="K29" s="106">
        <v>1498</v>
      </c>
      <c r="L29" s="1"/>
      <c r="M29" s="1"/>
      <c r="N29" s="536">
        <v>1840</v>
      </c>
      <c r="O29" s="156">
        <v>2034</v>
      </c>
      <c r="P29" s="156">
        <v>2118</v>
      </c>
      <c r="Q29" s="1"/>
      <c r="R29" s="1"/>
      <c r="S29" s="1"/>
      <c r="T29" s="1"/>
      <c r="U29" s="1"/>
      <c r="V29" s="1"/>
      <c r="W29" s="1"/>
      <c r="X29" s="1">
        <f>4233+342</f>
        <v>4575</v>
      </c>
      <c r="Y29" s="7" t="s">
        <v>5</v>
      </c>
      <c r="Z29" s="62">
        <v>35</v>
      </c>
      <c r="AA29">
        <f t="shared" si="0"/>
        <v>2.1600566572237963</v>
      </c>
      <c r="AB29" s="438">
        <v>4965</v>
      </c>
      <c r="AD29" s="1">
        <v>2019</v>
      </c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 s="8" customFormat="1" ht="18" customHeight="1" x14ac:dyDescent="0.2">
      <c r="A30" s="1">
        <v>2020</v>
      </c>
      <c r="B30" s="1"/>
      <c r="C30" s="1"/>
      <c r="D30" s="1"/>
      <c r="E30" s="1"/>
      <c r="F30" s="1"/>
      <c r="G30" s="106">
        <v>1175</v>
      </c>
      <c r="H30" s="1"/>
      <c r="I30" s="106">
        <v>2009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769">
        <v>2165</v>
      </c>
      <c r="Y30" s="7"/>
      <c r="Z30" s="62"/>
      <c r="AA30">
        <f t="shared" si="0"/>
        <v>1.0776505724240917</v>
      </c>
      <c r="AB30"/>
      <c r="AC30"/>
      <c r="AD30" s="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 s="94" customFormat="1" ht="18" customHeight="1" x14ac:dyDescent="0.2">
      <c r="A31" s="227">
        <v>2021</v>
      </c>
      <c r="B31" s="227"/>
      <c r="C31" s="227"/>
      <c r="D31" s="227"/>
      <c r="E31" s="227"/>
      <c r="F31" s="106">
        <v>5</v>
      </c>
      <c r="G31" s="227"/>
      <c r="H31" s="585">
        <v>1351</v>
      </c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>
        <v>1857</v>
      </c>
      <c r="Y31" s="11" t="s">
        <v>5</v>
      </c>
      <c r="Z31" s="750"/>
      <c r="AA31">
        <f t="shared" si="0"/>
        <v>1.3745373797187268</v>
      </c>
      <c r="AB31" s="151"/>
      <c r="AC31" s="151"/>
      <c r="AD31" s="227"/>
      <c r="AE31" s="451"/>
      <c r="AF31" s="451"/>
      <c r="AG31" s="451"/>
      <c r="AH31" s="451"/>
      <c r="AI31" s="451"/>
      <c r="AJ31" s="451"/>
      <c r="AK31" s="451"/>
      <c r="AL31" s="451"/>
      <c r="AM31" s="451"/>
      <c r="AN31" s="451"/>
      <c r="AO31" s="451"/>
      <c r="AP31" s="451"/>
      <c r="AQ31" s="451"/>
      <c r="AR31" s="451"/>
      <c r="AS31" s="451"/>
      <c r="AT31" s="451"/>
      <c r="AU31" s="451"/>
      <c r="AV31" s="451"/>
      <c r="AW31" s="451"/>
      <c r="AX31" s="451"/>
      <c r="AY31" s="451"/>
      <c r="AZ31" s="451"/>
    </row>
    <row r="32" spans="1:52" s="94" customFormat="1" ht="18" customHeight="1" x14ac:dyDescent="0.2">
      <c r="A32" s="227">
        <v>2022</v>
      </c>
      <c r="B32" s="227"/>
      <c r="C32" s="227"/>
      <c r="D32" s="227"/>
      <c r="E32" s="227"/>
      <c r="F32" s="227"/>
      <c r="G32" s="106">
        <v>10</v>
      </c>
      <c r="H32" s="872"/>
      <c r="I32" s="106">
        <v>495</v>
      </c>
      <c r="J32" s="106">
        <v>687</v>
      </c>
      <c r="K32" s="227"/>
      <c r="L32" s="106">
        <v>770</v>
      </c>
      <c r="M32" s="227"/>
      <c r="N32" s="227"/>
      <c r="O32" s="227"/>
      <c r="P32" s="227"/>
      <c r="Q32" s="536">
        <v>702</v>
      </c>
      <c r="R32" s="227"/>
      <c r="S32" s="227"/>
      <c r="T32" s="227"/>
      <c r="U32" s="227"/>
      <c r="V32" s="227"/>
      <c r="W32" s="227"/>
      <c r="X32" s="227">
        <v>2687</v>
      </c>
      <c r="Y32" s="11"/>
      <c r="Z32" s="750">
        <v>25</v>
      </c>
      <c r="AA32">
        <f t="shared" si="0"/>
        <v>3.4896103896103896</v>
      </c>
      <c r="AB32" s="151"/>
      <c r="AC32" s="151"/>
      <c r="AD32" s="227"/>
      <c r="AE32" s="451"/>
      <c r="AF32" s="451"/>
      <c r="AG32" s="451"/>
      <c r="AH32" s="451"/>
      <c r="AI32" s="451"/>
      <c r="AJ32" s="451"/>
      <c r="AK32" s="451"/>
      <c r="AL32" s="451"/>
      <c r="AM32" s="451"/>
      <c r="AN32" s="451"/>
      <c r="AO32" s="451"/>
      <c r="AP32" s="451"/>
      <c r="AQ32" s="451"/>
      <c r="AR32" s="451"/>
      <c r="AS32" s="451"/>
      <c r="AT32" s="451"/>
      <c r="AU32" s="451"/>
      <c r="AV32" s="451"/>
      <c r="AW32" s="451"/>
      <c r="AX32" s="451"/>
      <c r="AY32" s="451"/>
      <c r="AZ32" s="451"/>
    </row>
    <row r="33" spans="1:52" s="94" customFormat="1" ht="18" customHeight="1" x14ac:dyDescent="0.2">
      <c r="A33" s="227">
        <v>2023</v>
      </c>
      <c r="B33" s="227"/>
      <c r="C33" s="227"/>
      <c r="D33" s="227"/>
      <c r="E33" s="106">
        <v>332</v>
      </c>
      <c r="F33" s="106">
        <v>349</v>
      </c>
      <c r="G33" s="106">
        <v>941</v>
      </c>
      <c r="H33" s="227"/>
      <c r="I33" s="227"/>
      <c r="J33" s="106">
        <v>2873</v>
      </c>
      <c r="K33" s="427">
        <v>2069</v>
      </c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11"/>
      <c r="Z33" s="750"/>
      <c r="AA33"/>
      <c r="AB33" s="151"/>
      <c r="AC33" s="151"/>
      <c r="AD33" s="227"/>
      <c r="AE33" s="451"/>
      <c r="AF33" s="451"/>
      <c r="AG33" s="451"/>
      <c r="AH33" s="451"/>
      <c r="AI33" s="451"/>
      <c r="AJ33" s="451"/>
      <c r="AK33" s="451"/>
      <c r="AL33" s="451"/>
      <c r="AM33" s="451"/>
      <c r="AN33" s="451"/>
      <c r="AO33" s="451"/>
      <c r="AP33" s="451"/>
      <c r="AQ33" s="451"/>
      <c r="AR33" s="451"/>
      <c r="AS33" s="451"/>
      <c r="AT33" s="451"/>
      <c r="AU33" s="451"/>
      <c r="AV33" s="451"/>
      <c r="AW33" s="451"/>
      <c r="AX33" s="451"/>
      <c r="AY33" s="451"/>
      <c r="AZ33" s="451"/>
    </row>
    <row r="34" spans="1:52" s="8" customFormat="1" ht="18" customHeight="1" x14ac:dyDescent="0.2">
      <c r="A34" s="64" t="s">
        <v>17</v>
      </c>
      <c r="B34" s="16"/>
      <c r="C34" s="16"/>
      <c r="D34" s="16">
        <f t="shared" ref="D34:S34" si="3">AVERAGE(D5:D19)</f>
        <v>2.5</v>
      </c>
      <c r="E34" s="16">
        <f t="shared" si="3"/>
        <v>292.5</v>
      </c>
      <c r="F34" s="16">
        <f t="shared" si="3"/>
        <v>497.16666666666669</v>
      </c>
      <c r="G34" s="16">
        <f t="shared" si="3"/>
        <v>1149.6666666666667</v>
      </c>
      <c r="H34" s="16">
        <f t="shared" si="3"/>
        <v>1057</v>
      </c>
      <c r="I34" s="16">
        <f t="shared" si="3"/>
        <v>1054.090909090909</v>
      </c>
      <c r="J34" s="16">
        <f t="shared" si="3"/>
        <v>1411.5</v>
      </c>
      <c r="K34" s="16">
        <f t="shared" si="3"/>
        <v>1782.8571428571429</v>
      </c>
      <c r="L34" s="16">
        <f t="shared" si="3"/>
        <v>1258.5</v>
      </c>
      <c r="M34" s="16">
        <f t="shared" si="3"/>
        <v>1526</v>
      </c>
      <c r="N34" s="16"/>
      <c r="O34" s="16">
        <f t="shared" si="3"/>
        <v>1033.3333333333333</v>
      </c>
      <c r="P34" s="16">
        <f t="shared" si="3"/>
        <v>835</v>
      </c>
      <c r="Q34" s="16">
        <f t="shared" si="3"/>
        <v>632.5</v>
      </c>
      <c r="R34" s="16">
        <f t="shared" si="3"/>
        <v>108</v>
      </c>
      <c r="S34" s="16">
        <f t="shared" si="3"/>
        <v>23</v>
      </c>
      <c r="T34" s="16"/>
      <c r="U34" s="16"/>
      <c r="V34" s="16"/>
      <c r="W34" s="16"/>
      <c r="X34" s="16">
        <f>AVERAGE(X5:X19)</f>
        <v>2738.8666666666668</v>
      </c>
      <c r="Y34" s="17"/>
      <c r="Z34" s="16">
        <f>AVERAGE(Z5:Z19)</f>
        <v>31.318181818181817</v>
      </c>
      <c r="AB34"/>
      <c r="AC34"/>
      <c r="AD34" s="64" t="s">
        <v>17</v>
      </c>
      <c r="AE34" s="16"/>
      <c r="AF34" s="16"/>
      <c r="AG34" s="83">
        <f t="shared" ref="AG34:AP34" si="4">AVERAGE(AG5:AG21)</f>
        <v>3.0240716100157251E-4</v>
      </c>
      <c r="AH34" s="83">
        <f t="shared" si="4"/>
        <v>2.4812490835801088E-2</v>
      </c>
      <c r="AI34" s="83">
        <f t="shared" si="4"/>
        <v>0.14033612145133215</v>
      </c>
      <c r="AJ34" s="83">
        <f t="shared" si="4"/>
        <v>0.15094836772698361</v>
      </c>
      <c r="AK34" s="83">
        <f t="shared" si="4"/>
        <v>0.2903546200240914</v>
      </c>
      <c r="AL34" s="83">
        <f t="shared" si="4"/>
        <v>0.43694916445791188</v>
      </c>
      <c r="AM34" s="83">
        <f t="shared" si="4"/>
        <v>0.27150772420275893</v>
      </c>
      <c r="AN34" s="83">
        <f t="shared" si="4"/>
        <v>0.45450206554924527</v>
      </c>
      <c r="AO34" s="83">
        <f t="shared" si="4"/>
        <v>0.39404652586470768</v>
      </c>
      <c r="AP34" s="83">
        <f t="shared" si="4"/>
        <v>0.25366282095110992</v>
      </c>
      <c r="AQ34" s="83"/>
      <c r="AR34" s="83">
        <f>AVERAGE(AR5:AR21)</f>
        <v>0.20684720620037941</v>
      </c>
      <c r="AS34" s="83">
        <f>AVERAGE(AS5:AS21)</f>
        <v>0.27154471544715447</v>
      </c>
      <c r="AT34" s="83">
        <f>AVERAGE(AT5:AT21)</f>
        <v>0.18700488487453881</v>
      </c>
      <c r="AU34" s="83">
        <f>AVERAGE(AU5:AU21)</f>
        <v>2.6879044300647088E-2</v>
      </c>
      <c r="AV34" s="83">
        <f>AVERAGE(AV5:AV21)</f>
        <v>9.0622537431048061E-3</v>
      </c>
      <c r="AW34" s="16"/>
      <c r="AX34" s="16"/>
      <c r="AY34" s="16"/>
      <c r="AZ34" s="16"/>
    </row>
    <row r="35" spans="1:52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52" ht="18" customHeight="1" x14ac:dyDescent="0.2">
      <c r="A36" s="1002" t="s">
        <v>641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52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52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2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A39" s="2" t="s">
        <v>141</v>
      </c>
      <c r="AB39" t="s">
        <v>142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52" ht="18" customHeight="1" x14ac:dyDescent="0.2">
      <c r="A40" s="1">
        <v>1995</v>
      </c>
      <c r="B40" s="6"/>
      <c r="C40" s="6"/>
      <c r="D40" s="6"/>
      <c r="E40" s="6"/>
      <c r="F40" s="6"/>
      <c r="G40" s="6"/>
      <c r="H40" s="6"/>
      <c r="I40" s="6">
        <v>323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13"/>
      <c r="U40" s="13"/>
      <c r="V40" s="13"/>
      <c r="W40" s="13"/>
      <c r="X40" s="29">
        <v>1833</v>
      </c>
      <c r="Y40" s="7"/>
      <c r="Z40" s="58"/>
      <c r="AA40" s="2">
        <f>MAX(B40:W40)</f>
        <v>323</v>
      </c>
      <c r="AB40">
        <f>X40/MAX(B40:W40)</f>
        <v>5.6749226006191948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2" ht="18" customHeight="1" x14ac:dyDescent="0.2">
      <c r="A41" s="1">
        <v>1996</v>
      </c>
      <c r="B41" s="6"/>
      <c r="C41" s="6"/>
      <c r="D41" s="6">
        <v>300</v>
      </c>
      <c r="E41" s="6">
        <v>293</v>
      </c>
      <c r="F41" s="6"/>
      <c r="G41" s="6">
        <v>151</v>
      </c>
      <c r="H41" s="6"/>
      <c r="I41" s="6"/>
      <c r="J41" s="6">
        <v>150</v>
      </c>
      <c r="K41" s="6"/>
      <c r="L41" s="6"/>
      <c r="M41" s="6"/>
      <c r="N41" s="6"/>
      <c r="O41" s="6">
        <v>3</v>
      </c>
      <c r="P41" s="6"/>
      <c r="Q41" s="6"/>
      <c r="R41" s="6"/>
      <c r="S41" s="6"/>
      <c r="T41" s="13"/>
      <c r="U41" s="13"/>
      <c r="V41" s="13"/>
      <c r="W41" s="13"/>
      <c r="X41" s="29">
        <v>743</v>
      </c>
      <c r="Y41" s="7"/>
      <c r="Z41" s="60"/>
      <c r="AA41" s="2">
        <f t="shared" ref="AA41:AA61" si="5">MAX(B41:W41)</f>
        <v>300</v>
      </c>
      <c r="AB41">
        <f t="shared" ref="AB41:AB61" si="6">X41/MAX(B41:W41)</f>
        <v>2.4766666666666666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2" ht="18" customHeight="1" x14ac:dyDescent="0.2">
      <c r="A42" s="1">
        <v>1997</v>
      </c>
      <c r="B42" s="6">
        <v>12</v>
      </c>
      <c r="C42" s="6"/>
      <c r="D42" s="6"/>
      <c r="E42" s="6"/>
      <c r="F42" s="6">
        <v>266</v>
      </c>
      <c r="G42" s="6"/>
      <c r="H42" s="6">
        <v>157</v>
      </c>
      <c r="I42" s="6">
        <v>324</v>
      </c>
      <c r="J42" s="6"/>
      <c r="K42" s="6"/>
      <c r="L42" s="6"/>
      <c r="M42" s="6">
        <v>7</v>
      </c>
      <c r="N42" s="6"/>
      <c r="O42" s="6"/>
      <c r="P42" s="6"/>
      <c r="Q42" s="6">
        <v>0</v>
      </c>
      <c r="R42" s="6"/>
      <c r="S42" s="6"/>
      <c r="T42" s="13"/>
      <c r="U42" s="13"/>
      <c r="V42" s="13"/>
      <c r="W42" s="13"/>
      <c r="X42" s="29">
        <v>638</v>
      </c>
      <c r="Y42" s="7" t="s">
        <v>5</v>
      </c>
      <c r="Z42" s="58">
        <v>25</v>
      </c>
      <c r="AA42" s="2">
        <f t="shared" si="5"/>
        <v>324</v>
      </c>
      <c r="AB42">
        <f t="shared" si="6"/>
        <v>1.9691358024691359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2" ht="18" customHeight="1" x14ac:dyDescent="0.2">
      <c r="A43" s="1">
        <v>1998</v>
      </c>
      <c r="B43" s="6"/>
      <c r="C43" s="6"/>
      <c r="D43" s="6">
        <v>9</v>
      </c>
      <c r="E43" s="6"/>
      <c r="F43" s="6">
        <v>415</v>
      </c>
      <c r="G43" s="6"/>
      <c r="H43" s="6"/>
      <c r="I43" s="6">
        <v>884</v>
      </c>
      <c r="J43" s="6"/>
      <c r="K43" s="6">
        <v>586</v>
      </c>
      <c r="L43" s="6"/>
      <c r="M43" s="6">
        <v>604</v>
      </c>
      <c r="N43" s="6"/>
      <c r="O43" s="6"/>
      <c r="P43" s="6"/>
      <c r="Q43" s="6"/>
      <c r="R43" s="6"/>
      <c r="S43" s="6"/>
      <c r="T43" s="13"/>
      <c r="U43" s="13"/>
      <c r="V43" s="13"/>
      <c r="W43" s="13"/>
      <c r="X43" s="29">
        <v>1634</v>
      </c>
      <c r="Y43" s="7" t="s">
        <v>5</v>
      </c>
      <c r="Z43" s="58">
        <v>20</v>
      </c>
      <c r="AA43" s="2">
        <f t="shared" si="5"/>
        <v>884</v>
      </c>
      <c r="AB43">
        <f t="shared" si="6"/>
        <v>1.8484162895927603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2" ht="18" customHeight="1" x14ac:dyDescent="0.2">
      <c r="A44" s="1">
        <v>1999</v>
      </c>
      <c r="B44" s="6"/>
      <c r="C44" s="6"/>
      <c r="D44" s="6"/>
      <c r="E44" s="6"/>
      <c r="F44" s="6"/>
      <c r="G44" s="6"/>
      <c r="H44" s="6">
        <v>293</v>
      </c>
      <c r="I44" s="6">
        <v>320</v>
      </c>
      <c r="J44" s="6"/>
      <c r="K44" s="6">
        <v>253</v>
      </c>
      <c r="L44" s="6"/>
      <c r="M44" s="6">
        <v>250</v>
      </c>
      <c r="N44" s="6"/>
      <c r="O44" s="6"/>
      <c r="P44" s="6"/>
      <c r="Q44" s="6"/>
      <c r="R44" s="6"/>
      <c r="S44" s="6"/>
      <c r="T44" s="13"/>
      <c r="U44" s="13"/>
      <c r="V44" s="13"/>
      <c r="W44" s="13"/>
      <c r="X44" s="29">
        <v>852</v>
      </c>
      <c r="Y44" s="7" t="s">
        <v>5</v>
      </c>
      <c r="Z44" s="58">
        <v>30</v>
      </c>
      <c r="AA44" s="2">
        <f t="shared" si="5"/>
        <v>320</v>
      </c>
      <c r="AB44">
        <f t="shared" si="6"/>
        <v>2.6625000000000001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2" ht="18" customHeight="1" x14ac:dyDescent="0.2">
      <c r="A45" s="1">
        <v>2000</v>
      </c>
      <c r="B45" s="6"/>
      <c r="C45" s="6"/>
      <c r="D45" s="6"/>
      <c r="E45" s="6"/>
      <c r="F45" s="6"/>
      <c r="G45" s="6"/>
      <c r="H45" s="6"/>
      <c r="I45" s="6">
        <v>486</v>
      </c>
      <c r="J45" s="6"/>
      <c r="K45" s="6">
        <v>661</v>
      </c>
      <c r="L45" s="6"/>
      <c r="M45" s="6"/>
      <c r="N45" s="6"/>
      <c r="O45" s="6"/>
      <c r="P45" s="6"/>
      <c r="Q45" s="6">
        <v>132</v>
      </c>
      <c r="R45" s="6"/>
      <c r="S45" s="6"/>
      <c r="T45" s="13"/>
      <c r="U45" s="13"/>
      <c r="V45" s="13"/>
      <c r="W45" s="13"/>
      <c r="X45" s="29">
        <v>1425</v>
      </c>
      <c r="Y45" s="7" t="s">
        <v>5</v>
      </c>
      <c r="Z45" s="58">
        <v>35</v>
      </c>
      <c r="AA45" s="2">
        <f t="shared" si="5"/>
        <v>661</v>
      </c>
      <c r="AB45">
        <f t="shared" si="6"/>
        <v>2.1558245083207264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2" ht="18" customHeight="1" x14ac:dyDescent="0.2">
      <c r="A46" s="1">
        <v>2001</v>
      </c>
      <c r="B46" s="6"/>
      <c r="C46" s="6"/>
      <c r="D46" s="6"/>
      <c r="E46" s="6"/>
      <c r="F46" s="6"/>
      <c r="G46" s="6"/>
      <c r="H46" s="6"/>
      <c r="I46" s="6">
        <v>1141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13"/>
      <c r="U46" s="13"/>
      <c r="V46" s="13"/>
      <c r="W46" s="13"/>
      <c r="X46" s="29">
        <v>1145</v>
      </c>
      <c r="Y46" s="7" t="s">
        <v>7</v>
      </c>
      <c r="Z46" s="58"/>
      <c r="AA46" s="2">
        <f t="shared" si="5"/>
        <v>1141</v>
      </c>
      <c r="AB46">
        <f t="shared" si="6"/>
        <v>1.0035056967572304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2" ht="18" customHeight="1" x14ac:dyDescent="0.2">
      <c r="A47" s="1">
        <v>2002</v>
      </c>
      <c r="B47" s="6"/>
      <c r="C47" s="6"/>
      <c r="D47" s="6"/>
      <c r="E47" s="6"/>
      <c r="F47" s="6"/>
      <c r="G47" s="6">
        <v>533</v>
      </c>
      <c r="H47" s="6"/>
      <c r="I47" s="6">
        <v>562</v>
      </c>
      <c r="J47" s="6"/>
      <c r="K47" s="6">
        <v>308</v>
      </c>
      <c r="L47" s="6">
        <v>367</v>
      </c>
      <c r="M47" s="6"/>
      <c r="N47" s="6"/>
      <c r="O47" s="6"/>
      <c r="P47" s="6"/>
      <c r="Q47" s="6"/>
      <c r="R47" s="6"/>
      <c r="S47" s="6">
        <v>5</v>
      </c>
      <c r="T47" s="13"/>
      <c r="U47" s="13"/>
      <c r="V47" s="13"/>
      <c r="W47" s="13"/>
      <c r="X47" s="29">
        <v>849</v>
      </c>
      <c r="Y47" s="7" t="s">
        <v>5</v>
      </c>
      <c r="Z47" s="60">
        <v>45</v>
      </c>
      <c r="AA47" s="2">
        <f t="shared" si="5"/>
        <v>562</v>
      </c>
      <c r="AB47">
        <f t="shared" si="6"/>
        <v>1.51067615658363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2" ht="18" customHeight="1" x14ac:dyDescent="0.2">
      <c r="A48" s="1">
        <v>2003</v>
      </c>
      <c r="B48" s="6"/>
      <c r="C48" s="6"/>
      <c r="D48" s="6"/>
      <c r="E48" s="6"/>
      <c r="F48" s="6"/>
      <c r="G48" s="6"/>
      <c r="H48" s="6">
        <v>778</v>
      </c>
      <c r="I48" s="6">
        <v>609</v>
      </c>
      <c r="J48" s="6"/>
      <c r="K48" s="6"/>
      <c r="L48" s="6"/>
      <c r="M48" s="6"/>
      <c r="N48" s="6"/>
      <c r="O48" s="6">
        <v>167</v>
      </c>
      <c r="P48" s="6">
        <v>82</v>
      </c>
      <c r="Q48" s="6"/>
      <c r="R48" s="6"/>
      <c r="S48" s="6"/>
      <c r="T48" s="13"/>
      <c r="U48" s="13"/>
      <c r="V48" s="13"/>
      <c r="W48" s="13"/>
      <c r="X48" s="29">
        <v>1242</v>
      </c>
      <c r="Y48" s="7" t="s">
        <v>5</v>
      </c>
      <c r="Z48" s="58">
        <v>37</v>
      </c>
      <c r="AA48" s="2">
        <f t="shared" si="5"/>
        <v>778</v>
      </c>
      <c r="AB48">
        <f t="shared" si="6"/>
        <v>1.5964010282776349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8" customHeight="1" x14ac:dyDescent="0.2">
      <c r="A49" s="1">
        <v>2004</v>
      </c>
      <c r="B49" s="6"/>
      <c r="C49" s="6"/>
      <c r="D49" s="6"/>
      <c r="E49" s="6"/>
      <c r="F49" s="6">
        <v>520</v>
      </c>
      <c r="G49" s="6"/>
      <c r="H49" s="6"/>
      <c r="I49" s="6">
        <v>1030</v>
      </c>
      <c r="J49" s="6"/>
      <c r="K49" s="6">
        <v>536</v>
      </c>
      <c r="L49" s="6"/>
      <c r="M49" s="6"/>
      <c r="N49" s="6"/>
      <c r="O49" s="6"/>
      <c r="P49" s="6"/>
      <c r="Q49" s="6"/>
      <c r="R49" s="6"/>
      <c r="S49" s="6"/>
      <c r="T49" s="13"/>
      <c r="U49" s="13"/>
      <c r="V49" s="13"/>
      <c r="W49" s="13"/>
      <c r="X49" s="21">
        <v>1458</v>
      </c>
      <c r="Y49" s="7" t="s">
        <v>5</v>
      </c>
      <c r="Z49" s="59">
        <v>40</v>
      </c>
      <c r="AA49" s="2">
        <f t="shared" si="5"/>
        <v>1030</v>
      </c>
      <c r="AB49">
        <f t="shared" si="6"/>
        <v>1.4155339805825242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8" customHeight="1" x14ac:dyDescent="0.2">
      <c r="A50" s="1">
        <v>2005</v>
      </c>
      <c r="B50" s="6"/>
      <c r="C50" s="6"/>
      <c r="D50" s="6"/>
      <c r="E50" s="6">
        <v>148</v>
      </c>
      <c r="F50" s="6"/>
      <c r="G50" s="6"/>
      <c r="H50" s="6"/>
      <c r="I50" s="6">
        <v>258</v>
      </c>
      <c r="J50" s="6">
        <v>298</v>
      </c>
      <c r="K50" s="6"/>
      <c r="L50" s="6"/>
      <c r="M50" s="6"/>
      <c r="N50" s="6"/>
      <c r="O50" s="6"/>
      <c r="P50" s="6"/>
      <c r="Q50" s="6"/>
      <c r="R50" s="6"/>
      <c r="S50" s="6"/>
      <c r="T50" s="13"/>
      <c r="U50" s="13"/>
      <c r="V50" s="13"/>
      <c r="W50" s="13"/>
      <c r="X50" s="29">
        <v>581</v>
      </c>
      <c r="Y50" s="7" t="s">
        <v>5</v>
      </c>
      <c r="Z50" s="60">
        <v>37.5</v>
      </c>
      <c r="AA50" s="2">
        <f t="shared" si="5"/>
        <v>298</v>
      </c>
      <c r="AB50">
        <f t="shared" si="6"/>
        <v>1.9496644295302012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8" customHeight="1" x14ac:dyDescent="0.2">
      <c r="A51" s="1">
        <v>2006</v>
      </c>
      <c r="B51" s="6"/>
      <c r="C51" s="6"/>
      <c r="D51" s="6"/>
      <c r="E51" s="6"/>
      <c r="F51" s="6"/>
      <c r="G51" s="6"/>
      <c r="H51" s="6">
        <v>5460</v>
      </c>
      <c r="I51" s="6"/>
      <c r="J51" s="6"/>
      <c r="K51" s="6">
        <v>832</v>
      </c>
      <c r="L51" s="6"/>
      <c r="M51" s="6">
        <v>426</v>
      </c>
      <c r="N51" s="6"/>
      <c r="O51" s="6"/>
      <c r="P51" s="6"/>
      <c r="Q51" s="6"/>
      <c r="R51" s="6"/>
      <c r="S51" s="6"/>
      <c r="T51" s="13"/>
      <c r="U51" s="13"/>
      <c r="V51" s="13"/>
      <c r="W51" s="13"/>
      <c r="X51" s="30">
        <v>6393</v>
      </c>
      <c r="Y51" s="7" t="s">
        <v>5</v>
      </c>
      <c r="Z51" s="60">
        <v>20</v>
      </c>
      <c r="AA51" s="2">
        <f t="shared" si="5"/>
        <v>5460</v>
      </c>
      <c r="AB51">
        <f t="shared" si="6"/>
        <v>1.1708791208791209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8" customHeight="1" x14ac:dyDescent="0.2">
      <c r="A52" s="1">
        <v>2007</v>
      </c>
      <c r="B52" s="6"/>
      <c r="C52" s="6"/>
      <c r="D52" s="6"/>
      <c r="E52" s="6"/>
      <c r="F52" s="6">
        <v>654</v>
      </c>
      <c r="G52" s="6">
        <v>581</v>
      </c>
      <c r="H52" s="6">
        <v>349</v>
      </c>
      <c r="I52" s="6">
        <v>462</v>
      </c>
      <c r="J52" s="6">
        <v>143</v>
      </c>
      <c r="K52" s="6"/>
      <c r="L52" s="6"/>
      <c r="M52" s="6"/>
      <c r="N52" s="6"/>
      <c r="O52" s="6">
        <v>0</v>
      </c>
      <c r="P52" s="6"/>
      <c r="Q52" s="6"/>
      <c r="R52" s="6">
        <v>0</v>
      </c>
      <c r="S52" s="6"/>
      <c r="T52" s="13"/>
      <c r="U52" s="13"/>
      <c r="V52" s="13"/>
      <c r="W52" s="13"/>
      <c r="X52" s="30">
        <v>1182</v>
      </c>
      <c r="Y52" s="7" t="s">
        <v>5</v>
      </c>
      <c r="Z52" s="60">
        <v>22.5</v>
      </c>
      <c r="AA52" s="2">
        <f t="shared" si="5"/>
        <v>654</v>
      </c>
      <c r="AB52">
        <f t="shared" si="6"/>
        <v>1.8073394495412844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55" customFormat="1" ht="18" customHeight="1" x14ac:dyDescent="0.2">
      <c r="A53" s="13">
        <v>2008</v>
      </c>
      <c r="B53" s="13"/>
      <c r="C53" s="13"/>
      <c r="D53" s="13"/>
      <c r="E53" s="13"/>
      <c r="F53" s="13">
        <v>878</v>
      </c>
      <c r="G53" s="13"/>
      <c r="H53" s="13">
        <v>1207</v>
      </c>
      <c r="I53" s="13"/>
      <c r="J53" s="13">
        <v>697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29">
        <v>1547</v>
      </c>
      <c r="Y53" s="7" t="s">
        <v>5</v>
      </c>
      <c r="Z53" s="58">
        <v>37.5</v>
      </c>
      <c r="AA53" s="2">
        <f t="shared" si="5"/>
        <v>1207</v>
      </c>
      <c r="AB53">
        <f t="shared" si="6"/>
        <v>1.2816901408450705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8" customHeight="1" x14ac:dyDescent="0.2">
      <c r="A54" s="13">
        <v>2009</v>
      </c>
      <c r="B54" s="13"/>
      <c r="C54" s="13"/>
      <c r="D54" s="13"/>
      <c r="E54" s="13"/>
      <c r="F54" s="13">
        <v>2718</v>
      </c>
      <c r="G54" s="13"/>
      <c r="H54" s="13"/>
      <c r="I54" s="13"/>
      <c r="J54" s="13"/>
      <c r="K54" s="13">
        <v>442</v>
      </c>
      <c r="L54" s="13">
        <v>340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29">
        <v>4135</v>
      </c>
      <c r="Y54" s="7" t="s">
        <v>5</v>
      </c>
      <c r="Z54" s="58">
        <v>35</v>
      </c>
      <c r="AA54" s="2">
        <f t="shared" si="5"/>
        <v>2718</v>
      </c>
      <c r="AB54">
        <f t="shared" si="6"/>
        <v>1.5213392200147167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8" customHeight="1" x14ac:dyDescent="0.2">
      <c r="A55" s="13">
        <v>2010</v>
      </c>
      <c r="B55" s="13"/>
      <c r="C55" s="13"/>
      <c r="D55" s="13"/>
      <c r="E55" s="13">
        <v>709</v>
      </c>
      <c r="F55" s="13"/>
      <c r="G55" s="13">
        <v>521</v>
      </c>
      <c r="H55" s="13"/>
      <c r="I55" s="13">
        <v>770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29">
        <v>2020</v>
      </c>
      <c r="Y55" s="7"/>
      <c r="Z55" s="58"/>
      <c r="AA55" s="2">
        <f t="shared" si="5"/>
        <v>770</v>
      </c>
      <c r="AB55">
        <f t="shared" si="6"/>
        <v>2.6233766233766236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8" customHeight="1" x14ac:dyDescent="0.2">
      <c r="A56" s="13">
        <v>2011</v>
      </c>
      <c r="B56" s="13"/>
      <c r="C56" s="13"/>
      <c r="D56" s="13"/>
      <c r="E56" s="13"/>
      <c r="F56" s="13">
        <v>1230</v>
      </c>
      <c r="G56" s="13"/>
      <c r="H56" s="13">
        <v>630</v>
      </c>
      <c r="I56" s="13">
        <v>711</v>
      </c>
      <c r="J56" s="13"/>
      <c r="K56" s="13"/>
      <c r="L56" s="13"/>
      <c r="M56" s="13">
        <v>35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29">
        <v>2788</v>
      </c>
      <c r="Y56" s="7" t="s">
        <v>5</v>
      </c>
      <c r="Z56" s="58">
        <v>45</v>
      </c>
      <c r="AA56" s="2">
        <f t="shared" si="5"/>
        <v>1230</v>
      </c>
      <c r="AB56">
        <f t="shared" si="6"/>
        <v>2.2666666666666666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8" customHeight="1" x14ac:dyDescent="0.2">
      <c r="A57" s="13">
        <v>2012</v>
      </c>
      <c r="B57" s="13"/>
      <c r="C57" s="13"/>
      <c r="D57" s="13"/>
      <c r="E57" s="13">
        <v>235</v>
      </c>
      <c r="F57" s="13">
        <v>545</v>
      </c>
      <c r="G57" s="13">
        <v>502</v>
      </c>
      <c r="H57" s="13">
        <v>340</v>
      </c>
      <c r="I57" s="13">
        <v>421</v>
      </c>
      <c r="J57" s="13">
        <v>192</v>
      </c>
      <c r="K57" s="13">
        <v>256</v>
      </c>
      <c r="L57" s="13">
        <v>183</v>
      </c>
      <c r="M57" s="13"/>
      <c r="N57" s="13">
        <v>114</v>
      </c>
      <c r="O57" s="13"/>
      <c r="P57" s="13"/>
      <c r="Q57" s="13"/>
      <c r="R57" s="13"/>
      <c r="S57" s="13"/>
      <c r="T57" s="13"/>
      <c r="U57" s="13"/>
      <c r="V57" s="13"/>
      <c r="W57" s="13"/>
      <c r="X57" s="29">
        <v>1137</v>
      </c>
      <c r="Y57" s="7" t="s">
        <v>5</v>
      </c>
      <c r="Z57" s="58">
        <v>40</v>
      </c>
      <c r="AA57" s="2">
        <f t="shared" si="5"/>
        <v>545</v>
      </c>
      <c r="AB57">
        <f t="shared" si="6"/>
        <v>2.0862385321100918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8" customHeight="1" x14ac:dyDescent="0.2">
      <c r="A58" s="13">
        <v>2013</v>
      </c>
      <c r="B58" s="13"/>
      <c r="C58" s="13"/>
      <c r="D58" s="13"/>
      <c r="E58" s="13">
        <v>527</v>
      </c>
      <c r="F58" s="13">
        <v>612</v>
      </c>
      <c r="G58" s="13">
        <v>427</v>
      </c>
      <c r="H58" s="13">
        <v>377</v>
      </c>
      <c r="I58" s="13"/>
      <c r="J58" s="13"/>
      <c r="K58" s="13"/>
      <c r="L58" s="13">
        <v>43</v>
      </c>
      <c r="M58" s="13">
        <v>58</v>
      </c>
      <c r="N58" s="13">
        <v>43</v>
      </c>
      <c r="O58" s="13">
        <v>42</v>
      </c>
      <c r="P58" s="13">
        <v>7</v>
      </c>
      <c r="Q58" s="13"/>
      <c r="R58" s="13">
        <v>27</v>
      </c>
      <c r="S58" s="13"/>
      <c r="T58" s="13"/>
      <c r="U58" s="13"/>
      <c r="V58" s="13"/>
      <c r="W58" s="13"/>
      <c r="X58" s="29">
        <v>1932</v>
      </c>
      <c r="Y58" s="7" t="s">
        <v>5</v>
      </c>
      <c r="Z58" s="58">
        <v>30</v>
      </c>
      <c r="AA58" s="2">
        <f t="shared" si="5"/>
        <v>612</v>
      </c>
      <c r="AB58">
        <f t="shared" si="6"/>
        <v>3.1568627450980391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8" customHeight="1" x14ac:dyDescent="0.2">
      <c r="A59" s="1">
        <v>2014</v>
      </c>
      <c r="B59" s="1"/>
      <c r="C59" s="1"/>
      <c r="D59" s="1"/>
      <c r="E59" s="1"/>
      <c r="F59" s="186">
        <v>506</v>
      </c>
      <c r="G59" s="186">
        <v>755</v>
      </c>
      <c r="H59" s="189">
        <v>602</v>
      </c>
      <c r="I59" s="189">
        <v>341</v>
      </c>
      <c r="J59" s="189">
        <v>280</v>
      </c>
      <c r="K59" s="186">
        <v>262</v>
      </c>
      <c r="L59" s="187"/>
      <c r="M59" s="187"/>
      <c r="N59" s="187"/>
      <c r="O59" s="187"/>
      <c r="P59" s="187"/>
      <c r="Q59" s="187"/>
      <c r="R59" s="1"/>
      <c r="S59" s="1"/>
      <c r="T59" s="1"/>
      <c r="U59" s="1"/>
      <c r="V59" s="1"/>
      <c r="W59" s="1"/>
      <c r="X59" s="1">
        <v>839</v>
      </c>
      <c r="Y59" s="7" t="s">
        <v>9</v>
      </c>
      <c r="Z59" s="62"/>
      <c r="AA59" s="2">
        <f t="shared" si="5"/>
        <v>755</v>
      </c>
      <c r="AB59">
        <f t="shared" si="6"/>
        <v>1.1112582781456954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8" customHeight="1" x14ac:dyDescent="0.2">
      <c r="A60" s="1">
        <v>2015</v>
      </c>
      <c r="B60" s="1"/>
      <c r="C60" s="1"/>
      <c r="D60" s="1"/>
      <c r="E60" s="1"/>
      <c r="F60" s="123">
        <v>256</v>
      </c>
      <c r="G60" s="1"/>
      <c r="H60" s="123">
        <v>377</v>
      </c>
      <c r="I60" s="123">
        <v>193</v>
      </c>
      <c r="J60" s="1"/>
      <c r="K60" s="244">
        <v>99</v>
      </c>
      <c r="L60" s="1"/>
      <c r="M60" s="187"/>
      <c r="N60" s="187"/>
      <c r="O60" s="187"/>
      <c r="P60" s="187"/>
      <c r="Q60" s="187"/>
      <c r="R60" s="1"/>
      <c r="S60" s="245">
        <v>0</v>
      </c>
      <c r="T60" s="1"/>
      <c r="U60" s="1"/>
      <c r="V60" s="1"/>
      <c r="W60" s="1"/>
      <c r="X60" s="1">
        <v>545</v>
      </c>
      <c r="Y60" s="7" t="s">
        <v>5</v>
      </c>
      <c r="Z60" s="62">
        <v>35</v>
      </c>
      <c r="AA60" s="2">
        <f t="shared" si="5"/>
        <v>377</v>
      </c>
      <c r="AB60">
        <f t="shared" si="6"/>
        <v>1.4456233421750664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8" customHeight="1" x14ac:dyDescent="0.2">
      <c r="A61" s="1">
        <v>2016</v>
      </c>
      <c r="B61" s="1"/>
      <c r="C61" s="1"/>
      <c r="D61" s="1"/>
      <c r="E61" s="1"/>
      <c r="F61" s="186">
        <v>241</v>
      </c>
      <c r="G61" s="1"/>
      <c r="H61" s="186">
        <v>344</v>
      </c>
      <c r="I61" s="186">
        <v>273</v>
      </c>
      <c r="J61" s="1"/>
      <c r="K61" s="186">
        <v>296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>
        <v>664</v>
      </c>
      <c r="Y61" s="7" t="s">
        <v>5</v>
      </c>
      <c r="Z61" s="62">
        <v>35</v>
      </c>
      <c r="AA61" s="2">
        <f t="shared" si="5"/>
        <v>344</v>
      </c>
      <c r="AB61">
        <f t="shared" si="6"/>
        <v>1.930232558139535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8" customHeight="1" x14ac:dyDescent="0.2">
      <c r="A62" s="1">
        <v>2017</v>
      </c>
      <c r="B62" s="1"/>
      <c r="C62" s="1"/>
      <c r="D62" s="1"/>
      <c r="E62" s="1"/>
      <c r="F62" s="186">
        <v>465</v>
      </c>
      <c r="G62" s="186">
        <v>1103</v>
      </c>
      <c r="H62" s="186">
        <v>1412</v>
      </c>
      <c r="I62" s="186">
        <v>814</v>
      </c>
      <c r="J62" s="1"/>
      <c r="K62" s="186">
        <v>864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>
        <v>2641</v>
      </c>
      <c r="Y62" s="7"/>
      <c r="Z62" s="62"/>
      <c r="AA62" s="2">
        <f>MAX(B62:W62)</f>
        <v>1412</v>
      </c>
      <c r="AB62">
        <f>X62/MAX(B62:W62)</f>
        <v>1.8703966005665722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ht="18" customHeight="1" x14ac:dyDescent="0.2">
      <c r="A63" s="1">
        <v>2018</v>
      </c>
      <c r="B63" s="1"/>
      <c r="C63" s="1"/>
      <c r="D63" s="1"/>
      <c r="E63" s="1"/>
      <c r="F63" s="186">
        <v>126</v>
      </c>
      <c r="G63" s="1"/>
      <c r="H63" s="1"/>
      <c r="I63" s="1"/>
      <c r="J63" s="539">
        <v>184</v>
      </c>
      <c r="K63" s="1"/>
      <c r="L63" s="199">
        <v>336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>
        <v>517</v>
      </c>
      <c r="Y63" s="7" t="s">
        <v>9</v>
      </c>
      <c r="Z63" s="62"/>
      <c r="AA63" s="2">
        <f>MAX(B63:W63)</f>
        <v>336</v>
      </c>
      <c r="AB63">
        <f>X63/MAX(B63:W63)</f>
        <v>1.5386904761904763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ht="18" customHeight="1" x14ac:dyDescent="0.2">
      <c r="A64" s="1">
        <v>2019</v>
      </c>
      <c r="B64" s="1"/>
      <c r="C64" s="1"/>
      <c r="D64" s="1"/>
      <c r="E64" s="1"/>
      <c r="F64" s="186">
        <v>6</v>
      </c>
      <c r="G64" s="1"/>
      <c r="H64" s="106">
        <v>38</v>
      </c>
      <c r="I64" s="1"/>
      <c r="J64" s="427">
        <v>117</v>
      </c>
      <c r="K64" s="106">
        <v>807</v>
      </c>
      <c r="L64" s="1"/>
      <c r="M64" s="1"/>
      <c r="N64" s="156">
        <v>382</v>
      </c>
      <c r="O64" s="156">
        <v>142</v>
      </c>
      <c r="P64" s="156">
        <v>37</v>
      </c>
      <c r="Q64" s="1"/>
      <c r="R64" s="1"/>
      <c r="S64" s="1"/>
      <c r="T64" s="1"/>
      <c r="U64" s="1"/>
      <c r="V64" s="1"/>
      <c r="W64" s="1"/>
      <c r="X64" s="1">
        <v>1502</v>
      </c>
      <c r="Y64" s="7"/>
      <c r="Z64" s="62">
        <f>45/2</f>
        <v>22.5</v>
      </c>
      <c r="AA64" s="2">
        <f>MAX(B64:W64)</f>
        <v>807</v>
      </c>
      <c r="AB64">
        <f>X64/MAX(B64:W64)</f>
        <v>1.8612143742255267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ht="18" customHeight="1" x14ac:dyDescent="0.2">
      <c r="A65" s="1">
        <v>2020</v>
      </c>
      <c r="B65" s="1"/>
      <c r="C65" s="1"/>
      <c r="D65" s="1"/>
      <c r="E65" s="1"/>
      <c r="F65" s="1"/>
      <c r="G65" s="106">
        <v>345</v>
      </c>
      <c r="H65" s="1"/>
      <c r="I65" s="106">
        <v>252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>
        <v>345</v>
      </c>
      <c r="Y65" s="7"/>
      <c r="Z65" s="62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s="150" customFormat="1" ht="18" customHeight="1" x14ac:dyDescent="0.2">
      <c r="A66" s="227">
        <v>2021</v>
      </c>
      <c r="B66" s="227"/>
      <c r="C66" s="227"/>
      <c r="D66" s="227"/>
      <c r="E66" s="227"/>
      <c r="F66" s="106">
        <v>99</v>
      </c>
      <c r="G66" s="227"/>
      <c r="H66" s="585">
        <v>286</v>
      </c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>
        <v>412</v>
      </c>
      <c r="Y66" s="11" t="s">
        <v>5</v>
      </c>
      <c r="Z66" s="750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</row>
    <row r="67" spans="1:47" s="150" customFormat="1" ht="18" customHeight="1" x14ac:dyDescent="0.2">
      <c r="A67" s="227">
        <v>2022</v>
      </c>
      <c r="B67" s="227"/>
      <c r="C67" s="227"/>
      <c r="D67" s="227"/>
      <c r="E67" s="227"/>
      <c r="F67" s="227"/>
      <c r="G67" s="106">
        <v>106</v>
      </c>
      <c r="H67" s="872"/>
      <c r="I67" s="106">
        <v>213</v>
      </c>
      <c r="J67" s="106">
        <v>293</v>
      </c>
      <c r="K67" s="227"/>
      <c r="L67" s="427">
        <v>329</v>
      </c>
      <c r="M67" s="227"/>
      <c r="N67" s="227"/>
      <c r="O67" s="227"/>
      <c r="P67" s="227"/>
      <c r="Q67" s="536">
        <v>28</v>
      </c>
      <c r="R67" s="227"/>
      <c r="S67" s="227"/>
      <c r="T67" s="227"/>
      <c r="U67" s="227"/>
      <c r="V67" s="227"/>
      <c r="W67" s="227"/>
      <c r="X67" s="227"/>
      <c r="Y67" s="11"/>
      <c r="Z67" s="750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</row>
    <row r="68" spans="1:47" s="150" customFormat="1" ht="18" customHeight="1" x14ac:dyDescent="0.2">
      <c r="A68" s="227">
        <v>2023</v>
      </c>
      <c r="B68" s="227"/>
      <c r="C68" s="227"/>
      <c r="D68" s="227"/>
      <c r="E68" s="106">
        <v>462</v>
      </c>
      <c r="F68" s="106">
        <v>568</v>
      </c>
      <c r="G68" s="106">
        <v>669</v>
      </c>
      <c r="H68" s="227"/>
      <c r="I68" s="227"/>
      <c r="J68" s="106">
        <v>310</v>
      </c>
      <c r="K68" s="106">
        <v>162</v>
      </c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11"/>
      <c r="Z68" s="750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</row>
    <row r="69" spans="1:47" ht="18" customHeight="1" x14ac:dyDescent="0.2">
      <c r="A69" s="64" t="s">
        <v>17</v>
      </c>
      <c r="B69" s="16"/>
      <c r="C69" s="16"/>
      <c r="D69" s="16">
        <f t="shared" ref="D69:S69" si="7">AVERAGE(D40:D54)</f>
        <v>154.5</v>
      </c>
      <c r="E69" s="16">
        <f t="shared" si="7"/>
        <v>220.5</v>
      </c>
      <c r="F69" s="16">
        <f t="shared" si="7"/>
        <v>908.5</v>
      </c>
      <c r="G69" s="16">
        <f t="shared" si="7"/>
        <v>421.66666666666669</v>
      </c>
      <c r="H69" s="16">
        <f t="shared" si="7"/>
        <v>1374</v>
      </c>
      <c r="I69" s="16">
        <f t="shared" si="7"/>
        <v>581.72727272727275</v>
      </c>
      <c r="J69" s="16">
        <f t="shared" si="7"/>
        <v>322</v>
      </c>
      <c r="K69" s="16">
        <f t="shared" si="7"/>
        <v>516.85714285714289</v>
      </c>
      <c r="L69" s="16">
        <f t="shared" si="7"/>
        <v>353.5</v>
      </c>
      <c r="M69" s="16">
        <f t="shared" si="7"/>
        <v>321.75</v>
      </c>
      <c r="N69" s="16"/>
      <c r="O69" s="16">
        <f t="shared" si="7"/>
        <v>56.666666666666664</v>
      </c>
      <c r="P69" s="16">
        <f t="shared" si="7"/>
        <v>82</v>
      </c>
      <c r="Q69" s="16">
        <f t="shared" si="7"/>
        <v>66</v>
      </c>
      <c r="R69" s="16">
        <f t="shared" si="7"/>
        <v>0</v>
      </c>
      <c r="S69" s="16">
        <f t="shared" si="7"/>
        <v>5</v>
      </c>
      <c r="T69" s="16"/>
      <c r="U69" s="16"/>
      <c r="V69" s="16"/>
      <c r="W69" s="16"/>
      <c r="X69" s="16">
        <f>AVERAGE(X40:X54)</f>
        <v>1710.4666666666667</v>
      </c>
      <c r="Y69" s="17"/>
      <c r="Z69" s="16">
        <f>AVERAGE(Z40:Z54)</f>
        <v>32.041666666666664</v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ht="18" customHeight="1" x14ac:dyDescent="0.2">
      <c r="A71" s="1022" t="s">
        <v>519</v>
      </c>
      <c r="B71" s="1023"/>
      <c r="C71" s="1023"/>
      <c r="D71" s="1023"/>
      <c r="E71" s="1023"/>
      <c r="F71" s="1023"/>
      <c r="G71" s="1023"/>
      <c r="H71" s="1023"/>
      <c r="I71" s="1023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ht="18" customHeight="1" thickBot="1" x14ac:dyDescent="0.25">
      <c r="A72" s="33" t="s">
        <v>11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ht="18" customHeight="1" thickTop="1" x14ac:dyDescent="0.2">
      <c r="A73" s="1018" t="s">
        <v>0</v>
      </c>
      <c r="B73" s="1024" t="s">
        <v>1</v>
      </c>
      <c r="C73" s="1024"/>
      <c r="D73" s="1024"/>
      <c r="E73" s="1024"/>
      <c r="F73" s="1024"/>
      <c r="G73" s="1024"/>
      <c r="H73" s="1024"/>
      <c r="I73" s="1024"/>
      <c r="J73" s="1024"/>
      <c r="K73" s="1024"/>
      <c r="L73" s="1024"/>
      <c r="M73" s="1024"/>
      <c r="N73" s="1024"/>
      <c r="O73" s="1024"/>
      <c r="P73" s="1024"/>
      <c r="Q73" s="1024"/>
      <c r="R73" s="1024"/>
      <c r="S73" s="1024"/>
      <c r="T73" s="1024"/>
      <c r="U73" s="1024"/>
      <c r="V73" s="1024"/>
      <c r="W73" s="1024"/>
      <c r="X73" s="1018" t="s">
        <v>2</v>
      </c>
      <c r="Y73" s="1010" t="s">
        <v>3</v>
      </c>
      <c r="Z73" s="1008" t="s">
        <v>4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ht="18" customHeight="1" x14ac:dyDescent="0.2">
      <c r="A74" s="1019"/>
      <c r="B74" s="36">
        <v>81</v>
      </c>
      <c r="C74" s="36">
        <v>82</v>
      </c>
      <c r="D74" s="36">
        <v>83</v>
      </c>
      <c r="E74" s="36">
        <v>84</v>
      </c>
      <c r="F74" s="36">
        <v>91</v>
      </c>
      <c r="G74" s="36">
        <v>92</v>
      </c>
      <c r="H74" s="36">
        <v>93</v>
      </c>
      <c r="I74" s="36">
        <v>94</v>
      </c>
      <c r="J74" s="36">
        <v>101</v>
      </c>
      <c r="K74" s="36">
        <v>102</v>
      </c>
      <c r="L74" s="36">
        <v>103</v>
      </c>
      <c r="M74" s="36">
        <v>104</v>
      </c>
      <c r="N74" s="36">
        <v>105</v>
      </c>
      <c r="O74" s="36">
        <v>111</v>
      </c>
      <c r="P74" s="36">
        <v>112</v>
      </c>
      <c r="Q74" s="36">
        <v>113</v>
      </c>
      <c r="R74" s="36">
        <v>114</v>
      </c>
      <c r="S74" s="36">
        <v>115</v>
      </c>
      <c r="T74" s="36">
        <v>121</v>
      </c>
      <c r="U74" s="36">
        <v>122</v>
      </c>
      <c r="V74" s="36">
        <v>123</v>
      </c>
      <c r="W74" s="36">
        <v>124</v>
      </c>
      <c r="X74" s="1019"/>
      <c r="Y74" s="1011"/>
      <c r="Z74" s="1009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 ht="18" customHeight="1" x14ac:dyDescent="0.2">
      <c r="A75" s="32">
        <v>1995</v>
      </c>
      <c r="B75" s="37"/>
      <c r="C75" s="37"/>
      <c r="D75" s="37"/>
      <c r="E75" s="37"/>
      <c r="F75" s="37"/>
      <c r="G75" s="37"/>
      <c r="H75" s="37"/>
      <c r="I75" s="37">
        <v>0</v>
      </c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8"/>
      <c r="V75" s="38"/>
      <c r="W75" s="38"/>
      <c r="X75" s="39"/>
      <c r="Y75" s="7"/>
      <c r="Z75" s="10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 ht="18" customHeight="1" x14ac:dyDescent="0.2">
      <c r="A76" s="32">
        <v>1996</v>
      </c>
      <c r="B76" s="37"/>
      <c r="C76" s="37"/>
      <c r="D76" s="37">
        <v>0</v>
      </c>
      <c r="E76" s="37">
        <v>0</v>
      </c>
      <c r="F76" s="37"/>
      <c r="G76" s="37">
        <v>0</v>
      </c>
      <c r="H76" s="37"/>
      <c r="I76" s="37"/>
      <c r="J76" s="37">
        <v>3</v>
      </c>
      <c r="K76" s="37"/>
      <c r="L76" s="37"/>
      <c r="M76" s="37"/>
      <c r="N76" s="37"/>
      <c r="O76" s="37">
        <v>0</v>
      </c>
      <c r="P76" s="37"/>
      <c r="Q76" s="37"/>
      <c r="R76" s="37"/>
      <c r="S76" s="37"/>
      <c r="T76" s="38"/>
      <c r="U76" s="38"/>
      <c r="V76" s="38"/>
      <c r="W76" s="38"/>
      <c r="X76" s="39"/>
      <c r="Y76" s="7"/>
      <c r="Z76" s="10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 ht="18" customHeight="1" x14ac:dyDescent="0.2">
      <c r="A77" s="32">
        <v>1997</v>
      </c>
      <c r="B77" s="37">
        <v>0</v>
      </c>
      <c r="C77" s="37"/>
      <c r="D77" s="37"/>
      <c r="E77" s="37"/>
      <c r="F77" s="37">
        <v>0</v>
      </c>
      <c r="G77" s="37"/>
      <c r="H77" s="37">
        <v>0</v>
      </c>
      <c r="I77" s="37">
        <v>0</v>
      </c>
      <c r="J77" s="37"/>
      <c r="K77" s="37"/>
      <c r="L77" s="37"/>
      <c r="M77" s="37">
        <v>0</v>
      </c>
      <c r="N77" s="37"/>
      <c r="O77" s="37"/>
      <c r="P77" s="37"/>
      <c r="Q77" s="37">
        <v>0</v>
      </c>
      <c r="R77" s="37"/>
      <c r="S77" s="37"/>
      <c r="T77" s="38"/>
      <c r="U77" s="38"/>
      <c r="V77" s="38"/>
      <c r="W77" s="38"/>
      <c r="X77" s="39"/>
      <c r="Y77" s="7"/>
      <c r="Z77" s="10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 ht="18" customHeight="1" x14ac:dyDescent="0.2">
      <c r="A78" s="32">
        <v>1998</v>
      </c>
      <c r="B78" s="37"/>
      <c r="C78" s="37"/>
      <c r="D78" s="37">
        <v>1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8"/>
      <c r="V78" s="38"/>
      <c r="W78" s="38"/>
      <c r="X78" s="39"/>
      <c r="Y78" s="7"/>
      <c r="Z78" s="10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 ht="18" customHeight="1" x14ac:dyDescent="0.2">
      <c r="A79" s="32">
        <v>1999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8"/>
      <c r="V79" s="38"/>
      <c r="W79" s="38"/>
      <c r="X79" s="40"/>
      <c r="Y79" s="7"/>
      <c r="Z79" s="60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 ht="18" customHeight="1" x14ac:dyDescent="0.2">
      <c r="A80" s="32">
        <v>2000</v>
      </c>
      <c r="B80" s="37"/>
      <c r="C80" s="37"/>
      <c r="D80" s="37"/>
      <c r="E80" s="37"/>
      <c r="F80" s="37"/>
      <c r="G80" s="37"/>
      <c r="H80" s="37"/>
      <c r="I80" s="37"/>
      <c r="J80" s="37"/>
      <c r="K80" s="37">
        <v>1</v>
      </c>
      <c r="L80" s="37"/>
      <c r="M80" s="37"/>
      <c r="N80" s="37"/>
      <c r="O80" s="37"/>
      <c r="P80" s="37"/>
      <c r="Q80" s="37"/>
      <c r="R80" s="37"/>
      <c r="S80" s="37"/>
      <c r="T80" s="38"/>
      <c r="U80" s="38"/>
      <c r="V80" s="38"/>
      <c r="W80" s="38"/>
      <c r="X80" s="41"/>
      <c r="Y80" s="7"/>
      <c r="Z80" s="6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ht="18" customHeight="1" x14ac:dyDescent="0.2">
      <c r="A81" s="32">
        <v>2001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8"/>
      <c r="V81" s="38"/>
      <c r="W81" s="38"/>
      <c r="X81" s="39"/>
      <c r="Y81" s="7"/>
      <c r="Z81" s="60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 ht="18" customHeight="1" x14ac:dyDescent="0.2">
      <c r="A82" s="32">
        <v>2002</v>
      </c>
      <c r="B82" s="37"/>
      <c r="C82" s="37"/>
      <c r="D82" s="37"/>
      <c r="E82" s="37"/>
      <c r="F82" s="37"/>
      <c r="G82" s="37">
        <v>0</v>
      </c>
      <c r="H82" s="37"/>
      <c r="I82" s="37">
        <v>0</v>
      </c>
      <c r="J82" s="37"/>
      <c r="K82" s="37">
        <v>0</v>
      </c>
      <c r="L82" s="37">
        <v>1</v>
      </c>
      <c r="M82" s="37"/>
      <c r="N82" s="37"/>
      <c r="O82" s="37"/>
      <c r="P82" s="37"/>
      <c r="Q82" s="37"/>
      <c r="R82" s="37"/>
      <c r="S82" s="37">
        <v>0</v>
      </c>
      <c r="T82" s="38"/>
      <c r="U82" s="38"/>
      <c r="V82" s="38"/>
      <c r="W82" s="38"/>
      <c r="X82" s="39"/>
      <c r="Y82" s="7"/>
      <c r="Z82" s="60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 ht="18" customHeight="1" x14ac:dyDescent="0.2">
      <c r="A83" s="32">
        <v>2003</v>
      </c>
      <c r="B83" s="37"/>
      <c r="C83" s="37"/>
      <c r="D83" s="37"/>
      <c r="E83" s="37"/>
      <c r="F83" s="37"/>
      <c r="G83" s="37"/>
      <c r="H83" s="37">
        <v>50</v>
      </c>
      <c r="I83" s="37">
        <v>6</v>
      </c>
      <c r="J83" s="37"/>
      <c r="K83" s="37"/>
      <c r="L83" s="37"/>
      <c r="M83" s="37"/>
      <c r="N83" s="37"/>
      <c r="O83" s="37">
        <v>0</v>
      </c>
      <c r="P83" s="37">
        <v>0</v>
      </c>
      <c r="Q83" s="37"/>
      <c r="R83" s="37"/>
      <c r="S83" s="37"/>
      <c r="T83" s="38"/>
      <c r="U83" s="38"/>
      <c r="V83" s="38"/>
      <c r="W83" s="38"/>
      <c r="X83" s="39"/>
      <c r="Y83" s="7"/>
      <c r="Z83" s="60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 ht="18" customHeight="1" x14ac:dyDescent="0.2">
      <c r="A84" s="32">
        <v>2004</v>
      </c>
      <c r="B84" s="37"/>
      <c r="C84" s="37"/>
      <c r="D84" s="37"/>
      <c r="E84" s="37"/>
      <c r="F84" s="37">
        <v>0</v>
      </c>
      <c r="G84" s="37"/>
      <c r="H84" s="37"/>
      <c r="I84" s="37">
        <v>2180</v>
      </c>
      <c r="J84" s="37"/>
      <c r="K84" s="37">
        <v>0</v>
      </c>
      <c r="L84" s="37"/>
      <c r="M84" s="37"/>
      <c r="N84" s="37"/>
      <c r="O84" s="37"/>
      <c r="P84" s="37"/>
      <c r="Q84" s="37"/>
      <c r="R84" s="37"/>
      <c r="S84" s="37"/>
      <c r="T84" s="38"/>
      <c r="U84" s="38"/>
      <c r="V84" s="38"/>
      <c r="W84" s="38"/>
      <c r="X84" s="39"/>
      <c r="Y84" s="7"/>
      <c r="Z84" s="60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 ht="18" customHeight="1" x14ac:dyDescent="0.2">
      <c r="A85" s="32">
        <v>2005</v>
      </c>
      <c r="B85" s="37"/>
      <c r="C85" s="37"/>
      <c r="D85" s="37"/>
      <c r="E85" s="37">
        <v>1</v>
      </c>
      <c r="F85" s="37"/>
      <c r="G85" s="37"/>
      <c r="H85" s="37"/>
      <c r="I85" s="37">
        <v>0</v>
      </c>
      <c r="J85" s="37">
        <v>0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8"/>
      <c r="V85" s="38"/>
      <c r="W85" s="38"/>
      <c r="X85" s="39"/>
      <c r="Y85" s="7"/>
      <c r="Z85" s="60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 ht="18" customHeight="1" x14ac:dyDescent="0.2">
      <c r="A86" s="32">
        <v>2006</v>
      </c>
      <c r="B86" s="37"/>
      <c r="C86" s="37"/>
      <c r="D86" s="37"/>
      <c r="E86" s="37"/>
      <c r="F86" s="37"/>
      <c r="G86" s="37"/>
      <c r="H86" s="37">
        <v>2</v>
      </c>
      <c r="I86" s="37"/>
      <c r="J86" s="37"/>
      <c r="K86" s="37">
        <v>0</v>
      </c>
      <c r="L86" s="37"/>
      <c r="M86" s="37">
        <v>0</v>
      </c>
      <c r="N86" s="37"/>
      <c r="O86" s="37"/>
      <c r="P86" s="37"/>
      <c r="Q86" s="37"/>
      <c r="R86" s="37"/>
      <c r="S86" s="37"/>
      <c r="T86" s="38"/>
      <c r="U86" s="38"/>
      <c r="V86" s="38"/>
      <c r="W86" s="38"/>
      <c r="X86" s="42"/>
      <c r="Y86" s="7"/>
      <c r="Z86" s="60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ht="18" customHeight="1" x14ac:dyDescent="0.2">
      <c r="A87" s="32">
        <v>2007</v>
      </c>
      <c r="B87" s="37"/>
      <c r="C87" s="37"/>
      <c r="D87" s="37"/>
      <c r="E87" s="37"/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/>
      <c r="L87" s="37"/>
      <c r="M87" s="37"/>
      <c r="N87" s="37"/>
      <c r="O87" s="37">
        <v>0</v>
      </c>
      <c r="P87" s="37"/>
      <c r="Q87" s="37"/>
      <c r="R87" s="37">
        <v>0</v>
      </c>
      <c r="S87" s="37"/>
      <c r="T87" s="38"/>
      <c r="U87" s="38"/>
      <c r="V87" s="38"/>
      <c r="W87" s="38"/>
      <c r="X87" s="42"/>
      <c r="Y87" s="7"/>
      <c r="Z87" s="60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s="55" customFormat="1" ht="18" customHeight="1" x14ac:dyDescent="0.2">
      <c r="A88" s="38">
        <v>2008</v>
      </c>
      <c r="B88" s="38"/>
      <c r="C88" s="38"/>
      <c r="D88" s="38"/>
      <c r="E88" s="38"/>
      <c r="F88" s="38">
        <v>0</v>
      </c>
      <c r="G88" s="38"/>
      <c r="H88" s="38">
        <v>0</v>
      </c>
      <c r="I88" s="38"/>
      <c r="J88" s="38">
        <v>0</v>
      </c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7"/>
      <c r="Z88" s="5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ht="18" customHeight="1" x14ac:dyDescent="0.2">
      <c r="A89" s="38">
        <v>2009</v>
      </c>
      <c r="B89" s="38"/>
      <c r="C89" s="38"/>
      <c r="D89" s="38"/>
      <c r="E89" s="38"/>
      <c r="F89" s="38">
        <v>0</v>
      </c>
      <c r="G89" s="38"/>
      <c r="H89" s="38"/>
      <c r="I89" s="38"/>
      <c r="J89" s="38"/>
      <c r="K89" s="38">
        <v>0</v>
      </c>
      <c r="L89" s="38">
        <v>1</v>
      </c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7"/>
      <c r="Z89" s="58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ht="18" customHeight="1" x14ac:dyDescent="0.2">
      <c r="A90" s="38">
        <v>2010</v>
      </c>
      <c r="B90" s="38"/>
      <c r="C90" s="38"/>
      <c r="D90" s="38"/>
      <c r="E90" s="38">
        <v>0</v>
      </c>
      <c r="F90" s="38"/>
      <c r="G90" s="38">
        <v>0</v>
      </c>
      <c r="H90" s="38"/>
      <c r="I90" s="38">
        <v>2</v>
      </c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7"/>
      <c r="Z90" s="58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 ht="18" customHeight="1" x14ac:dyDescent="0.2">
      <c r="A91" s="38">
        <v>2011</v>
      </c>
      <c r="B91" s="38"/>
      <c r="C91" s="38"/>
      <c r="D91" s="38"/>
      <c r="E91" s="38"/>
      <c r="F91" s="38">
        <v>0</v>
      </c>
      <c r="G91" s="38"/>
      <c r="H91" s="38">
        <v>0</v>
      </c>
      <c r="I91" s="38">
        <v>0</v>
      </c>
      <c r="J91" s="38"/>
      <c r="K91" s="38"/>
      <c r="L91" s="38"/>
      <c r="M91" s="38">
        <v>0</v>
      </c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7"/>
      <c r="Z91" s="58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 ht="18" customHeight="1" x14ac:dyDescent="0.2">
      <c r="A92" s="38">
        <v>2012</v>
      </c>
      <c r="B92" s="38"/>
      <c r="C92" s="38"/>
      <c r="D92" s="38"/>
      <c r="E92" s="38">
        <v>0</v>
      </c>
      <c r="F92" s="38">
        <v>0</v>
      </c>
      <c r="G92" s="38">
        <v>0</v>
      </c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7"/>
      <c r="Z92" s="58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ht="18" customHeight="1" x14ac:dyDescent="0.2">
      <c r="A93" s="38">
        <v>2013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7"/>
      <c r="Z93" s="58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ht="18" customHeight="1" x14ac:dyDescent="0.2">
      <c r="A94" s="38">
        <v>2014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7"/>
      <c r="Z94" s="58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ht="18" customHeight="1" x14ac:dyDescent="0.2">
      <c r="A95" s="38">
        <v>2015</v>
      </c>
      <c r="B95" s="38"/>
      <c r="C95" s="38"/>
      <c r="D95" s="38"/>
      <c r="E95" s="38"/>
      <c r="F95" s="38">
        <v>0</v>
      </c>
      <c r="G95" s="38"/>
      <c r="H95" s="38">
        <v>0</v>
      </c>
      <c r="I95" s="38">
        <v>0</v>
      </c>
      <c r="J95" s="38"/>
      <c r="K95" s="38">
        <v>0</v>
      </c>
      <c r="L95" s="38"/>
      <c r="M95" s="38"/>
      <c r="N95" s="38"/>
      <c r="O95" s="38"/>
      <c r="P95" s="38"/>
      <c r="Q95" s="38"/>
      <c r="R95" s="38"/>
      <c r="S95" s="38">
        <v>0</v>
      </c>
      <c r="T95" s="38"/>
      <c r="U95" s="38"/>
      <c r="V95" s="38"/>
      <c r="W95" s="38"/>
      <c r="X95" s="38"/>
      <c r="Y95" s="7"/>
      <c r="Z95" s="58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ht="18" customHeight="1" x14ac:dyDescent="0.2">
      <c r="A96" s="38">
        <v>2016</v>
      </c>
      <c r="B96" s="38"/>
      <c r="C96" s="38"/>
      <c r="D96" s="38"/>
      <c r="E96" s="38"/>
      <c r="F96" s="38">
        <v>0</v>
      </c>
      <c r="G96" s="38"/>
      <c r="H96" s="38">
        <v>0</v>
      </c>
      <c r="I96" s="38">
        <v>3</v>
      </c>
      <c r="J96" s="38"/>
      <c r="K96" s="38">
        <v>0</v>
      </c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7"/>
      <c r="Z96" s="58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ht="18" customHeight="1" x14ac:dyDescent="0.2">
      <c r="A97" s="38">
        <v>2017</v>
      </c>
      <c r="B97" s="38"/>
      <c r="C97" s="38"/>
      <c r="D97" s="38"/>
      <c r="E97" s="38"/>
      <c r="F97" s="38">
        <v>0</v>
      </c>
      <c r="G97" s="38">
        <v>0</v>
      </c>
      <c r="H97" s="38">
        <v>0</v>
      </c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7"/>
      <c r="Z97" s="58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ht="18" customHeight="1" x14ac:dyDescent="0.2">
      <c r="A98" s="38">
        <v>2018</v>
      </c>
      <c r="B98" s="38"/>
      <c r="C98" s="38"/>
      <c r="D98" s="38"/>
      <c r="E98" s="38"/>
      <c r="F98" s="38">
        <v>0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7"/>
      <c r="Z98" s="5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ht="18" customHeight="1" x14ac:dyDescent="0.2">
      <c r="A99" s="38">
        <v>2019</v>
      </c>
      <c r="B99" s="38"/>
      <c r="C99" s="38"/>
      <c r="D99" s="38"/>
      <c r="E99" s="38"/>
      <c r="F99" s="38">
        <v>0</v>
      </c>
      <c r="G99" s="38"/>
      <c r="H99" s="38">
        <v>0</v>
      </c>
      <c r="I99" s="38"/>
      <c r="J99" s="38">
        <v>0</v>
      </c>
      <c r="K99" s="38">
        <v>0</v>
      </c>
      <c r="L99" s="38"/>
      <c r="M99" s="38"/>
      <c r="N99" s="38">
        <v>0</v>
      </c>
      <c r="O99" s="38">
        <v>0</v>
      </c>
      <c r="P99" s="38">
        <v>0</v>
      </c>
      <c r="Q99" s="38"/>
      <c r="R99" s="38"/>
      <c r="S99" s="38"/>
      <c r="T99" s="38"/>
      <c r="U99" s="38"/>
      <c r="V99" s="38"/>
      <c r="W99" s="38"/>
      <c r="X99" s="38"/>
      <c r="Y99" s="7"/>
      <c r="Z99" s="58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ht="18" customHeight="1" x14ac:dyDescent="0.2">
      <c r="A100" s="38">
        <v>2020</v>
      </c>
      <c r="B100" s="38"/>
      <c r="C100" s="38"/>
      <c r="D100" s="38"/>
      <c r="E100" s="38"/>
      <c r="F100" s="38"/>
      <c r="G100" s="38">
        <v>0</v>
      </c>
      <c r="H100" s="38"/>
      <c r="I100" s="38">
        <v>0</v>
      </c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7"/>
      <c r="Z100" s="58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ht="18" customHeight="1" x14ac:dyDescent="0.2">
      <c r="A101" s="38">
        <v>2021</v>
      </c>
      <c r="B101" s="38"/>
      <c r="C101" s="38"/>
      <c r="D101" s="38"/>
      <c r="E101" s="38"/>
      <c r="F101" s="38">
        <v>0</v>
      </c>
      <c r="G101" s="38"/>
      <c r="H101" s="38">
        <v>0</v>
      </c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7"/>
      <c r="Z101" s="58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ht="18" customHeight="1" x14ac:dyDescent="0.2">
      <c r="A102" s="38">
        <v>2022</v>
      </c>
      <c r="B102" s="38"/>
      <c r="C102" s="38"/>
      <c r="D102" s="38"/>
      <c r="E102" s="38"/>
      <c r="F102" s="38"/>
      <c r="G102" s="38">
        <v>0</v>
      </c>
      <c r="H102" s="38"/>
      <c r="I102" s="38">
        <v>0</v>
      </c>
      <c r="J102" s="38">
        <v>0</v>
      </c>
      <c r="K102" s="38"/>
      <c r="L102" s="38">
        <v>0</v>
      </c>
      <c r="M102" s="38"/>
      <c r="N102" s="38"/>
      <c r="O102" s="38"/>
      <c r="P102" s="38"/>
      <c r="Q102" s="38">
        <v>0</v>
      </c>
      <c r="R102" s="38"/>
      <c r="S102" s="38"/>
      <c r="T102" s="38"/>
      <c r="U102" s="38"/>
      <c r="V102" s="38"/>
      <c r="W102" s="38"/>
      <c r="X102" s="38"/>
      <c r="Y102" s="7"/>
      <c r="Z102" s="58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ht="18" customHeight="1" x14ac:dyDescent="0.2">
      <c r="A103" s="38">
        <v>2023</v>
      </c>
      <c r="B103" s="38"/>
      <c r="C103" s="38"/>
      <c r="D103" s="38"/>
      <c r="E103" s="38">
        <v>0</v>
      </c>
      <c r="F103" s="38">
        <v>0</v>
      </c>
      <c r="G103" s="38">
        <v>0</v>
      </c>
      <c r="H103" s="38"/>
      <c r="I103" s="38"/>
      <c r="J103" s="38">
        <v>0</v>
      </c>
      <c r="K103" s="38">
        <v>0</v>
      </c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7"/>
      <c r="Z103" s="58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 ht="18" customHeight="1" x14ac:dyDescent="0.2">
      <c r="A104" s="43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1020"/>
      <c r="W104" s="1021"/>
      <c r="X104" s="1021"/>
      <c r="Y104" s="17"/>
      <c r="Z104" s="16"/>
    </row>
  </sheetData>
  <mergeCells count="19">
    <mergeCell ref="V104:X104"/>
    <mergeCell ref="A38:A39"/>
    <mergeCell ref="B38:W38"/>
    <mergeCell ref="X38:X39"/>
    <mergeCell ref="A71:I71"/>
    <mergeCell ref="B73:W73"/>
    <mergeCell ref="X73:X74"/>
    <mergeCell ref="A1:I1"/>
    <mergeCell ref="B3:W3"/>
    <mergeCell ref="X3:X4"/>
    <mergeCell ref="A36:I36"/>
    <mergeCell ref="A73:A74"/>
    <mergeCell ref="AE3:AZ3"/>
    <mergeCell ref="Z73:Z74"/>
    <mergeCell ref="Y3:Y4"/>
    <mergeCell ref="Z3:Z4"/>
    <mergeCell ref="Y38:Y39"/>
    <mergeCell ref="Z38:Z39"/>
    <mergeCell ref="Y73:Y74"/>
  </mergeCells>
  <phoneticPr fontId="4" type="noConversion"/>
  <conditionalFormatting sqref="AE5:AZ33">
    <cfRule type="colorScale" priority="2">
      <colorScale>
        <cfvo type="min"/>
        <cfvo type="max"/>
        <color rgb="FFFCFCFF"/>
        <color rgb="FF63BE7B"/>
      </colorScale>
    </cfRule>
  </conditionalFormatting>
  <conditionalFormatting sqref="AG34:AV3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AI33"/>
  <sheetViews>
    <sheetView workbookViewId="0">
      <selection activeCell="H31" sqref="H31"/>
    </sheetView>
  </sheetViews>
  <sheetFormatPr defaultColWidth="9.140625" defaultRowHeight="12.75" x14ac:dyDescent="0.2"/>
  <cols>
    <col min="1" max="17" width="8.28515625" style="2" customWidth="1"/>
    <col min="18" max="16384" width="9.140625" style="2"/>
  </cols>
  <sheetData>
    <row r="2" spans="1:35" x14ac:dyDescent="0.2">
      <c r="A2" s="1002" t="s">
        <v>110</v>
      </c>
      <c r="B2" s="1003"/>
      <c r="C2" s="1003"/>
      <c r="D2" s="1003"/>
      <c r="E2" s="1003"/>
      <c r="F2" s="1003"/>
      <c r="G2" s="1003"/>
      <c r="H2" s="1003"/>
      <c r="I2" s="1003"/>
      <c r="J2" s="1"/>
      <c r="K2" s="1"/>
      <c r="L2" s="1"/>
      <c r="M2" s="1"/>
      <c r="N2" s="1"/>
      <c r="O2" s="1"/>
      <c r="P2" s="1"/>
      <c r="Q2" s="1"/>
      <c r="S2" s="1002" t="s">
        <v>111</v>
      </c>
      <c r="T2" s="1003"/>
      <c r="U2" s="1003"/>
      <c r="V2" s="1003"/>
      <c r="W2" s="1003"/>
      <c r="X2" s="1003"/>
      <c r="Y2" s="1003"/>
      <c r="Z2" s="1003"/>
      <c r="AA2" s="1003"/>
      <c r="AB2" s="1"/>
      <c r="AC2" s="1"/>
      <c r="AD2" s="1"/>
      <c r="AE2" s="1"/>
      <c r="AF2" s="1"/>
      <c r="AG2" s="1"/>
      <c r="AH2" s="1"/>
      <c r="AI2" s="1"/>
    </row>
    <row r="3" spans="1:35" ht="13.5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3.5" thickTop="1" x14ac:dyDescent="0.2">
      <c r="A4" s="1004" t="s">
        <v>0</v>
      </c>
      <c r="B4" s="1006"/>
      <c r="C4" s="1006"/>
      <c r="D4" s="1006"/>
      <c r="E4" s="1006"/>
      <c r="F4" s="1006"/>
      <c r="G4" s="1006"/>
      <c r="H4" s="1006"/>
      <c r="I4" s="1006"/>
      <c r="J4" s="1006"/>
      <c r="K4" s="1006"/>
      <c r="L4" s="1006"/>
      <c r="M4" s="1006"/>
      <c r="N4" s="1006"/>
      <c r="O4" s="1006"/>
      <c r="P4" s="1006"/>
      <c r="Q4" s="1006"/>
      <c r="S4" s="1004" t="s">
        <v>0</v>
      </c>
      <c r="T4" s="1006"/>
      <c r="U4" s="1006"/>
      <c r="V4" s="1006"/>
      <c r="W4" s="1006"/>
      <c r="X4" s="1006"/>
      <c r="Y4" s="1006"/>
      <c r="Z4" s="1006"/>
      <c r="AA4" s="1006"/>
      <c r="AB4" s="1006"/>
      <c r="AC4" s="1006"/>
      <c r="AD4" s="1006"/>
      <c r="AE4" s="1006"/>
      <c r="AF4" s="1006"/>
      <c r="AG4" s="1006"/>
      <c r="AH4" s="1006"/>
      <c r="AI4" s="1006"/>
    </row>
    <row r="5" spans="1:35" ht="18" customHeight="1" x14ac:dyDescent="0.2">
      <c r="A5" s="1005"/>
      <c r="B5" s="18" t="s">
        <v>24</v>
      </c>
      <c r="C5" s="18" t="s">
        <v>25</v>
      </c>
      <c r="D5" s="18" t="s">
        <v>26</v>
      </c>
      <c r="E5" s="18" t="s">
        <v>27</v>
      </c>
      <c r="F5" s="18" t="s">
        <v>28</v>
      </c>
      <c r="G5" s="18" t="s">
        <v>29</v>
      </c>
      <c r="H5" s="18" t="s">
        <v>30</v>
      </c>
      <c r="I5" s="18" t="s">
        <v>31</v>
      </c>
      <c r="J5" s="18" t="s">
        <v>32</v>
      </c>
      <c r="K5" s="18" t="s">
        <v>33</v>
      </c>
      <c r="L5" s="18" t="s">
        <v>34</v>
      </c>
      <c r="M5" s="18" t="s">
        <v>35</v>
      </c>
      <c r="N5" s="18" t="s">
        <v>36</v>
      </c>
      <c r="O5" s="18" t="s">
        <v>37</v>
      </c>
      <c r="P5" s="18" t="s">
        <v>38</v>
      </c>
      <c r="Q5" s="18" t="s">
        <v>39</v>
      </c>
      <c r="S5" s="1005"/>
      <c r="T5" s="18" t="s">
        <v>24</v>
      </c>
      <c r="U5" s="18" t="s">
        <v>25</v>
      </c>
      <c r="V5" s="18" t="s">
        <v>26</v>
      </c>
      <c r="W5" s="18" t="s">
        <v>27</v>
      </c>
      <c r="X5" s="18" t="s">
        <v>28</v>
      </c>
      <c r="Y5" s="18" t="s">
        <v>29</v>
      </c>
      <c r="Z5" s="18" t="s">
        <v>30</v>
      </c>
      <c r="AA5" s="18" t="s">
        <v>31</v>
      </c>
      <c r="AB5" s="18" t="s">
        <v>32</v>
      </c>
      <c r="AC5" s="18" t="s">
        <v>33</v>
      </c>
      <c r="AD5" s="18" t="s">
        <v>34</v>
      </c>
      <c r="AE5" s="18" t="s">
        <v>35</v>
      </c>
      <c r="AF5" s="18" t="s">
        <v>36</v>
      </c>
      <c r="AG5" s="18" t="s">
        <v>37</v>
      </c>
      <c r="AH5" s="18" t="s">
        <v>38</v>
      </c>
      <c r="AI5" s="18" t="s">
        <v>39</v>
      </c>
    </row>
    <row r="6" spans="1:35" ht="18" customHeight="1" x14ac:dyDescent="0.2">
      <c r="A6" s="1">
        <v>1995</v>
      </c>
      <c r="B6" s="49">
        <v>9</v>
      </c>
      <c r="C6" s="49">
        <v>9</v>
      </c>
      <c r="D6" s="49">
        <v>5</v>
      </c>
      <c r="E6" s="49">
        <v>4</v>
      </c>
      <c r="F6" s="49">
        <v>3</v>
      </c>
      <c r="G6" s="6"/>
      <c r="H6" s="6"/>
      <c r="I6" s="49">
        <v>5</v>
      </c>
      <c r="J6" s="49">
        <v>5</v>
      </c>
      <c r="K6" s="49">
        <v>5</v>
      </c>
      <c r="L6" s="6">
        <v>3</v>
      </c>
      <c r="M6" s="6">
        <v>5</v>
      </c>
      <c r="N6" s="6">
        <v>5</v>
      </c>
      <c r="O6" s="6">
        <v>5</v>
      </c>
      <c r="P6" s="6">
        <v>1</v>
      </c>
      <c r="Q6" s="6">
        <v>2</v>
      </c>
      <c r="S6" s="1">
        <v>1995</v>
      </c>
      <c r="T6" s="49">
        <v>5</v>
      </c>
      <c r="U6" s="49">
        <v>9</v>
      </c>
      <c r="V6" s="49">
        <v>5</v>
      </c>
      <c r="W6" s="49">
        <v>4</v>
      </c>
      <c r="X6" s="49">
        <v>3</v>
      </c>
      <c r="Y6" s="6"/>
      <c r="Z6" s="6"/>
      <c r="AA6" s="49">
        <v>5</v>
      </c>
      <c r="AB6" s="49">
        <v>5</v>
      </c>
      <c r="AC6" s="49">
        <v>5</v>
      </c>
      <c r="AD6" s="6">
        <v>3</v>
      </c>
      <c r="AE6" s="6">
        <v>5</v>
      </c>
      <c r="AF6" s="6">
        <v>5</v>
      </c>
      <c r="AG6" s="6">
        <v>5</v>
      </c>
      <c r="AH6" s="6">
        <v>1</v>
      </c>
      <c r="AI6" s="6">
        <v>2</v>
      </c>
    </row>
    <row r="7" spans="1:35" ht="18" customHeight="1" x14ac:dyDescent="0.2">
      <c r="A7" s="1">
        <v>1996</v>
      </c>
      <c r="B7" s="49">
        <v>13</v>
      </c>
      <c r="C7" s="49">
        <v>14</v>
      </c>
      <c r="D7" s="49">
        <v>6</v>
      </c>
      <c r="E7" s="49">
        <v>8</v>
      </c>
      <c r="F7" s="49">
        <v>6</v>
      </c>
      <c r="G7" s="6">
        <v>7</v>
      </c>
      <c r="H7" s="6">
        <v>6</v>
      </c>
      <c r="I7" s="49">
        <v>10</v>
      </c>
      <c r="J7" s="49">
        <v>9</v>
      </c>
      <c r="K7" s="49">
        <v>10</v>
      </c>
      <c r="L7" s="6">
        <v>10</v>
      </c>
      <c r="M7" s="6">
        <v>10</v>
      </c>
      <c r="N7" s="6">
        <v>7</v>
      </c>
      <c r="O7" s="6">
        <v>8</v>
      </c>
      <c r="P7" s="6">
        <v>5</v>
      </c>
      <c r="Q7" s="6">
        <v>5</v>
      </c>
      <c r="S7" s="1">
        <v>1996</v>
      </c>
      <c r="T7" s="49">
        <v>8</v>
      </c>
      <c r="U7" s="49">
        <v>14</v>
      </c>
      <c r="V7" s="49">
        <v>6</v>
      </c>
      <c r="W7" s="49">
        <v>8</v>
      </c>
      <c r="X7" s="49">
        <v>6</v>
      </c>
      <c r="Y7" s="6">
        <v>7</v>
      </c>
      <c r="Z7" s="6">
        <v>6</v>
      </c>
      <c r="AA7" s="49">
        <v>10</v>
      </c>
      <c r="AB7" s="49">
        <v>9</v>
      </c>
      <c r="AC7" s="49">
        <v>10</v>
      </c>
      <c r="AD7" s="6">
        <v>10</v>
      </c>
      <c r="AE7" s="6">
        <v>10</v>
      </c>
      <c r="AF7" s="6">
        <v>7</v>
      </c>
      <c r="AG7" s="6">
        <v>8</v>
      </c>
      <c r="AH7" s="6">
        <v>5</v>
      </c>
      <c r="AI7" s="6">
        <v>5</v>
      </c>
    </row>
    <row r="8" spans="1:35" ht="18" customHeight="1" x14ac:dyDescent="0.2">
      <c r="A8" s="1">
        <v>1997</v>
      </c>
      <c r="B8" s="49">
        <v>13</v>
      </c>
      <c r="C8" s="49">
        <v>11</v>
      </c>
      <c r="D8" s="49">
        <v>8</v>
      </c>
      <c r="E8" s="49">
        <v>4</v>
      </c>
      <c r="F8" s="49">
        <v>7</v>
      </c>
      <c r="G8" s="6">
        <v>3</v>
      </c>
      <c r="H8" s="6">
        <v>7</v>
      </c>
      <c r="I8" s="49">
        <v>6</v>
      </c>
      <c r="J8" s="49">
        <v>9</v>
      </c>
      <c r="K8" s="49">
        <v>8</v>
      </c>
      <c r="L8" s="6">
        <v>7</v>
      </c>
      <c r="M8" s="6">
        <v>7</v>
      </c>
      <c r="N8" s="6">
        <v>7</v>
      </c>
      <c r="O8" s="6">
        <v>6</v>
      </c>
      <c r="P8" s="6">
        <v>7</v>
      </c>
      <c r="Q8" s="6">
        <v>3</v>
      </c>
      <c r="S8" s="1">
        <v>1997</v>
      </c>
      <c r="T8" s="49">
        <v>8</v>
      </c>
      <c r="U8" s="49">
        <v>11</v>
      </c>
      <c r="V8" s="49">
        <v>8</v>
      </c>
      <c r="W8" s="49">
        <v>4</v>
      </c>
      <c r="X8" s="49">
        <v>7</v>
      </c>
      <c r="Y8" s="6">
        <v>3</v>
      </c>
      <c r="Z8" s="6">
        <v>7</v>
      </c>
      <c r="AA8" s="49">
        <v>6</v>
      </c>
      <c r="AB8" s="49">
        <v>9</v>
      </c>
      <c r="AC8" s="49">
        <v>8</v>
      </c>
      <c r="AD8" s="6">
        <v>7</v>
      </c>
      <c r="AE8" s="6">
        <v>7</v>
      </c>
      <c r="AF8" s="6">
        <v>7</v>
      </c>
      <c r="AG8" s="6">
        <v>6</v>
      </c>
      <c r="AH8" s="6">
        <v>7</v>
      </c>
      <c r="AI8" s="6">
        <v>3</v>
      </c>
    </row>
    <row r="9" spans="1:35" ht="18" customHeight="1" x14ac:dyDescent="0.2">
      <c r="A9" s="1">
        <v>1998</v>
      </c>
      <c r="B9" s="49">
        <v>17</v>
      </c>
      <c r="C9" s="49">
        <v>11</v>
      </c>
      <c r="D9" s="49">
        <v>10</v>
      </c>
      <c r="E9" s="49">
        <v>7</v>
      </c>
      <c r="F9" s="49">
        <v>3</v>
      </c>
      <c r="G9" s="6">
        <v>3</v>
      </c>
      <c r="H9" s="6">
        <v>6</v>
      </c>
      <c r="I9" s="49">
        <v>10</v>
      </c>
      <c r="J9" s="49">
        <v>7</v>
      </c>
      <c r="K9" s="49">
        <v>7</v>
      </c>
      <c r="L9" s="6">
        <v>8</v>
      </c>
      <c r="M9" s="6">
        <v>12</v>
      </c>
      <c r="N9" s="6">
        <v>13</v>
      </c>
      <c r="O9" s="6">
        <v>3</v>
      </c>
      <c r="P9" s="6">
        <v>5</v>
      </c>
      <c r="Q9" s="6">
        <v>11</v>
      </c>
      <c r="S9" s="1">
        <v>1998</v>
      </c>
      <c r="T9" s="49">
        <v>8</v>
      </c>
      <c r="U9" s="49">
        <v>11</v>
      </c>
      <c r="V9" s="49">
        <v>10</v>
      </c>
      <c r="W9" s="49">
        <v>7</v>
      </c>
      <c r="X9" s="49">
        <v>3</v>
      </c>
      <c r="Y9" s="6">
        <v>3</v>
      </c>
      <c r="Z9" s="6">
        <v>6</v>
      </c>
      <c r="AA9" s="49">
        <v>10</v>
      </c>
      <c r="AB9" s="49">
        <v>7</v>
      </c>
      <c r="AC9" s="49">
        <v>7</v>
      </c>
      <c r="AD9" s="6">
        <v>8</v>
      </c>
      <c r="AE9" s="6">
        <v>12</v>
      </c>
      <c r="AF9" s="6">
        <v>13</v>
      </c>
      <c r="AG9" s="6">
        <v>3</v>
      </c>
      <c r="AH9" s="6">
        <v>5</v>
      </c>
      <c r="AI9" s="6">
        <v>11</v>
      </c>
    </row>
    <row r="10" spans="1:35" ht="18" customHeight="1" x14ac:dyDescent="0.2">
      <c r="A10" s="1">
        <v>1999</v>
      </c>
      <c r="B10" s="49">
        <v>7</v>
      </c>
      <c r="C10" s="49">
        <v>8</v>
      </c>
      <c r="D10" s="49">
        <v>10</v>
      </c>
      <c r="E10" s="49">
        <v>6</v>
      </c>
      <c r="F10" s="49">
        <v>5</v>
      </c>
      <c r="G10" s="6">
        <v>4</v>
      </c>
      <c r="H10" s="6">
        <v>5</v>
      </c>
      <c r="I10" s="49">
        <v>5</v>
      </c>
      <c r="J10" s="49">
        <v>6</v>
      </c>
      <c r="K10" s="49">
        <v>5</v>
      </c>
      <c r="L10" s="6">
        <v>6</v>
      </c>
      <c r="M10" s="6">
        <v>8</v>
      </c>
      <c r="N10" s="6">
        <v>7</v>
      </c>
      <c r="O10" s="6">
        <v>4</v>
      </c>
      <c r="P10" s="6">
        <v>4</v>
      </c>
      <c r="Q10" s="6">
        <v>6</v>
      </c>
      <c r="S10" s="1">
        <v>1999</v>
      </c>
      <c r="T10" s="49">
        <v>4</v>
      </c>
      <c r="U10" s="49">
        <v>8</v>
      </c>
      <c r="V10" s="49">
        <v>10</v>
      </c>
      <c r="W10" s="49">
        <v>6</v>
      </c>
      <c r="X10" s="49">
        <v>5</v>
      </c>
      <c r="Y10" s="6">
        <v>4</v>
      </c>
      <c r="Z10" s="6">
        <v>5</v>
      </c>
      <c r="AA10" s="49">
        <v>5</v>
      </c>
      <c r="AB10" s="49">
        <v>6</v>
      </c>
      <c r="AC10" s="49">
        <v>5</v>
      </c>
      <c r="AD10" s="6">
        <v>6</v>
      </c>
      <c r="AE10" s="6">
        <v>8</v>
      </c>
      <c r="AF10" s="6">
        <v>7</v>
      </c>
      <c r="AG10" s="6">
        <v>4</v>
      </c>
      <c r="AH10" s="6">
        <v>4</v>
      </c>
      <c r="AI10" s="6">
        <v>6</v>
      </c>
    </row>
    <row r="11" spans="1:35" ht="18" customHeight="1" x14ac:dyDescent="0.2">
      <c r="A11" s="1">
        <v>2000</v>
      </c>
      <c r="B11" s="49">
        <v>9</v>
      </c>
      <c r="C11" s="49">
        <v>12</v>
      </c>
      <c r="D11" s="49">
        <v>8</v>
      </c>
      <c r="E11" s="49">
        <v>6</v>
      </c>
      <c r="F11" s="49">
        <v>6</v>
      </c>
      <c r="G11" s="6">
        <v>14</v>
      </c>
      <c r="H11" s="6">
        <v>3</v>
      </c>
      <c r="I11" s="49">
        <v>6</v>
      </c>
      <c r="J11" s="49">
        <v>6</v>
      </c>
      <c r="K11" s="49">
        <v>6</v>
      </c>
      <c r="L11" s="6">
        <v>4</v>
      </c>
      <c r="M11" s="6">
        <v>8</v>
      </c>
      <c r="N11" s="6">
        <v>6</v>
      </c>
      <c r="O11" s="6">
        <v>3</v>
      </c>
      <c r="P11" s="6">
        <v>3</v>
      </c>
      <c r="Q11" s="6">
        <v>4</v>
      </c>
      <c r="S11" s="1">
        <v>2000</v>
      </c>
      <c r="T11" s="49">
        <v>5</v>
      </c>
      <c r="U11" s="49">
        <v>12</v>
      </c>
      <c r="V11" s="49">
        <v>8</v>
      </c>
      <c r="W11" s="49">
        <v>6</v>
      </c>
      <c r="X11" s="49">
        <v>6</v>
      </c>
      <c r="Y11" s="6">
        <v>14</v>
      </c>
      <c r="Z11" s="6">
        <v>3</v>
      </c>
      <c r="AA11" s="49">
        <v>6</v>
      </c>
      <c r="AB11" s="49">
        <v>6</v>
      </c>
      <c r="AC11" s="49">
        <v>6</v>
      </c>
      <c r="AD11" s="6">
        <v>4</v>
      </c>
      <c r="AE11" s="6">
        <v>8</v>
      </c>
      <c r="AF11" s="6">
        <v>6</v>
      </c>
      <c r="AG11" s="6">
        <v>3</v>
      </c>
      <c r="AH11" s="6">
        <v>3</v>
      </c>
      <c r="AI11" s="6">
        <v>4</v>
      </c>
    </row>
    <row r="12" spans="1:35" ht="18" customHeight="1" x14ac:dyDescent="0.2">
      <c r="A12" s="1">
        <v>2001</v>
      </c>
      <c r="B12" s="49">
        <v>12</v>
      </c>
      <c r="C12" s="49">
        <v>9</v>
      </c>
      <c r="D12" s="49">
        <v>6</v>
      </c>
      <c r="E12" s="49">
        <v>4</v>
      </c>
      <c r="F12" s="49">
        <v>3</v>
      </c>
      <c r="G12" s="6">
        <v>15</v>
      </c>
      <c r="H12" s="6">
        <v>7</v>
      </c>
      <c r="I12" s="49">
        <v>10</v>
      </c>
      <c r="J12" s="49">
        <v>8</v>
      </c>
      <c r="K12" s="49">
        <v>4</v>
      </c>
      <c r="L12" s="6">
        <v>5</v>
      </c>
      <c r="M12" s="6">
        <v>7</v>
      </c>
      <c r="N12" s="6">
        <v>4</v>
      </c>
      <c r="O12" s="6">
        <v>5</v>
      </c>
      <c r="P12" s="6">
        <v>1</v>
      </c>
      <c r="Q12" s="6">
        <v>3</v>
      </c>
      <c r="S12" s="1">
        <v>2001</v>
      </c>
      <c r="T12" s="49">
        <v>8</v>
      </c>
      <c r="U12" s="49">
        <v>9</v>
      </c>
      <c r="V12" s="49">
        <v>6</v>
      </c>
      <c r="W12" s="49">
        <v>4</v>
      </c>
      <c r="X12" s="49">
        <v>3</v>
      </c>
      <c r="Y12" s="6">
        <v>15</v>
      </c>
      <c r="Z12" s="6">
        <v>7</v>
      </c>
      <c r="AA12" s="49">
        <v>10</v>
      </c>
      <c r="AB12" s="49">
        <v>8</v>
      </c>
      <c r="AC12" s="49">
        <v>4</v>
      </c>
      <c r="AD12" s="6">
        <v>5</v>
      </c>
      <c r="AE12" s="6">
        <v>7</v>
      </c>
      <c r="AF12" s="6">
        <v>4</v>
      </c>
      <c r="AG12" s="6">
        <v>5</v>
      </c>
      <c r="AH12" s="6">
        <v>1</v>
      </c>
      <c r="AI12" s="6">
        <v>3</v>
      </c>
    </row>
    <row r="13" spans="1:35" ht="18" customHeight="1" x14ac:dyDescent="0.2">
      <c r="A13" s="1">
        <v>2002</v>
      </c>
      <c r="B13" s="6">
        <v>10</v>
      </c>
      <c r="C13" s="6">
        <v>11</v>
      </c>
      <c r="D13" s="6">
        <v>7</v>
      </c>
      <c r="E13" s="6">
        <v>5</v>
      </c>
      <c r="F13" s="6">
        <v>5</v>
      </c>
      <c r="G13" s="6">
        <v>16</v>
      </c>
      <c r="H13" s="6">
        <v>4</v>
      </c>
      <c r="I13" s="6">
        <v>10</v>
      </c>
      <c r="J13" s="6">
        <v>5</v>
      </c>
      <c r="K13" s="6">
        <v>5</v>
      </c>
      <c r="L13" s="6">
        <v>4</v>
      </c>
      <c r="M13" s="6">
        <v>5</v>
      </c>
      <c r="N13" s="6">
        <v>5</v>
      </c>
      <c r="O13" s="6">
        <v>3</v>
      </c>
      <c r="P13" s="6">
        <v>5</v>
      </c>
      <c r="Q13" s="6">
        <v>8</v>
      </c>
      <c r="S13" s="1">
        <v>2002</v>
      </c>
      <c r="T13" s="6">
        <v>5</v>
      </c>
      <c r="U13" s="6">
        <v>11</v>
      </c>
      <c r="V13" s="6">
        <v>7</v>
      </c>
      <c r="W13" s="6">
        <v>5</v>
      </c>
      <c r="X13" s="6">
        <v>5</v>
      </c>
      <c r="Y13" s="6">
        <v>16</v>
      </c>
      <c r="Z13" s="6">
        <v>4</v>
      </c>
      <c r="AA13" s="6">
        <v>10</v>
      </c>
      <c r="AB13" s="6">
        <v>5</v>
      </c>
      <c r="AC13" s="6">
        <v>5</v>
      </c>
      <c r="AD13" s="6">
        <v>4</v>
      </c>
      <c r="AE13" s="6">
        <v>5</v>
      </c>
      <c r="AF13" s="6">
        <v>5</v>
      </c>
      <c r="AG13" s="6">
        <v>3</v>
      </c>
      <c r="AH13" s="6">
        <v>5</v>
      </c>
      <c r="AI13" s="6">
        <v>8</v>
      </c>
    </row>
    <row r="14" spans="1:35" ht="18" customHeight="1" x14ac:dyDescent="0.2">
      <c r="A14" s="1">
        <v>2003</v>
      </c>
      <c r="B14" s="6">
        <v>7</v>
      </c>
      <c r="C14" s="6">
        <v>7</v>
      </c>
      <c r="D14" s="6">
        <v>14</v>
      </c>
      <c r="E14" s="6">
        <v>6</v>
      </c>
      <c r="F14" s="6">
        <v>5</v>
      </c>
      <c r="G14" s="6">
        <v>15</v>
      </c>
      <c r="H14" s="6">
        <v>3</v>
      </c>
      <c r="I14" s="6">
        <v>8</v>
      </c>
      <c r="J14" s="6">
        <v>6</v>
      </c>
      <c r="K14" s="6">
        <v>5</v>
      </c>
      <c r="L14" s="6">
        <v>2</v>
      </c>
      <c r="M14" s="6">
        <v>5</v>
      </c>
      <c r="N14" s="6">
        <v>5</v>
      </c>
      <c r="O14" s="6">
        <v>6</v>
      </c>
      <c r="P14" s="6">
        <v>4</v>
      </c>
      <c r="Q14" s="6">
        <v>5</v>
      </c>
      <c r="S14" s="1">
        <v>2003</v>
      </c>
      <c r="T14" s="6">
        <v>4</v>
      </c>
      <c r="U14" s="6">
        <v>7</v>
      </c>
      <c r="V14" s="6">
        <v>14</v>
      </c>
      <c r="W14" s="6">
        <v>6</v>
      </c>
      <c r="X14" s="6">
        <v>5</v>
      </c>
      <c r="Y14" s="6">
        <v>15</v>
      </c>
      <c r="Z14" s="6">
        <v>3</v>
      </c>
      <c r="AA14" s="6">
        <v>8</v>
      </c>
      <c r="AB14" s="6">
        <v>6</v>
      </c>
      <c r="AC14" s="6">
        <v>5</v>
      </c>
      <c r="AD14" s="6">
        <v>2</v>
      </c>
      <c r="AE14" s="6">
        <v>5</v>
      </c>
      <c r="AF14" s="6">
        <v>5</v>
      </c>
      <c r="AG14" s="6">
        <v>6</v>
      </c>
      <c r="AH14" s="6">
        <v>4</v>
      </c>
      <c r="AI14" s="6">
        <v>5</v>
      </c>
    </row>
    <row r="15" spans="1:35" ht="18" customHeight="1" x14ac:dyDescent="0.2">
      <c r="A15" s="1">
        <v>2004</v>
      </c>
      <c r="B15" s="6">
        <v>7</v>
      </c>
      <c r="C15" s="6">
        <v>9</v>
      </c>
      <c r="D15" s="6">
        <v>7</v>
      </c>
      <c r="E15" s="6">
        <v>5</v>
      </c>
      <c r="F15" s="6">
        <v>3</v>
      </c>
      <c r="G15" s="6">
        <v>16</v>
      </c>
      <c r="H15" s="6">
        <v>3</v>
      </c>
      <c r="I15" s="6">
        <v>7</v>
      </c>
      <c r="J15" s="6">
        <v>5</v>
      </c>
      <c r="K15" s="6">
        <v>4</v>
      </c>
      <c r="L15" s="6">
        <v>3</v>
      </c>
      <c r="M15" s="6">
        <v>5</v>
      </c>
      <c r="N15" s="6">
        <v>5</v>
      </c>
      <c r="O15" s="6">
        <v>5</v>
      </c>
      <c r="P15" s="6">
        <v>3</v>
      </c>
      <c r="Q15" s="6">
        <v>7</v>
      </c>
      <c r="S15" s="1">
        <v>2004</v>
      </c>
      <c r="T15" s="6">
        <v>3</v>
      </c>
      <c r="U15" s="6">
        <v>9</v>
      </c>
      <c r="V15" s="6">
        <v>7</v>
      </c>
      <c r="W15" s="6">
        <v>5</v>
      </c>
      <c r="X15" s="6">
        <v>3</v>
      </c>
      <c r="Y15" s="6">
        <v>16</v>
      </c>
      <c r="Z15" s="6">
        <v>3</v>
      </c>
      <c r="AA15" s="6">
        <v>7</v>
      </c>
      <c r="AB15" s="6">
        <v>5</v>
      </c>
      <c r="AC15" s="6">
        <v>4</v>
      </c>
      <c r="AD15" s="6">
        <v>3</v>
      </c>
      <c r="AE15" s="6">
        <v>5</v>
      </c>
      <c r="AF15" s="6">
        <v>5</v>
      </c>
      <c r="AG15" s="6">
        <v>5</v>
      </c>
      <c r="AH15" s="6">
        <v>3</v>
      </c>
      <c r="AI15" s="6">
        <v>7</v>
      </c>
    </row>
    <row r="16" spans="1:35" ht="18" customHeight="1" x14ac:dyDescent="0.2">
      <c r="A16" s="1">
        <v>2005</v>
      </c>
      <c r="B16" s="6">
        <v>5</v>
      </c>
      <c r="C16" s="6">
        <v>8</v>
      </c>
      <c r="D16" s="6">
        <v>7</v>
      </c>
      <c r="E16" s="6">
        <v>5</v>
      </c>
      <c r="F16" s="6">
        <v>2</v>
      </c>
      <c r="G16" s="6">
        <v>29</v>
      </c>
      <c r="H16" s="6">
        <v>2</v>
      </c>
      <c r="I16" s="6">
        <v>6</v>
      </c>
      <c r="J16" s="6">
        <v>8</v>
      </c>
      <c r="K16" s="6">
        <v>5</v>
      </c>
      <c r="L16" s="6">
        <v>2</v>
      </c>
      <c r="M16" s="6">
        <v>3</v>
      </c>
      <c r="N16" s="6">
        <v>3</v>
      </c>
      <c r="O16" s="6">
        <v>3</v>
      </c>
      <c r="P16" s="6">
        <v>3</v>
      </c>
      <c r="S16" s="1">
        <v>2005</v>
      </c>
      <c r="T16" s="6">
        <v>2</v>
      </c>
      <c r="U16" s="6">
        <v>8</v>
      </c>
      <c r="V16" s="6">
        <v>7</v>
      </c>
      <c r="W16" s="6">
        <v>5</v>
      </c>
      <c r="X16" s="6">
        <v>2</v>
      </c>
      <c r="Y16" s="6">
        <v>29</v>
      </c>
      <c r="Z16" s="6">
        <v>2</v>
      </c>
      <c r="AA16" s="6">
        <v>6</v>
      </c>
      <c r="AB16" s="6">
        <v>8</v>
      </c>
      <c r="AC16" s="6">
        <v>5</v>
      </c>
      <c r="AD16" s="6">
        <v>2</v>
      </c>
      <c r="AE16" s="6">
        <v>3</v>
      </c>
      <c r="AF16" s="6">
        <v>3</v>
      </c>
      <c r="AG16" s="6">
        <v>3</v>
      </c>
      <c r="AH16" s="6">
        <v>3</v>
      </c>
    </row>
    <row r="17" spans="1:35" ht="18" customHeight="1" x14ac:dyDescent="0.2">
      <c r="A17" s="1">
        <v>2006</v>
      </c>
      <c r="B17" s="6">
        <v>5</v>
      </c>
      <c r="C17" s="6">
        <v>6</v>
      </c>
      <c r="D17" s="6">
        <v>7</v>
      </c>
      <c r="E17" s="6">
        <v>4</v>
      </c>
      <c r="F17" s="6">
        <v>4</v>
      </c>
      <c r="G17" s="6">
        <v>18</v>
      </c>
      <c r="H17" s="6">
        <v>4</v>
      </c>
      <c r="I17" s="6">
        <v>10</v>
      </c>
      <c r="J17" s="6">
        <v>12</v>
      </c>
      <c r="K17" s="6">
        <v>11</v>
      </c>
      <c r="L17" s="6">
        <v>3</v>
      </c>
      <c r="M17" s="6">
        <v>3</v>
      </c>
      <c r="N17" s="6">
        <v>3</v>
      </c>
      <c r="O17" s="6">
        <v>4</v>
      </c>
      <c r="P17" s="6">
        <v>3</v>
      </c>
      <c r="Q17" s="6">
        <v>4</v>
      </c>
      <c r="S17" s="1">
        <v>2006</v>
      </c>
      <c r="T17" s="6">
        <v>5</v>
      </c>
      <c r="U17" s="6">
        <v>6</v>
      </c>
      <c r="V17" s="6">
        <v>7</v>
      </c>
      <c r="W17" s="6">
        <v>4</v>
      </c>
      <c r="X17" s="6">
        <v>4</v>
      </c>
      <c r="Y17" s="6">
        <v>18</v>
      </c>
      <c r="Z17" s="6">
        <v>4</v>
      </c>
      <c r="AA17" s="6">
        <v>10</v>
      </c>
      <c r="AB17" s="6">
        <v>12</v>
      </c>
      <c r="AC17" s="6">
        <v>11</v>
      </c>
      <c r="AD17" s="6">
        <v>3</v>
      </c>
      <c r="AE17" s="6">
        <v>3</v>
      </c>
      <c r="AF17" s="6">
        <v>3</v>
      </c>
      <c r="AG17" s="6">
        <v>4</v>
      </c>
      <c r="AH17" s="6">
        <v>3</v>
      </c>
      <c r="AI17" s="6">
        <v>4</v>
      </c>
    </row>
    <row r="18" spans="1:35" ht="18" customHeight="1" x14ac:dyDescent="0.2">
      <c r="A18" s="1">
        <v>2007</v>
      </c>
      <c r="B18" s="6">
        <v>3</v>
      </c>
      <c r="C18" s="6">
        <v>6</v>
      </c>
      <c r="D18" s="6">
        <v>7</v>
      </c>
      <c r="E18" s="6">
        <v>4</v>
      </c>
      <c r="F18" s="6">
        <v>3</v>
      </c>
      <c r="G18" s="6">
        <v>13</v>
      </c>
      <c r="H18" s="6">
        <v>6</v>
      </c>
      <c r="I18" s="6">
        <v>11</v>
      </c>
      <c r="J18" s="6">
        <v>5</v>
      </c>
      <c r="K18" s="6">
        <v>8</v>
      </c>
      <c r="L18" s="6">
        <v>4</v>
      </c>
      <c r="M18" s="6">
        <v>4</v>
      </c>
      <c r="N18" s="6">
        <v>4</v>
      </c>
      <c r="O18" s="6">
        <v>4</v>
      </c>
      <c r="P18" s="6">
        <v>8</v>
      </c>
      <c r="Q18" s="6">
        <v>6</v>
      </c>
      <c r="S18" s="1">
        <v>2007</v>
      </c>
      <c r="T18" s="6">
        <v>3</v>
      </c>
      <c r="U18" s="6">
        <v>6</v>
      </c>
      <c r="V18" s="6">
        <v>7</v>
      </c>
      <c r="W18" s="6">
        <v>4</v>
      </c>
      <c r="X18" s="6">
        <v>3</v>
      </c>
      <c r="Y18" s="6">
        <v>13</v>
      </c>
      <c r="Z18" s="6">
        <v>6</v>
      </c>
      <c r="AA18" s="6">
        <v>11</v>
      </c>
      <c r="AB18" s="6">
        <v>5</v>
      </c>
      <c r="AC18" s="6">
        <v>8</v>
      </c>
      <c r="AD18" s="6">
        <v>4</v>
      </c>
      <c r="AE18" s="6">
        <v>4</v>
      </c>
      <c r="AF18" s="6">
        <v>4</v>
      </c>
      <c r="AG18" s="6">
        <v>4</v>
      </c>
      <c r="AH18" s="6">
        <v>8</v>
      </c>
      <c r="AI18" s="6">
        <v>6</v>
      </c>
    </row>
    <row r="19" spans="1:35" ht="18" customHeight="1" x14ac:dyDescent="0.2">
      <c r="A19" s="1">
        <v>2008</v>
      </c>
      <c r="B19" s="1">
        <v>8</v>
      </c>
      <c r="C19" s="1">
        <v>7</v>
      </c>
      <c r="D19" s="1">
        <v>8</v>
      </c>
      <c r="E19" s="1">
        <v>7</v>
      </c>
      <c r="F19" s="1">
        <v>5</v>
      </c>
      <c r="G19" s="1">
        <v>4</v>
      </c>
      <c r="H19" s="1">
        <v>3</v>
      </c>
      <c r="I19" s="1">
        <v>7</v>
      </c>
      <c r="J19" s="1">
        <v>6</v>
      </c>
      <c r="K19" s="1">
        <v>6</v>
      </c>
      <c r="L19" s="1">
        <v>3</v>
      </c>
      <c r="M19" s="1">
        <v>4</v>
      </c>
      <c r="N19" s="1">
        <v>5</v>
      </c>
      <c r="O19" s="1">
        <v>4</v>
      </c>
      <c r="P19" s="1">
        <v>3</v>
      </c>
      <c r="Q19" s="1">
        <v>6</v>
      </c>
      <c r="S19" s="1">
        <v>2008</v>
      </c>
      <c r="T19" s="1">
        <v>8</v>
      </c>
      <c r="U19" s="1">
        <v>7</v>
      </c>
      <c r="V19" s="1">
        <v>8</v>
      </c>
      <c r="W19" s="1">
        <v>7</v>
      </c>
      <c r="X19" s="1">
        <v>5</v>
      </c>
      <c r="Y19" s="1">
        <v>4</v>
      </c>
      <c r="Z19" s="1">
        <v>3</v>
      </c>
      <c r="AA19" s="1">
        <v>7</v>
      </c>
      <c r="AB19" s="1">
        <v>6</v>
      </c>
      <c r="AC19" s="1">
        <v>6</v>
      </c>
      <c r="AD19" s="1">
        <v>3</v>
      </c>
      <c r="AE19" s="1">
        <v>4</v>
      </c>
      <c r="AF19" s="1">
        <v>5</v>
      </c>
      <c r="AG19" s="1">
        <v>4</v>
      </c>
      <c r="AH19" s="1">
        <v>3</v>
      </c>
      <c r="AI19" s="1">
        <v>6</v>
      </c>
    </row>
    <row r="20" spans="1:35" ht="18" customHeight="1" x14ac:dyDescent="0.2">
      <c r="A20" s="1">
        <v>2009</v>
      </c>
      <c r="B20" s="1">
        <v>5</v>
      </c>
      <c r="C20" s="1">
        <v>7</v>
      </c>
      <c r="D20" s="1">
        <v>7</v>
      </c>
      <c r="E20" s="1">
        <v>3</v>
      </c>
      <c r="F20" s="1">
        <v>3</v>
      </c>
      <c r="G20" s="1">
        <v>4</v>
      </c>
      <c r="H20" s="1">
        <v>4</v>
      </c>
      <c r="I20" s="1">
        <v>6</v>
      </c>
      <c r="J20" s="1">
        <v>7</v>
      </c>
      <c r="K20" s="1">
        <v>5</v>
      </c>
      <c r="L20" s="1">
        <v>5</v>
      </c>
      <c r="M20" s="1">
        <v>4</v>
      </c>
      <c r="N20" s="1">
        <v>4</v>
      </c>
      <c r="O20" s="1">
        <v>3</v>
      </c>
      <c r="P20" s="1">
        <v>3</v>
      </c>
      <c r="Q20" s="1">
        <v>5</v>
      </c>
      <c r="S20" s="1">
        <v>2009</v>
      </c>
      <c r="T20" s="1">
        <v>5</v>
      </c>
      <c r="U20" s="1">
        <v>7</v>
      </c>
      <c r="V20" s="1">
        <v>7</v>
      </c>
      <c r="W20" s="1">
        <v>3</v>
      </c>
      <c r="X20" s="1">
        <v>3</v>
      </c>
      <c r="Y20" s="1">
        <v>4</v>
      </c>
      <c r="Z20" s="1">
        <v>4</v>
      </c>
      <c r="AA20" s="1">
        <v>6</v>
      </c>
      <c r="AB20" s="1">
        <v>7</v>
      </c>
      <c r="AC20" s="1">
        <v>5</v>
      </c>
      <c r="AD20" s="1">
        <v>5</v>
      </c>
      <c r="AE20" s="1">
        <v>4</v>
      </c>
      <c r="AF20" s="1">
        <v>4</v>
      </c>
      <c r="AG20" s="1">
        <v>3</v>
      </c>
      <c r="AH20" s="1">
        <v>3</v>
      </c>
      <c r="AI20" s="1">
        <v>5</v>
      </c>
    </row>
    <row r="21" spans="1:35" ht="18" customHeight="1" x14ac:dyDescent="0.2">
      <c r="A21" s="1">
        <v>2010</v>
      </c>
      <c r="B21" s="1">
        <v>4</v>
      </c>
      <c r="C21" s="1">
        <f>COUNT(Nahmint!B20:W20)</f>
        <v>5</v>
      </c>
      <c r="D21" s="1">
        <f>COUNT(Bedwell!B55:W55)</f>
        <v>6</v>
      </c>
      <c r="E21" s="1">
        <f>Moyeha!AA20</f>
        <v>6</v>
      </c>
      <c r="F21" s="1">
        <f>Megin!AA20</f>
        <v>2</v>
      </c>
      <c r="G21" s="1">
        <f>Tranquil!AA20</f>
        <v>11</v>
      </c>
      <c r="H21" s="1">
        <f>COUNT(Cypre!B55:W55)</f>
        <v>3</v>
      </c>
      <c r="I21" s="1">
        <f>COUNT(Burman!B55:W55)</f>
        <v>7</v>
      </c>
      <c r="J21" s="1">
        <f>COUNT(Tahsis!B55:W55)</f>
        <v>5</v>
      </c>
      <c r="K21" s="1">
        <f>COUNT(Leiner!B55:W55)</f>
        <v>7</v>
      </c>
      <c r="L21" s="1">
        <f>COUNT(Zeballos!B55:W55)</f>
        <v>2</v>
      </c>
      <c r="M21" s="1">
        <f>Kaouk!AA20</f>
        <v>11</v>
      </c>
      <c r="N21" s="1">
        <f>COUNT(Artlish!B55:W55)</f>
        <v>4</v>
      </c>
      <c r="O21" s="1">
        <f>COUNT(Tahsish!B55:W55)</f>
        <v>3</v>
      </c>
      <c r="P21" s="1">
        <f>COUNT(Marble!B55:W55)</f>
        <v>3</v>
      </c>
      <c r="Q21" s="1">
        <f>COUNT(Cayeghle!B61:W61)</f>
        <v>4</v>
      </c>
      <c r="S21" s="1">
        <v>2010</v>
      </c>
      <c r="T21" s="1">
        <v>4</v>
      </c>
      <c r="U21" s="1">
        <f>COUNT(Nahmint!T20:BB20)</f>
        <v>9</v>
      </c>
      <c r="V21" s="1">
        <f>COUNT(Bedwell!T55:AS55)</f>
        <v>5</v>
      </c>
      <c r="W21" s="1">
        <f>Moyeha!AS20</f>
        <v>0</v>
      </c>
      <c r="X21" s="1">
        <f>Megin!AS20</f>
        <v>0</v>
      </c>
      <c r="Y21" s="1">
        <f>Tranquil!AS20</f>
        <v>1482</v>
      </c>
      <c r="Z21" s="1">
        <f>COUNT(Cypre!T55:AO55)</f>
        <v>2</v>
      </c>
      <c r="AA21" s="1">
        <f>COUNT(Burman!T55:AZ55)</f>
        <v>2</v>
      </c>
      <c r="AB21" s="1">
        <f>COUNT(Tahsis!T55:AP55)</f>
        <v>3</v>
      </c>
      <c r="AC21" s="1">
        <f>COUNT(Leiner!T55:AP55)</f>
        <v>2</v>
      </c>
      <c r="AD21" s="1">
        <f>COUNT(Zeballos!T55:AO55)</f>
        <v>0</v>
      </c>
      <c r="AE21" s="1">
        <f>Kaouk!AS20</f>
        <v>0</v>
      </c>
      <c r="AF21" s="1">
        <f>COUNT(Artlish!T55:AO55)</f>
        <v>4</v>
      </c>
      <c r="AG21" s="1">
        <f>COUNT(Tahsish!T55:AO55)</f>
        <v>4</v>
      </c>
      <c r="AH21" s="1">
        <f>COUNT(Marble!T55:AO55)</f>
        <v>3</v>
      </c>
      <c r="AI21" s="1">
        <f>COUNT(Cayeghle!T61:AO61)</f>
        <v>8</v>
      </c>
    </row>
    <row r="22" spans="1:35" ht="18" customHeight="1" x14ac:dyDescent="0.2">
      <c r="A22" s="1">
        <v>2011</v>
      </c>
      <c r="B22" s="1">
        <v>4</v>
      </c>
      <c r="C22" s="1">
        <f>COUNT(Nahmint!B21:W21)</f>
        <v>5</v>
      </c>
      <c r="D22" s="1">
        <f>COUNT(Bedwell!B56:W56)</f>
        <v>8</v>
      </c>
      <c r="E22" s="1">
        <f>Moyeha!AA21</f>
        <v>6</v>
      </c>
      <c r="F22" s="1">
        <f>Megin!AA21</f>
        <v>4</v>
      </c>
      <c r="G22" s="1">
        <f>Tranquil!AA21</f>
        <v>8</v>
      </c>
      <c r="H22" s="1">
        <f>COUNT(Cypre!B56:W56)</f>
        <v>4</v>
      </c>
      <c r="I22" s="1">
        <f>COUNT(Burman!B56:W56)</f>
        <v>6</v>
      </c>
      <c r="J22" s="1">
        <f>COUNT(Tahsis!B56:W56)</f>
        <v>9</v>
      </c>
      <c r="K22" s="1">
        <f>COUNT(Leiner!B56:W56)</f>
        <v>8</v>
      </c>
      <c r="L22" s="1">
        <f>COUNT(Zeballos!B56:W56)</f>
        <v>3</v>
      </c>
      <c r="M22" s="1">
        <f>COUNT(Kaouk!B56:W56)</f>
        <v>7</v>
      </c>
      <c r="N22" s="1">
        <f>COUNT(Artlish!B56:W56)</f>
        <v>6</v>
      </c>
      <c r="O22" s="1">
        <f>COUNT(Tahsish!B56:W56)</f>
        <v>6</v>
      </c>
      <c r="P22" s="1">
        <f>COUNT(Marble!B56:W56)</f>
        <v>4</v>
      </c>
      <c r="Q22" s="1">
        <f>COUNT(Cayeghle!B62:W62)</f>
        <v>7</v>
      </c>
      <c r="S22" s="1">
        <v>2011</v>
      </c>
      <c r="T22" s="1">
        <v>4</v>
      </c>
      <c r="U22" s="1">
        <f>COUNT(Nahmint!T21:BB21)</f>
        <v>8</v>
      </c>
      <c r="V22" s="1">
        <f>COUNT(Bedwell!T56:AS56)</f>
        <v>6</v>
      </c>
      <c r="W22" s="1">
        <f>Moyeha!AS21</f>
        <v>0</v>
      </c>
      <c r="X22" s="1">
        <f>Megin!AS21</f>
        <v>0</v>
      </c>
      <c r="Y22" s="1">
        <f>Tranquil!AS21</f>
        <v>1723</v>
      </c>
      <c r="Z22" s="1">
        <f>COUNT(Cypre!T56:AO56)</f>
        <v>2</v>
      </c>
      <c r="AA22" s="1">
        <f>COUNT(Burman!T56:AZ56)</f>
        <v>2</v>
      </c>
      <c r="AB22" s="1">
        <f>COUNT(Tahsis!T56:AP56)</f>
        <v>4</v>
      </c>
      <c r="AC22" s="1">
        <f>COUNT(Leiner!T56:AP56)</f>
        <v>3</v>
      </c>
      <c r="AD22" s="1">
        <f>COUNT(Zeballos!T56:AO56)</f>
        <v>3</v>
      </c>
      <c r="AE22" s="1">
        <f>COUNT(Kaouk!T56:AO56)</f>
        <v>6</v>
      </c>
      <c r="AF22" s="1">
        <f>COUNT(Artlish!T56:AO56)</f>
        <v>4</v>
      </c>
      <c r="AG22" s="1">
        <f>COUNT(Tahsish!T56:AO56)</f>
        <v>6</v>
      </c>
      <c r="AH22" s="1">
        <f>COUNT(Marble!T56:AO56)</f>
        <v>4</v>
      </c>
      <c r="AI22" s="1">
        <f>COUNT(Cayeghle!T62:AO62)</f>
        <v>10</v>
      </c>
    </row>
    <row r="23" spans="1:35" ht="18" customHeight="1" x14ac:dyDescent="0.2">
      <c r="A23" s="1">
        <v>2012</v>
      </c>
      <c r="B23" s="1">
        <v>7</v>
      </c>
      <c r="C23" s="1">
        <f>COUNT(Nahmint!B22:W22)</f>
        <v>6</v>
      </c>
      <c r="D23" s="1">
        <f>COUNT(Bedwell!B57:W57)</f>
        <v>8</v>
      </c>
      <c r="E23" s="1">
        <f>Moyeha!AA34</f>
        <v>0</v>
      </c>
      <c r="F23" s="1">
        <f>Megin!AA22</f>
        <v>8</v>
      </c>
      <c r="G23" s="1">
        <f>Tranquil!AA22</f>
        <v>13</v>
      </c>
      <c r="H23" s="1">
        <f>COUNT(Cypre!B57:W57)</f>
        <v>1</v>
      </c>
      <c r="I23" s="1">
        <f>COUNT(Burman!B57:W57)</f>
        <v>10</v>
      </c>
      <c r="J23" s="1">
        <f>COUNT(Tahsis!B57:W57)</f>
        <v>6</v>
      </c>
      <c r="K23" s="1">
        <f>COUNT(Leiner!B57:W57)</f>
        <v>9</v>
      </c>
      <c r="L23" s="1">
        <f>COUNT(Zeballos!B57:W57)</f>
        <v>2</v>
      </c>
      <c r="M23" s="1">
        <f>COUNT(Kaouk!B57:W57)</f>
        <v>11</v>
      </c>
      <c r="N23" s="1">
        <f>COUNT(Artlish!B57:W57)</f>
        <v>10</v>
      </c>
      <c r="O23" s="1">
        <f>COUNT(Tahsish!B57:W57)</f>
        <v>4</v>
      </c>
      <c r="P23" s="1">
        <f>COUNT(Marble!B57:W57)</f>
        <v>9</v>
      </c>
      <c r="Q23" s="1">
        <f>COUNT(Cayeghle!B63:W63)</f>
        <v>5</v>
      </c>
      <c r="S23" s="1">
        <v>2012</v>
      </c>
      <c r="T23" s="1">
        <v>6</v>
      </c>
      <c r="U23" s="1">
        <f>COUNT(Nahmint!T22:BB22)</f>
        <v>9</v>
      </c>
      <c r="V23" s="1">
        <f>COUNT(Bedwell!T57:AS57)</f>
        <v>6</v>
      </c>
      <c r="W23" s="1">
        <f>Moyeha!AS34</f>
        <v>0</v>
      </c>
      <c r="X23" s="1">
        <f>Megin!AS22</f>
        <v>0</v>
      </c>
      <c r="Y23" s="1">
        <f>Tranquil!AS22</f>
        <v>0</v>
      </c>
      <c r="Z23" s="1">
        <f>COUNT(Cypre!T57:AO57)</f>
        <v>1</v>
      </c>
      <c r="AA23" s="1">
        <f>COUNT(Burman!T57:AZ57)</f>
        <v>3</v>
      </c>
      <c r="AB23" s="1">
        <f>COUNT(Tahsis!T57:AP57)</f>
        <v>3</v>
      </c>
      <c r="AC23" s="1">
        <f>COUNT(Leiner!T57:AP57)</f>
        <v>3</v>
      </c>
      <c r="AD23" s="1">
        <f>COUNT(Zeballos!T57:AO57)</f>
        <v>3</v>
      </c>
      <c r="AE23" s="1">
        <f>COUNT(Kaouk!T57:AO57)</f>
        <v>3</v>
      </c>
      <c r="AF23" s="1">
        <f>COUNT(Artlish!T57:AO57)</f>
        <v>3</v>
      </c>
      <c r="AG23" s="1">
        <f>COUNT(Tahsish!T57:AO57)</f>
        <v>2</v>
      </c>
      <c r="AH23" s="1">
        <f>COUNT(Marble!T57:AO57)</f>
        <v>4</v>
      </c>
      <c r="AI23" s="1">
        <f>COUNT(Cayeghle!T63:AO63)</f>
        <v>8</v>
      </c>
    </row>
    <row r="24" spans="1:35" ht="18" customHeight="1" x14ac:dyDescent="0.2">
      <c r="A24" s="1">
        <v>2013</v>
      </c>
      <c r="B24" s="1">
        <f>COUNT(Sarita!B23:W23)</f>
        <v>7</v>
      </c>
      <c r="C24" s="1">
        <f>COUNT(Nahmint!B23:W23)</f>
        <v>6</v>
      </c>
      <c r="D24" s="1">
        <f>COUNT(Bedwell!B58:W58)</f>
        <v>7</v>
      </c>
      <c r="E24" s="1">
        <f>Moyeha!AA35</f>
        <v>0</v>
      </c>
      <c r="F24" s="1">
        <f>Megin!AA23</f>
        <v>7</v>
      </c>
      <c r="G24" s="1">
        <f>Tranquil!AA23</f>
        <v>9</v>
      </c>
      <c r="H24" s="1">
        <f>COUNT(Cypre!B58:W58)</f>
        <v>5</v>
      </c>
      <c r="I24" s="1">
        <f>COUNT(Burman!B58:W58)</f>
        <v>9</v>
      </c>
      <c r="J24" s="1">
        <f>COUNT(Tahsis!B58:W58)</f>
        <v>6</v>
      </c>
      <c r="K24" s="1">
        <f>COUNT(Leiner!B58:W58)</f>
        <v>6</v>
      </c>
      <c r="L24" s="1">
        <f>COUNT(Zeballos!B58:W58)</f>
        <v>4</v>
      </c>
      <c r="M24" s="1">
        <f>COUNT(Kaouk!B58:W58)</f>
        <v>8</v>
      </c>
      <c r="N24" s="1">
        <f>COUNT(Artlish!B58:W58)</f>
        <v>10</v>
      </c>
      <c r="O24" s="1">
        <f>COUNT(Tahsish!B58:W58)</f>
        <v>7</v>
      </c>
      <c r="P24" s="1">
        <v>16</v>
      </c>
      <c r="Q24" s="1">
        <f>COUNT(Cayeghle!B64:W64)</f>
        <v>8</v>
      </c>
      <c r="S24" s="1">
        <v>2013</v>
      </c>
      <c r="T24" s="1" t="s">
        <v>112</v>
      </c>
      <c r="U24" s="1">
        <f>COUNT(Nahmint!T23:BB23)</f>
        <v>7</v>
      </c>
      <c r="V24" s="1">
        <f>COUNT(Bedwell!T58:AS58)</f>
        <v>6</v>
      </c>
      <c r="W24" s="1">
        <f>Moyeha!AS35</f>
        <v>0</v>
      </c>
      <c r="X24" s="1">
        <f>Megin!AS23</f>
        <v>0</v>
      </c>
      <c r="Y24" s="1">
        <f>Tranquil!AS23</f>
        <v>0</v>
      </c>
      <c r="Z24" s="1">
        <f>COUNT(Cypre!T58:AO58)</f>
        <v>3</v>
      </c>
      <c r="AA24" s="1">
        <f>COUNT(Burman!T58:AZ58)</f>
        <v>3</v>
      </c>
      <c r="AB24" s="1">
        <f>COUNT(Tahsis!T58:AP58)</f>
        <v>3</v>
      </c>
      <c r="AC24" s="1">
        <f>COUNT(Leiner!T58:AP58)</f>
        <v>3</v>
      </c>
      <c r="AD24" s="1">
        <f>COUNT(Zeballos!T58:AO58)</f>
        <v>3</v>
      </c>
      <c r="AE24" s="1">
        <f>COUNT(Kaouk!T58:AO58)</f>
        <v>3</v>
      </c>
      <c r="AF24" s="1">
        <f>COUNT(Artlish!T58:AO58)</f>
        <v>3</v>
      </c>
      <c r="AG24" s="1">
        <f>COUNT(Tahsish!T58:AO58)</f>
        <v>3</v>
      </c>
      <c r="AH24" s="1">
        <v>16</v>
      </c>
      <c r="AI24" s="1">
        <f>COUNT(Cayeghle!T64:AO64)</f>
        <v>8</v>
      </c>
    </row>
    <row r="25" spans="1:35" ht="18" customHeight="1" x14ac:dyDescent="0.2">
      <c r="A25" s="1">
        <v>2014</v>
      </c>
      <c r="B25" s="1">
        <f>COUNT(Sarita!B24:W24)</f>
        <v>6</v>
      </c>
      <c r="C25" s="1">
        <f>COUNT(Nahmint!B24:W24)</f>
        <v>6</v>
      </c>
      <c r="D25" s="1">
        <f>COUNT(Bedwell!B59:W59)</f>
        <v>7</v>
      </c>
      <c r="E25" s="1">
        <f>Moyeha!AA36</f>
        <v>0</v>
      </c>
      <c r="F25" s="1">
        <f>Megin!AA24</f>
        <v>5</v>
      </c>
      <c r="G25" s="1">
        <f>Tranquil!AA24</f>
        <v>6</v>
      </c>
      <c r="H25" s="1">
        <f>COUNT(Cypre!B59:W59)</f>
        <v>3</v>
      </c>
      <c r="I25" s="1">
        <f>COUNT(Burman!B59:W59)</f>
        <v>5</v>
      </c>
      <c r="J25" s="1">
        <f>COUNT(Tahsis!B59:W59)</f>
        <v>6</v>
      </c>
      <c r="K25" s="1">
        <f>COUNT(Leiner!B59:W59)</f>
        <v>5</v>
      </c>
      <c r="L25" s="1">
        <f>COUNT(Zeballos!B59:W59)</f>
        <v>2</v>
      </c>
      <c r="M25" s="1">
        <f>COUNT(Kaouk!B59:W59)</f>
        <v>10</v>
      </c>
      <c r="N25" s="1">
        <f>COUNT(Artlish!B59:W59)</f>
        <v>8</v>
      </c>
      <c r="O25" s="1">
        <f>COUNT(Tahsish!B59:W59)</f>
        <v>6</v>
      </c>
      <c r="P25" s="1">
        <f>COUNT(Marble!B59:W59)</f>
        <v>6</v>
      </c>
      <c r="Q25" s="1">
        <f>COUNT(Cayeghle!B65:W65)</f>
        <v>6</v>
      </c>
      <c r="S25" s="1">
        <v>2014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8" customHeight="1" x14ac:dyDescent="0.2">
      <c r="A26" s="1">
        <v>2015</v>
      </c>
      <c r="B26" s="1">
        <f>COUNT(Sarita!B25:W25)</f>
        <v>7</v>
      </c>
      <c r="C26" s="1">
        <f>COUNT(Nahmint!B25:W25)</f>
        <v>8</v>
      </c>
      <c r="D26" s="1">
        <f>COUNT(Bedwell!B60:W60)</f>
        <v>8</v>
      </c>
      <c r="E26" s="1">
        <f>Moyeha!AA37</f>
        <v>0</v>
      </c>
      <c r="F26" s="1">
        <f>Megin!AA25</f>
        <v>5</v>
      </c>
      <c r="G26" s="1">
        <f>Tranquil!AA25</f>
        <v>6</v>
      </c>
      <c r="H26" s="1">
        <f>COUNT(Cypre!B60:W60)</f>
        <v>5</v>
      </c>
      <c r="I26" s="1">
        <f>COUNT(Burman!B60:W60)</f>
        <v>11</v>
      </c>
      <c r="J26" s="1">
        <f>COUNT(Tahsis!B60:W60)</f>
        <v>7</v>
      </c>
      <c r="K26" s="1">
        <f>COUNT(Leiner!B60:W60)</f>
        <v>7</v>
      </c>
      <c r="L26" s="1">
        <f>COUNT(Zeballos!B60:W60)</f>
        <v>4</v>
      </c>
      <c r="M26" s="1">
        <f>COUNT(Kaouk!B60:W60)</f>
        <v>10</v>
      </c>
      <c r="N26" s="1">
        <f>COUNT(Artlish!B60:W60)</f>
        <v>9</v>
      </c>
      <c r="O26" s="1">
        <f>COUNT(Tahsish!B60:W60)</f>
        <v>8</v>
      </c>
      <c r="P26" s="1">
        <f>COUNT(Marble!B60:W60)</f>
        <v>5</v>
      </c>
      <c r="Q26" s="1">
        <f>COUNT(Cayeghle!B66:W66)</f>
        <v>7</v>
      </c>
      <c r="S26" s="1">
        <v>2015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8" customHeight="1" x14ac:dyDescent="0.2">
      <c r="A27" s="1">
        <v>2016</v>
      </c>
      <c r="B27" s="1">
        <f>COUNT(Sarita!B26:W26)</f>
        <v>7</v>
      </c>
      <c r="C27" s="1">
        <f>COUNT(Nahmint!B26:W26)</f>
        <v>8</v>
      </c>
      <c r="D27" s="1">
        <f>COUNT(Bedwell!B61:W61)</f>
        <v>6</v>
      </c>
      <c r="E27" s="1">
        <f>Moyeha!AA38</f>
        <v>0</v>
      </c>
      <c r="F27" s="1">
        <f>Megin!AA26</f>
        <v>2</v>
      </c>
      <c r="G27" s="1">
        <f>Tranquil!AA26</f>
        <v>0</v>
      </c>
      <c r="H27" s="1">
        <f>COUNT(Cypre!B61:W61)</f>
        <v>4</v>
      </c>
      <c r="I27" s="1">
        <f>COUNT(Burman!B61:W61)</f>
        <v>10</v>
      </c>
      <c r="J27" s="1">
        <f>COUNT(Tahsis!B61:W61)</f>
        <v>7</v>
      </c>
      <c r="K27" s="1">
        <f>COUNT(Leiner!B61:W61)</f>
        <v>7</v>
      </c>
      <c r="L27" s="1">
        <f>COUNT(Zeballos!B61:W61)</f>
        <v>6</v>
      </c>
      <c r="M27" s="1">
        <f>COUNT(Kaouk!B61:W61)</f>
        <v>8</v>
      </c>
      <c r="N27" s="1">
        <f>COUNT(Artlish!B61:W61)</f>
        <v>6</v>
      </c>
      <c r="O27" s="1">
        <f>COUNT(Tahsish!B61:W61)</f>
        <v>4</v>
      </c>
      <c r="P27" s="1">
        <f>COUNT(Marble!B61:W61)</f>
        <v>4</v>
      </c>
      <c r="Q27" s="1">
        <f>COUNT(Cayeghle!B67:W67)</f>
        <v>5</v>
      </c>
      <c r="S27" s="1">
        <v>2015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8" customHeight="1" x14ac:dyDescent="0.2">
      <c r="A28" s="1">
        <v>2017</v>
      </c>
      <c r="B28" s="1">
        <f>COUNT(Sarita!B27:W27)</f>
        <v>6</v>
      </c>
      <c r="C28" s="1">
        <f>COUNT(Nahmint!B27:W27)</f>
        <v>8</v>
      </c>
      <c r="D28" s="1">
        <f>COUNT(Bedwell!B62:W62)</f>
        <v>6</v>
      </c>
      <c r="E28" s="1">
        <f>Moyeha!AA39</f>
        <v>0</v>
      </c>
      <c r="F28" s="1">
        <f>Megin!AA27</f>
        <v>0</v>
      </c>
      <c r="G28" s="1">
        <f>Tranquil!AA27</f>
        <v>0</v>
      </c>
      <c r="H28" s="1">
        <f>COUNT(Cypre!B62:W62)</f>
        <v>4</v>
      </c>
      <c r="I28" s="1">
        <f>COUNT(Burman!B62:W62)</f>
        <v>10</v>
      </c>
      <c r="J28" s="1">
        <f>COUNT(Tahsis!B62:W62)</f>
        <v>7</v>
      </c>
      <c r="K28" s="1">
        <f>COUNT(Leiner!B62:W62)</f>
        <v>8</v>
      </c>
      <c r="L28" s="1">
        <f>COUNT(Zeballos!B62:W62)</f>
        <v>4</v>
      </c>
      <c r="M28" s="1">
        <f>COUNT(Kaouk!B62:W62)</f>
        <v>7</v>
      </c>
      <c r="N28" s="1">
        <f>COUNT(Artlish!B62:W62)</f>
        <v>7</v>
      </c>
      <c r="O28" s="1">
        <f>COUNT(Tahsish!B62:W62)</f>
        <v>6</v>
      </c>
      <c r="P28" s="1">
        <f>COUNT(Marble!B62:W62)</f>
        <v>5</v>
      </c>
      <c r="Q28" s="1">
        <f>COUNT(Cayeghle!B68:W68)</f>
        <v>8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8" customHeight="1" x14ac:dyDescent="0.2">
      <c r="A29" s="1">
        <v>2018</v>
      </c>
      <c r="B29" s="1">
        <f>COUNT(Sarita!B28:W28)</f>
        <v>7</v>
      </c>
      <c r="C29" s="1">
        <f>COUNT(Nahmint!B28:W28)</f>
        <v>7</v>
      </c>
      <c r="D29" s="1">
        <f>COUNT(Bedwell!B63:W63)</f>
        <v>5</v>
      </c>
      <c r="E29" s="1">
        <f>Moyeha!AA40</f>
        <v>4</v>
      </c>
      <c r="F29" s="1">
        <f>Megin!AA28</f>
        <v>0</v>
      </c>
      <c r="G29" s="1">
        <f>Tranquil!AA28</f>
        <v>0</v>
      </c>
      <c r="H29" s="1">
        <f>COUNT(Cypre!B63:W63)</f>
        <v>4</v>
      </c>
      <c r="I29" s="1">
        <f>COUNT(Burman!B63:W63)</f>
        <v>7</v>
      </c>
      <c r="J29" s="1">
        <f>COUNT(Tahsis!B63:W63)</f>
        <v>6</v>
      </c>
      <c r="K29" s="1">
        <f>COUNT(Leiner!B63:W63)</f>
        <v>6</v>
      </c>
      <c r="L29" s="1">
        <f>COUNT(Zeballos!B63:W63)</f>
        <v>3</v>
      </c>
      <c r="M29" s="1">
        <f>COUNT(Kaouk!B63:W63)</f>
        <v>7</v>
      </c>
      <c r="N29" s="1">
        <f>COUNT(Artlish!B63:W63)</f>
        <v>6</v>
      </c>
      <c r="O29" s="1">
        <f>COUNT(Tahsish!B63:W63)</f>
        <v>6</v>
      </c>
      <c r="P29" s="1">
        <f>COUNT(Marble!B63:W63)</f>
        <v>3</v>
      </c>
      <c r="Q29" s="1">
        <f>COUNT(Cayeghle!B69:W69)</f>
        <v>6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8" customHeight="1" x14ac:dyDescent="0.2">
      <c r="A30" s="1">
        <v>2019</v>
      </c>
      <c r="B30" s="1">
        <f>COUNT(Sarita!B29:W29)</f>
        <v>11</v>
      </c>
      <c r="C30" s="1">
        <f>COUNT(Nahmint!B29:W29)</f>
        <v>9</v>
      </c>
      <c r="D30" s="1">
        <f>COUNT(Bedwell!B64:W64)</f>
        <v>7</v>
      </c>
      <c r="E30" s="1">
        <f>Moyeha!AA41</f>
        <v>8</v>
      </c>
      <c r="F30" s="1">
        <f>Megin!AA29</f>
        <v>0</v>
      </c>
      <c r="G30" s="1">
        <f>Tranquil!AA29</f>
        <v>0</v>
      </c>
      <c r="H30" s="1">
        <f>COUNT(Cypre!B64:W64)</f>
        <v>4</v>
      </c>
      <c r="I30" s="1">
        <f>COUNT(Burman!B64:W64)</f>
        <v>7</v>
      </c>
      <c r="J30" s="1">
        <f>COUNT(Tahsis!B64:W64)</f>
        <v>6</v>
      </c>
      <c r="K30" s="1">
        <f>COUNT(Leiner!B64:W64)</f>
        <v>6</v>
      </c>
      <c r="L30" s="1">
        <f>COUNT(Zeballos!B64:W64)</f>
        <v>2</v>
      </c>
      <c r="M30" s="1">
        <f>COUNT(Kaouk!B64:W64)</f>
        <v>7</v>
      </c>
      <c r="N30" s="1">
        <f>COUNT(Artlish!B64:W64)</f>
        <v>8</v>
      </c>
      <c r="O30" s="1">
        <f>COUNT(Tahsish!B64:W64)</f>
        <v>6</v>
      </c>
      <c r="P30" s="1">
        <f>COUNT(Marble!B64:W64)</f>
        <v>7</v>
      </c>
      <c r="Q30" s="1">
        <f>COUNT(Cayeghle!B70:W70)</f>
        <v>7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8" customHeight="1" x14ac:dyDescent="0.2">
      <c r="A31" s="1">
        <v>2020</v>
      </c>
      <c r="B31" s="1">
        <f>COUNT(Sarita!B30:W30)</f>
        <v>8</v>
      </c>
      <c r="C31" s="1">
        <f>COUNT(Nahmint!B30:W30)</f>
        <v>6</v>
      </c>
      <c r="D31" s="1">
        <f>COUNT(Bedwell!B65:W65)</f>
        <v>5</v>
      </c>
      <c r="E31" s="1">
        <f>Moyeha!AA42</f>
        <v>4</v>
      </c>
      <c r="F31" s="1">
        <f>Megin!AA30</f>
        <v>0</v>
      </c>
      <c r="G31" s="1">
        <f>Tranquil!AA30</f>
        <v>0</v>
      </c>
      <c r="H31" s="1">
        <f>COUNT(Cypre!B65:W65)</f>
        <v>4</v>
      </c>
      <c r="I31" s="1">
        <f>COUNT(Burman!B65:W65)</f>
        <v>5</v>
      </c>
      <c r="J31" s="1">
        <f>COUNT(Tahsis!B65:W65)</f>
        <v>7</v>
      </c>
      <c r="K31" s="1">
        <f>COUNT(Leiner!B65:W65)</f>
        <v>8</v>
      </c>
      <c r="L31" s="1">
        <f>COUNT(Zeballos!B65:W65)</f>
        <v>5</v>
      </c>
      <c r="M31" s="1">
        <f>COUNT(Kaouk!B65:W65)</f>
        <v>6</v>
      </c>
      <c r="N31" s="1">
        <f>COUNT(Artlish!B65:W65)</f>
        <v>6</v>
      </c>
      <c r="O31" s="1">
        <f>COUNT(Tahsish!B65:W65)</f>
        <v>6</v>
      </c>
      <c r="P31" s="1">
        <f>COUNT(Marble!B65:W65)</f>
        <v>2</v>
      </c>
      <c r="Q31" s="1">
        <f>COUNT(Cayeghle!B71:W71)</f>
        <v>4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8" customHeight="1" x14ac:dyDescent="0.2">
      <c r="A33" s="50" t="s">
        <v>17</v>
      </c>
      <c r="B33" s="51">
        <f t="shared" ref="B33:O33" si="0">AVERAGE(B6:B24)</f>
        <v>8</v>
      </c>
      <c r="C33" s="51">
        <f t="shared" si="0"/>
        <v>8.2631578947368425</v>
      </c>
      <c r="D33" s="51">
        <f t="shared" si="0"/>
        <v>7.6842105263157894</v>
      </c>
      <c r="E33" s="51">
        <f t="shared" si="0"/>
        <v>4.7368421052631575</v>
      </c>
      <c r="F33" s="51">
        <f t="shared" si="0"/>
        <v>4.4210526315789478</v>
      </c>
      <c r="G33" s="51">
        <f t="shared" si="0"/>
        <v>11.222222222222221</v>
      </c>
      <c r="H33" s="51">
        <f t="shared" si="0"/>
        <v>4.2222222222222223</v>
      </c>
      <c r="I33" s="51">
        <f t="shared" si="0"/>
        <v>7.8421052631578947</v>
      </c>
      <c r="J33" s="51">
        <f t="shared" si="0"/>
        <v>6.8421052631578947</v>
      </c>
      <c r="K33" s="51">
        <f t="shared" si="0"/>
        <v>6.5263157894736841</v>
      </c>
      <c r="L33" s="51">
        <f t="shared" si="0"/>
        <v>4.2105263157894735</v>
      </c>
      <c r="M33" s="51">
        <f t="shared" si="0"/>
        <v>6.6842105263157894</v>
      </c>
      <c r="N33" s="51">
        <f t="shared" si="0"/>
        <v>5.9473684210526319</v>
      </c>
      <c r="O33" s="51">
        <f t="shared" si="0"/>
        <v>4.5263157894736841</v>
      </c>
      <c r="P33" s="51">
        <f>AVERAGE(P6:P24)</f>
        <v>4.7368421052631575</v>
      </c>
      <c r="Q33" s="51">
        <f>AVERAGE(Q6:Q24)</f>
        <v>5.5</v>
      </c>
      <c r="S33" s="50" t="s">
        <v>17</v>
      </c>
      <c r="T33" s="51">
        <f t="shared" ref="T33:AI33" si="1">AVERAGE(T6:T20)</f>
        <v>5.4</v>
      </c>
      <c r="U33" s="51">
        <f t="shared" si="1"/>
        <v>9</v>
      </c>
      <c r="V33" s="51">
        <f t="shared" si="1"/>
        <v>7.8</v>
      </c>
      <c r="W33" s="51">
        <f t="shared" si="1"/>
        <v>5.2</v>
      </c>
      <c r="X33" s="51">
        <f t="shared" si="1"/>
        <v>4.2</v>
      </c>
      <c r="Y33" s="51">
        <f t="shared" si="1"/>
        <v>11.5</v>
      </c>
      <c r="Z33" s="51">
        <f t="shared" si="1"/>
        <v>4.5</v>
      </c>
      <c r="AA33" s="51">
        <f t="shared" si="1"/>
        <v>7.8</v>
      </c>
      <c r="AB33" s="51">
        <f t="shared" si="1"/>
        <v>6.9333333333333336</v>
      </c>
      <c r="AC33" s="51">
        <f t="shared" si="1"/>
        <v>6.2666666666666666</v>
      </c>
      <c r="AD33" s="51">
        <f t="shared" si="1"/>
        <v>4.5999999999999996</v>
      </c>
      <c r="AE33" s="51">
        <f t="shared" si="1"/>
        <v>6</v>
      </c>
      <c r="AF33" s="51">
        <f t="shared" si="1"/>
        <v>5.5333333333333332</v>
      </c>
      <c r="AG33" s="51">
        <f t="shared" si="1"/>
        <v>4.4000000000000004</v>
      </c>
      <c r="AH33" s="51">
        <f t="shared" si="1"/>
        <v>3.8666666666666667</v>
      </c>
      <c r="AI33" s="51">
        <f t="shared" si="1"/>
        <v>5.3571428571428568</v>
      </c>
    </row>
  </sheetData>
  <mergeCells count="6">
    <mergeCell ref="A2:I2"/>
    <mergeCell ref="A4:A5"/>
    <mergeCell ref="B4:Q4"/>
    <mergeCell ref="S2:AA2"/>
    <mergeCell ref="S4:S5"/>
    <mergeCell ref="T4:AI4"/>
  </mergeCells>
  <phoneticPr fontId="4" type="noConversion"/>
  <pageMargins left="0.75" right="0.75" top="1" bottom="1" header="0.5" footer="0.5"/>
  <pageSetup scale="7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AX238"/>
  <sheetViews>
    <sheetView topLeftCell="A97" zoomScaleNormal="100" workbookViewId="0">
      <selection activeCell="J109" sqref="J109"/>
    </sheetView>
  </sheetViews>
  <sheetFormatPr defaultColWidth="9.140625" defaultRowHeight="12.75" x14ac:dyDescent="0.2"/>
  <cols>
    <col min="1" max="1" width="10.28515625" style="2" customWidth="1"/>
    <col min="2" max="2" width="10" style="2" bestFit="1" customWidth="1"/>
    <col min="3" max="11" width="6.5703125" style="2" customWidth="1"/>
    <col min="12" max="12" width="7.140625" style="2" customWidth="1"/>
    <col min="13" max="23" width="6.5703125" style="2" customWidth="1"/>
    <col min="24" max="25" width="9.140625" style="2"/>
    <col min="26" max="26" width="11.7109375" style="56" customWidth="1"/>
    <col min="27" max="30" width="9.140625" style="2"/>
    <col min="31" max="31" width="14.42578125" style="2" bestFit="1" customWidth="1"/>
    <col min="32" max="32" width="9.140625" style="2"/>
    <col min="33" max="33" width="9.5703125" style="2" customWidth="1"/>
    <col min="34" max="35" width="9.140625" style="2"/>
    <col min="36" max="36" width="10.7109375" style="2" customWidth="1"/>
    <col min="37" max="41" width="9.140625" style="2"/>
    <col min="42" max="42" width="19.28515625" style="2" bestFit="1" customWidth="1"/>
    <col min="43" max="43" width="11.7109375" style="2" bestFit="1" customWidth="1"/>
    <col min="44" max="16384" width="9.140625" style="2"/>
  </cols>
  <sheetData>
    <row r="1" spans="1:50" ht="15" x14ac:dyDescent="0.25">
      <c r="AD1" s="222" t="s">
        <v>117</v>
      </c>
      <c r="AE1" s="222" t="s">
        <v>118</v>
      </c>
      <c r="AF1" s="157" t="s">
        <v>119</v>
      </c>
      <c r="AG1"/>
      <c r="AH1" s="157" t="s">
        <v>120</v>
      </c>
      <c r="AI1" s="157"/>
      <c r="AJ1"/>
      <c r="AK1" s="160" t="s">
        <v>121</v>
      </c>
      <c r="AL1"/>
      <c r="AM1" s="161" t="s">
        <v>122</v>
      </c>
      <c r="AO1" s="222" t="s">
        <v>117</v>
      </c>
      <c r="AP1" s="222" t="s">
        <v>118</v>
      </c>
      <c r="AQ1" s="157" t="s">
        <v>119</v>
      </c>
      <c r="AR1"/>
      <c r="AS1" s="157" t="s">
        <v>120</v>
      </c>
      <c r="AT1" s="157"/>
      <c r="AU1"/>
      <c r="AV1" s="160" t="s">
        <v>121</v>
      </c>
      <c r="AW1"/>
      <c r="AX1" s="161" t="s">
        <v>122</v>
      </c>
    </row>
    <row r="2" spans="1:50" x14ac:dyDescent="0.2">
      <c r="AD2" s="165" t="s">
        <v>167</v>
      </c>
      <c r="AE2" s="162"/>
      <c r="AF2" s="162" t="s">
        <v>146</v>
      </c>
      <c r="AG2"/>
      <c r="AH2" s="163" t="s">
        <v>148</v>
      </c>
      <c r="AI2" s="163" t="s">
        <v>147</v>
      </c>
      <c r="AJ2"/>
      <c r="AK2" s="164"/>
      <c r="AL2"/>
      <c r="AM2" s="164"/>
      <c r="AO2" s="165" t="s">
        <v>167</v>
      </c>
      <c r="AP2" s="162"/>
      <c r="AQ2" s="162" t="s">
        <v>146</v>
      </c>
      <c r="AR2"/>
      <c r="AS2" s="163" t="s">
        <v>148</v>
      </c>
      <c r="AT2" s="163" t="s">
        <v>147</v>
      </c>
      <c r="AU2"/>
      <c r="AV2" s="164"/>
      <c r="AW2"/>
      <c r="AX2" s="164"/>
    </row>
    <row r="3" spans="1:50" x14ac:dyDescent="0.2">
      <c r="AD3" s="165" t="s">
        <v>127</v>
      </c>
      <c r="AE3" s="229">
        <v>42248</v>
      </c>
      <c r="AF3" s="167"/>
      <c r="AG3"/>
      <c r="AH3"/>
      <c r="AI3" s="169">
        <v>0</v>
      </c>
      <c r="AJ3"/>
      <c r="AK3"/>
      <c r="AL3"/>
      <c r="AM3"/>
      <c r="AO3" s="165" t="s">
        <v>127</v>
      </c>
      <c r="AP3" s="229">
        <v>41518</v>
      </c>
      <c r="AQ3" s="167"/>
      <c r="AR3"/>
      <c r="AS3"/>
      <c r="AT3" s="169">
        <v>0</v>
      </c>
      <c r="AU3"/>
      <c r="AV3"/>
      <c r="AW3"/>
      <c r="AX3"/>
    </row>
    <row r="4" spans="1:50" x14ac:dyDescent="0.2">
      <c r="AD4" s="165"/>
      <c r="AE4" s="229">
        <v>42256</v>
      </c>
      <c r="AF4" s="170">
        <v>0</v>
      </c>
      <c r="AG4"/>
      <c r="AH4" s="171">
        <v>0.8</v>
      </c>
      <c r="AI4" s="172">
        <f t="shared" ref="AI4:AI11" si="0">AF4/AH4</f>
        <v>0</v>
      </c>
      <c r="AJ4"/>
      <c r="AK4" s="172">
        <f t="shared" ref="AK4:AK12" si="1">(AE4-AE3)*(AF4+AF3)</f>
        <v>0</v>
      </c>
      <c r="AL4"/>
      <c r="AM4" s="172">
        <f t="shared" ref="AM4:AM12" si="2">(AE4-AE3)*(AI4+AI3)</f>
        <v>0</v>
      </c>
      <c r="AO4" s="165"/>
      <c r="AP4" s="229">
        <v>41530</v>
      </c>
      <c r="AQ4" s="170">
        <v>31</v>
      </c>
      <c r="AR4"/>
      <c r="AS4" s="171">
        <v>0.98</v>
      </c>
      <c r="AT4" s="172">
        <f>AQ4/AS4</f>
        <v>31.632653061224492</v>
      </c>
      <c r="AU4"/>
      <c r="AV4" s="172">
        <f t="shared" ref="AV4:AV9" si="3">(AP4-AP3)*(AQ4+AQ3)</f>
        <v>372</v>
      </c>
      <c r="AW4"/>
      <c r="AX4" s="172">
        <f t="shared" ref="AX4:AX9" si="4">(AP4-AP3)*(AT4+AT3)</f>
        <v>379.59183673469391</v>
      </c>
    </row>
    <row r="5" spans="1:50" x14ac:dyDescent="0.2">
      <c r="AD5" s="165"/>
      <c r="AE5" s="229">
        <v>42263</v>
      </c>
      <c r="AF5" s="170">
        <v>52</v>
      </c>
      <c r="AG5"/>
      <c r="AH5" s="171">
        <v>0.9</v>
      </c>
      <c r="AI5" s="172">
        <f t="shared" si="0"/>
        <v>57.777777777777779</v>
      </c>
      <c r="AJ5"/>
      <c r="AK5" s="172">
        <f t="shared" si="1"/>
        <v>364</v>
      </c>
      <c r="AL5"/>
      <c r="AM5" s="172">
        <f t="shared" si="2"/>
        <v>404.44444444444446</v>
      </c>
      <c r="AO5" s="165"/>
      <c r="AP5" s="229">
        <v>41550</v>
      </c>
      <c r="AQ5" s="170">
        <v>28</v>
      </c>
      <c r="AR5"/>
      <c r="AS5" s="183">
        <f>AQ5/AT5</f>
        <v>0.84848484848484851</v>
      </c>
      <c r="AT5" s="182">
        <v>33</v>
      </c>
      <c r="AU5"/>
      <c r="AV5" s="172">
        <f t="shared" si="3"/>
        <v>1180</v>
      </c>
      <c r="AW5"/>
      <c r="AX5" s="172">
        <f t="shared" si="4"/>
        <v>1292.6530612244896</v>
      </c>
    </row>
    <row r="6" spans="1:50" x14ac:dyDescent="0.2">
      <c r="AD6" s="173"/>
      <c r="AE6" s="229">
        <v>42276</v>
      </c>
      <c r="AF6" s="170">
        <v>95</v>
      </c>
      <c r="AG6"/>
      <c r="AH6" s="171">
        <v>0.9</v>
      </c>
      <c r="AI6" s="172">
        <f t="shared" si="0"/>
        <v>105.55555555555556</v>
      </c>
      <c r="AJ6"/>
      <c r="AK6" s="172">
        <f t="shared" si="1"/>
        <v>1911</v>
      </c>
      <c r="AL6"/>
      <c r="AM6" s="172">
        <f t="shared" si="2"/>
        <v>2123.3333333333335</v>
      </c>
      <c r="AO6" s="173"/>
      <c r="AP6" s="229">
        <v>41558</v>
      </c>
      <c r="AQ6" s="170">
        <v>31</v>
      </c>
      <c r="AR6"/>
      <c r="AS6" s="171">
        <v>0.92</v>
      </c>
      <c r="AT6" s="172">
        <f>AQ6/AS6</f>
        <v>33.695652173913039</v>
      </c>
      <c r="AU6"/>
      <c r="AV6" s="172">
        <f t="shared" si="3"/>
        <v>472</v>
      </c>
      <c r="AW6"/>
      <c r="AX6" s="172">
        <f t="shared" si="4"/>
        <v>533.56521739130426</v>
      </c>
    </row>
    <row r="7" spans="1:50" ht="18" customHeight="1" x14ac:dyDescent="0.2">
      <c r="A7" s="1002" t="s">
        <v>642</v>
      </c>
      <c r="B7" s="1003"/>
      <c r="C7" s="1003"/>
      <c r="D7" s="1003"/>
      <c r="E7" s="1003"/>
      <c r="F7" s="1003"/>
      <c r="G7" s="1003"/>
      <c r="H7" s="1003"/>
      <c r="I7" s="1003"/>
      <c r="J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AB7"/>
      <c r="AC7"/>
      <c r="AD7"/>
      <c r="AE7" s="229">
        <v>42292</v>
      </c>
      <c r="AF7" s="170">
        <v>92</v>
      </c>
      <c r="AG7"/>
      <c r="AH7" s="171">
        <v>0.8</v>
      </c>
      <c r="AI7" s="172">
        <f t="shared" si="0"/>
        <v>115</v>
      </c>
      <c r="AJ7"/>
      <c r="AK7" s="172">
        <f t="shared" si="1"/>
        <v>2992</v>
      </c>
      <c r="AL7"/>
      <c r="AM7" s="172">
        <f t="shared" si="2"/>
        <v>3528.8888888888887</v>
      </c>
      <c r="AN7"/>
      <c r="AO7"/>
      <c r="AP7" s="229">
        <v>41570</v>
      </c>
      <c r="AQ7" s="170">
        <v>32</v>
      </c>
      <c r="AR7"/>
      <c r="AS7" s="171">
        <v>0.95</v>
      </c>
      <c r="AT7" s="172">
        <f>AQ7/AS7</f>
        <v>33.684210526315788</v>
      </c>
      <c r="AU7"/>
      <c r="AV7" s="172">
        <f t="shared" si="3"/>
        <v>756</v>
      </c>
      <c r="AW7"/>
      <c r="AX7" s="172">
        <f t="shared" si="4"/>
        <v>808.55835240274587</v>
      </c>
    </row>
    <row r="8" spans="1:50" ht="18" customHeight="1" thickBot="1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"/>
      <c r="AB8"/>
      <c r="AC8"/>
      <c r="AD8"/>
      <c r="AE8" s="229">
        <v>42299</v>
      </c>
      <c r="AF8" s="170">
        <v>22</v>
      </c>
      <c r="AG8"/>
      <c r="AH8" s="171">
        <v>0.65</v>
      </c>
      <c r="AI8" s="172">
        <f t="shared" si="0"/>
        <v>33.846153846153847</v>
      </c>
      <c r="AJ8"/>
      <c r="AK8" s="172">
        <f t="shared" si="1"/>
        <v>798</v>
      </c>
      <c r="AL8"/>
      <c r="AM8" s="172">
        <f t="shared" si="2"/>
        <v>1041.9230769230769</v>
      </c>
      <c r="AN8"/>
      <c r="AO8"/>
      <c r="AP8" s="229">
        <v>41578</v>
      </c>
      <c r="AQ8" s="170">
        <v>10</v>
      </c>
      <c r="AR8"/>
      <c r="AS8" s="171">
        <v>0.6</v>
      </c>
      <c r="AT8" s="172">
        <f>AQ8/AS8</f>
        <v>16.666666666666668</v>
      </c>
      <c r="AU8"/>
      <c r="AV8" s="172">
        <f t="shared" si="3"/>
        <v>336</v>
      </c>
      <c r="AW8"/>
      <c r="AX8" s="172">
        <f t="shared" si="4"/>
        <v>402.80701754385962</v>
      </c>
    </row>
    <row r="9" spans="1:50" ht="18" customHeight="1" thickTop="1" x14ac:dyDescent="0.2">
      <c r="A9" s="1004" t="s">
        <v>0</v>
      </c>
      <c r="B9" s="1006" t="s">
        <v>1</v>
      </c>
      <c r="C9" s="1006"/>
      <c r="D9" s="1006"/>
      <c r="E9" s="1006"/>
      <c r="F9" s="1006"/>
      <c r="G9" s="1006"/>
      <c r="H9" s="1006"/>
      <c r="I9" s="1006"/>
      <c r="J9" s="1006"/>
      <c r="K9" s="1006"/>
      <c r="L9" s="1006"/>
      <c r="M9" s="1006"/>
      <c r="N9" s="1006"/>
      <c r="O9" s="1006"/>
      <c r="P9" s="1006"/>
      <c r="Q9" s="1006"/>
      <c r="R9" s="1006"/>
      <c r="S9" s="1006"/>
      <c r="T9" s="1006"/>
      <c r="U9" s="1006"/>
      <c r="V9" s="1006"/>
      <c r="W9" s="1006"/>
      <c r="X9" s="1004" t="s">
        <v>2</v>
      </c>
      <c r="Y9" s="1010" t="s">
        <v>3</v>
      </c>
      <c r="Z9" s="1008" t="s">
        <v>4</v>
      </c>
      <c r="AB9"/>
      <c r="AC9"/>
      <c r="AD9"/>
      <c r="AE9" s="229">
        <v>42310</v>
      </c>
      <c r="AF9" s="170">
        <v>37</v>
      </c>
      <c r="AG9"/>
      <c r="AH9" s="171">
        <v>0.8</v>
      </c>
      <c r="AI9" s="172">
        <f t="shared" si="0"/>
        <v>46.25</v>
      </c>
      <c r="AJ9"/>
      <c r="AK9" s="172">
        <f t="shared" si="1"/>
        <v>649</v>
      </c>
      <c r="AL9"/>
      <c r="AM9" s="172">
        <f t="shared" si="2"/>
        <v>881.05769230769226</v>
      </c>
      <c r="AN9"/>
      <c r="AO9"/>
      <c r="AP9" s="229">
        <v>41586</v>
      </c>
      <c r="AQ9" s="170">
        <v>21</v>
      </c>
      <c r="AR9"/>
      <c r="AS9" s="183">
        <f>AQ9/AT9</f>
        <v>0.7</v>
      </c>
      <c r="AT9" s="182">
        <v>30</v>
      </c>
      <c r="AU9"/>
      <c r="AV9" s="172">
        <f t="shared" si="3"/>
        <v>248</v>
      </c>
      <c r="AW9"/>
      <c r="AX9" s="172">
        <f t="shared" si="4"/>
        <v>373.33333333333337</v>
      </c>
    </row>
    <row r="10" spans="1:50" ht="18" customHeight="1" x14ac:dyDescent="0.2">
      <c r="A10" s="1005"/>
      <c r="B10" s="5">
        <v>81</v>
      </c>
      <c r="C10" s="5">
        <v>82</v>
      </c>
      <c r="D10" s="5">
        <v>83</v>
      </c>
      <c r="E10" s="5">
        <v>84</v>
      </c>
      <c r="F10" s="5">
        <v>91</v>
      </c>
      <c r="G10" s="5">
        <v>92</v>
      </c>
      <c r="H10" s="5">
        <v>93</v>
      </c>
      <c r="I10" s="5">
        <v>94</v>
      </c>
      <c r="J10" s="5">
        <v>101</v>
      </c>
      <c r="K10" s="5">
        <v>102</v>
      </c>
      <c r="L10" s="5">
        <v>103</v>
      </c>
      <c r="M10" s="5">
        <v>104</v>
      </c>
      <c r="N10" s="5">
        <v>105</v>
      </c>
      <c r="O10" s="5">
        <v>111</v>
      </c>
      <c r="P10" s="5">
        <v>112</v>
      </c>
      <c r="Q10" s="5">
        <v>113</v>
      </c>
      <c r="R10" s="5">
        <v>114</v>
      </c>
      <c r="S10" s="5">
        <v>115</v>
      </c>
      <c r="T10" s="5">
        <v>121</v>
      </c>
      <c r="U10" s="5">
        <v>122</v>
      </c>
      <c r="V10" s="5">
        <v>123</v>
      </c>
      <c r="W10" s="5">
        <v>124</v>
      </c>
      <c r="X10" s="1005"/>
      <c r="Y10" s="1011"/>
      <c r="Z10" s="1009"/>
      <c r="AA10" t="s">
        <v>147</v>
      </c>
      <c r="AB10" t="s">
        <v>490</v>
      </c>
      <c r="AC10"/>
      <c r="AD10"/>
      <c r="AE10" s="229">
        <v>42317</v>
      </c>
      <c r="AF10" s="170">
        <v>15</v>
      </c>
      <c r="AG10"/>
      <c r="AH10" s="171">
        <v>0.8</v>
      </c>
      <c r="AI10" s="172">
        <f t="shared" si="0"/>
        <v>18.75</v>
      </c>
      <c r="AJ10"/>
      <c r="AK10" s="172">
        <f t="shared" si="1"/>
        <v>364</v>
      </c>
      <c r="AL10"/>
      <c r="AM10" s="172">
        <f t="shared" si="2"/>
        <v>455</v>
      </c>
      <c r="AN10"/>
      <c r="AO10"/>
      <c r="AP10" s="229">
        <v>41596</v>
      </c>
      <c r="AQ10" s="170">
        <v>4</v>
      </c>
      <c r="AR10"/>
      <c r="AS10" s="171">
        <v>0.6</v>
      </c>
      <c r="AT10" s="172">
        <f>AQ10/AS10</f>
        <v>6.666666666666667</v>
      </c>
      <c r="AU10"/>
      <c r="AV10" s="172">
        <f>(AP10-AP9)*(AQ10+AQ9)</f>
        <v>250</v>
      </c>
      <c r="AW10"/>
      <c r="AX10" s="172">
        <f>(AP10-AP9)*(AT10+AT9)</f>
        <v>366.66666666666663</v>
      </c>
    </row>
    <row r="11" spans="1:50" s="8" customFormat="1" ht="18" customHeight="1" x14ac:dyDescent="0.2">
      <c r="A11" s="1">
        <v>1995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"/>
      <c r="U11" s="1"/>
      <c r="V11" s="1"/>
      <c r="W11" s="1"/>
      <c r="X11" s="7">
        <v>95</v>
      </c>
      <c r="Y11" s="7" t="s">
        <v>7</v>
      </c>
      <c r="Z11" s="10"/>
      <c r="AA11"/>
      <c r="AB11" s="438">
        <v>75</v>
      </c>
      <c r="AC11"/>
      <c r="AD11"/>
      <c r="AE11" s="229">
        <v>42323</v>
      </c>
      <c r="AF11" s="170">
        <v>0</v>
      </c>
      <c r="AG11"/>
      <c r="AH11" s="171">
        <v>0.9</v>
      </c>
      <c r="AI11" s="172">
        <f t="shared" si="0"/>
        <v>0</v>
      </c>
      <c r="AJ11"/>
      <c r="AK11" s="172">
        <f t="shared" si="1"/>
        <v>90</v>
      </c>
      <c r="AL11"/>
      <c r="AM11" s="172">
        <f t="shared" si="2"/>
        <v>112.5</v>
      </c>
      <c r="AN11"/>
      <c r="AP11" s="229">
        <v>41598</v>
      </c>
      <c r="AQ11" s="170">
        <v>0</v>
      </c>
      <c r="AR11"/>
      <c r="AS11" s="171">
        <v>0.9</v>
      </c>
      <c r="AT11" s="172">
        <f>AQ11/AS11</f>
        <v>0</v>
      </c>
      <c r="AU11"/>
      <c r="AV11" s="172">
        <f>(AP11-AP10)*(AQ11+AQ10)</f>
        <v>8</v>
      </c>
      <c r="AW11"/>
      <c r="AX11" s="172">
        <f>(AP11-AP10)*(AT11+AT10)</f>
        <v>13.333333333333334</v>
      </c>
    </row>
    <row r="12" spans="1:50" s="8" customFormat="1" ht="18" customHeight="1" x14ac:dyDescent="0.2">
      <c r="A12" s="1">
        <v>1996</v>
      </c>
      <c r="B12" s="6"/>
      <c r="C12" s="6"/>
      <c r="D12" s="6"/>
      <c r="E12" s="6"/>
      <c r="F12" s="6"/>
      <c r="G12" s="359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359"/>
      <c r="S12" s="6"/>
      <c r="T12" s="1"/>
      <c r="U12" s="1"/>
      <c r="V12" s="1"/>
      <c r="W12" s="1"/>
      <c r="X12" s="7">
        <v>70</v>
      </c>
      <c r="Y12" s="7" t="s">
        <v>7</v>
      </c>
      <c r="Z12" s="10"/>
      <c r="AA12"/>
      <c r="AB12" s="438">
        <v>70</v>
      </c>
      <c r="AC12"/>
      <c r="AD12" s="165" t="s">
        <v>128</v>
      </c>
      <c r="AE12" s="229"/>
      <c r="AF12" s="176"/>
      <c r="AG12"/>
      <c r="AH12" s="177"/>
      <c r="AI12" s="178">
        <v>0</v>
      </c>
      <c r="AJ12" s="179"/>
      <c r="AK12" s="172">
        <f t="shared" si="1"/>
        <v>0</v>
      </c>
      <c r="AL12"/>
      <c r="AM12" s="172">
        <f t="shared" si="2"/>
        <v>0</v>
      </c>
      <c r="AN12"/>
      <c r="AO12"/>
      <c r="AP12" s="229">
        <v>41598</v>
      </c>
      <c r="AQ12" s="170">
        <v>0</v>
      </c>
      <c r="AR12"/>
      <c r="AS12" s="171">
        <v>0.9</v>
      </c>
      <c r="AT12" s="172">
        <f>AQ12/AS12</f>
        <v>0</v>
      </c>
      <c r="AU12"/>
      <c r="AV12" s="172">
        <f>(AP12-AP11)*(AQ12+AQ11)</f>
        <v>0</v>
      </c>
      <c r="AW12"/>
      <c r="AX12" s="172">
        <f>(AP12-AP11)*(AT12+AT11)</f>
        <v>0</v>
      </c>
    </row>
    <row r="13" spans="1:50" s="8" customFormat="1" ht="18" customHeight="1" x14ac:dyDescent="0.2">
      <c r="A13" s="1">
        <v>1997</v>
      </c>
      <c r="B13" s="6"/>
      <c r="C13" s="6"/>
      <c r="D13" s="6"/>
      <c r="E13" s="6"/>
      <c r="F13" s="6"/>
      <c r="G13" s="359"/>
      <c r="H13" s="359"/>
      <c r="I13" s="359"/>
      <c r="J13" s="359"/>
      <c r="K13" s="359"/>
      <c r="L13" s="359"/>
      <c r="M13" s="359">
        <v>20</v>
      </c>
      <c r="N13" s="359">
        <v>7</v>
      </c>
      <c r="O13" s="359"/>
      <c r="P13" s="359">
        <v>6</v>
      </c>
      <c r="Q13" s="359"/>
      <c r="R13" s="359"/>
      <c r="S13" s="6"/>
      <c r="T13" s="1"/>
      <c r="U13" s="1"/>
      <c r="V13" s="1"/>
      <c r="W13" s="1"/>
      <c r="X13" s="7">
        <v>43</v>
      </c>
      <c r="Y13" s="7" t="s">
        <v>7</v>
      </c>
      <c r="Z13" s="61"/>
      <c r="AA13">
        <f t="shared" ref="AA13:AA37" si="5">X13/MAX(B13:W13)</f>
        <v>2.15</v>
      </c>
      <c r="AB13" s="438">
        <v>36</v>
      </c>
      <c r="AC13"/>
      <c r="AD13" s="165" t="s">
        <v>2</v>
      </c>
      <c r="AE13" s="167">
        <v>7</v>
      </c>
      <c r="AF13" s="167"/>
      <c r="AG13" s="167"/>
      <c r="AH13"/>
      <c r="AI13"/>
      <c r="AJ13"/>
      <c r="AK13"/>
      <c r="AL13"/>
      <c r="AM13"/>
      <c r="AN13"/>
      <c r="AO13" s="165" t="s">
        <v>128</v>
      </c>
      <c r="AP13" s="229"/>
      <c r="AQ13" s="176"/>
      <c r="AR13"/>
      <c r="AS13" s="177"/>
      <c r="AT13" s="178">
        <v>0</v>
      </c>
      <c r="AU13" s="179"/>
      <c r="AV13" s="172">
        <f>(AP13-AP12)*(AQ13+AQ12)</f>
        <v>0</v>
      </c>
      <c r="AW13"/>
      <c r="AX13" s="172">
        <f>(AP13-AP12)*(AT13+AT12)</f>
        <v>0</v>
      </c>
    </row>
    <row r="14" spans="1:50" s="8" customFormat="1" ht="18" customHeight="1" x14ac:dyDescent="0.2">
      <c r="A14" s="1">
        <v>1998</v>
      </c>
      <c r="B14" s="6"/>
      <c r="C14" s="6"/>
      <c r="D14" s="6"/>
      <c r="E14" s="6"/>
      <c r="F14" s="6">
        <v>0</v>
      </c>
      <c r="G14" s="359"/>
      <c r="H14" s="359">
        <v>65</v>
      </c>
      <c r="I14" s="359">
        <v>46</v>
      </c>
      <c r="J14" s="359">
        <v>63</v>
      </c>
      <c r="K14" s="359">
        <v>66</v>
      </c>
      <c r="L14" s="359"/>
      <c r="M14" s="359">
        <v>55</v>
      </c>
      <c r="N14" s="359">
        <v>45</v>
      </c>
      <c r="O14" s="359">
        <v>26</v>
      </c>
      <c r="P14" s="359"/>
      <c r="Q14" s="359"/>
      <c r="R14" s="359">
        <v>34</v>
      </c>
      <c r="S14" s="6"/>
      <c r="T14" s="1"/>
      <c r="U14" s="1"/>
      <c r="V14" s="1"/>
      <c r="W14" s="1"/>
      <c r="X14" s="7">
        <v>171</v>
      </c>
      <c r="Y14" s="7" t="s">
        <v>7</v>
      </c>
      <c r="Z14" s="61"/>
      <c r="AA14">
        <f t="shared" si="5"/>
        <v>2.5909090909090908</v>
      </c>
      <c r="AB14" s="438">
        <v>171</v>
      </c>
      <c r="AC14"/>
      <c r="AD14" s="165" t="s">
        <v>129</v>
      </c>
      <c r="AE14" s="167"/>
      <c r="AF14" s="167">
        <f>MAX(AF3:AF12)</f>
        <v>95</v>
      </c>
      <c r="AG14" s="167"/>
      <c r="AH14" s="167"/>
      <c r="AI14" s="167">
        <f>MAX(AI3:AI12)</f>
        <v>115</v>
      </c>
      <c r="AJ14" s="167"/>
      <c r="AK14" s="167"/>
      <c r="AL14"/>
      <c r="AM14"/>
      <c r="AN14"/>
      <c r="AO14" s="165" t="s">
        <v>2</v>
      </c>
      <c r="AP14" s="167">
        <v>7</v>
      </c>
      <c r="AQ14" s="167"/>
      <c r="AR14" s="167"/>
      <c r="AS14"/>
      <c r="AT14"/>
      <c r="AU14"/>
      <c r="AV14"/>
      <c r="AW14"/>
      <c r="AX14"/>
    </row>
    <row r="15" spans="1:50" s="8" customFormat="1" ht="18" customHeight="1" x14ac:dyDescent="0.2">
      <c r="A15" s="1">
        <v>1999</v>
      </c>
      <c r="B15" s="6"/>
      <c r="C15" s="6"/>
      <c r="D15" s="6"/>
      <c r="E15" s="6"/>
      <c r="F15" s="6"/>
      <c r="G15" s="359"/>
      <c r="H15" s="359">
        <v>30</v>
      </c>
      <c r="I15" s="359"/>
      <c r="J15" s="359"/>
      <c r="K15" s="359">
        <v>149</v>
      </c>
      <c r="L15" s="359">
        <v>199</v>
      </c>
      <c r="M15" s="359"/>
      <c r="N15" s="359">
        <v>2</v>
      </c>
      <c r="O15" s="359"/>
      <c r="P15" s="359"/>
      <c r="Q15" s="359"/>
      <c r="R15" s="359">
        <v>200</v>
      </c>
      <c r="S15" s="6">
        <v>62</v>
      </c>
      <c r="T15" s="1"/>
      <c r="U15" s="1"/>
      <c r="V15" s="1"/>
      <c r="W15" s="1"/>
      <c r="X15" s="9">
        <v>883</v>
      </c>
      <c r="Y15" s="7" t="s">
        <v>7</v>
      </c>
      <c r="Z15" s="62"/>
      <c r="AA15">
        <f t="shared" si="5"/>
        <v>4.415</v>
      </c>
      <c r="AB15" s="438">
        <v>883</v>
      </c>
      <c r="AC15"/>
      <c r="AD15" s="165" t="s">
        <v>130</v>
      </c>
      <c r="AE15" s="167"/>
      <c r="AF15" s="169">
        <v>15</v>
      </c>
      <c r="AG15" s="167"/>
      <c r="AH15"/>
      <c r="AI15" s="169">
        <v>17</v>
      </c>
      <c r="AL15"/>
      <c r="AM15"/>
      <c r="AN15"/>
      <c r="AO15" s="165" t="s">
        <v>129</v>
      </c>
      <c r="AP15" s="167"/>
      <c r="AQ15" s="167">
        <f>MAX(AQ3:AQ13)</f>
        <v>32</v>
      </c>
      <c r="AR15" s="167"/>
      <c r="AS15" s="167"/>
      <c r="AT15" s="167">
        <f>MAX(AT3:AT13)</f>
        <v>33.695652173913039</v>
      </c>
      <c r="AU15" s="167"/>
      <c r="AV15" s="167"/>
      <c r="AW15"/>
      <c r="AX15"/>
    </row>
    <row r="16" spans="1:50" s="8" customFormat="1" ht="18" customHeight="1" x14ac:dyDescent="0.2">
      <c r="A16" s="1">
        <v>2000</v>
      </c>
      <c r="B16" s="6"/>
      <c r="C16" s="6"/>
      <c r="D16" s="6"/>
      <c r="E16" s="6"/>
      <c r="F16" s="6"/>
      <c r="G16" s="359"/>
      <c r="H16" s="359">
        <v>226</v>
      </c>
      <c r="I16" s="359">
        <v>227</v>
      </c>
      <c r="J16" s="359"/>
      <c r="K16" s="359">
        <v>95</v>
      </c>
      <c r="L16" s="359"/>
      <c r="M16" s="359"/>
      <c r="N16" s="359"/>
      <c r="O16" s="359"/>
      <c r="P16" s="359"/>
      <c r="Q16" s="359"/>
      <c r="R16" s="359"/>
      <c r="S16" s="6">
        <v>52</v>
      </c>
      <c r="T16" s="1"/>
      <c r="U16" s="1"/>
      <c r="V16" s="1"/>
      <c r="W16" s="1"/>
      <c r="X16" s="10">
        <v>530</v>
      </c>
      <c r="Y16" s="7" t="s">
        <v>7</v>
      </c>
      <c r="Z16" s="62"/>
      <c r="AA16">
        <f t="shared" si="5"/>
        <v>2.3348017621145374</v>
      </c>
      <c r="AB16" s="438">
        <v>530</v>
      </c>
      <c r="AC16"/>
      <c r="AD16" s="165" t="s">
        <v>131</v>
      </c>
      <c r="AE16" s="167"/>
      <c r="AF16" s="230">
        <f>(0.5*SUM(AK4:AK12))/AF15</f>
        <v>238.93333333333334</v>
      </c>
      <c r="AG16" s="167"/>
      <c r="AH16"/>
      <c r="AI16" s="230">
        <f>(0.5*SUM(AM4:AM12))/AI15</f>
        <v>251.38668929110105</v>
      </c>
      <c r="AL16"/>
      <c r="AM16"/>
      <c r="AN16"/>
      <c r="AO16" s="165" t="s">
        <v>130</v>
      </c>
      <c r="AP16" s="167"/>
      <c r="AQ16" s="169">
        <v>15</v>
      </c>
      <c r="AR16" s="167"/>
      <c r="AS16"/>
      <c r="AT16" s="169">
        <v>25</v>
      </c>
      <c r="AW16"/>
      <c r="AX16"/>
    </row>
    <row r="17" spans="1:50" s="8" customFormat="1" ht="18" customHeight="1" x14ac:dyDescent="0.25">
      <c r="A17" s="1">
        <v>2001</v>
      </c>
      <c r="B17" s="6"/>
      <c r="C17" s="6"/>
      <c r="D17" s="6"/>
      <c r="E17" s="6"/>
      <c r="F17" s="6"/>
      <c r="G17" s="359">
        <v>257</v>
      </c>
      <c r="H17" s="359"/>
      <c r="I17" s="359"/>
      <c r="J17" s="359">
        <v>491</v>
      </c>
      <c r="K17" s="359"/>
      <c r="L17" s="359"/>
      <c r="M17" s="359"/>
      <c r="N17" s="359"/>
      <c r="O17" s="359"/>
      <c r="P17" s="359"/>
      <c r="Q17" s="359"/>
      <c r="R17" s="359"/>
      <c r="S17" s="6">
        <v>23</v>
      </c>
      <c r="T17" s="1"/>
      <c r="U17" s="1"/>
      <c r="V17" s="1"/>
      <c r="W17" s="1"/>
      <c r="X17" s="7">
        <v>571</v>
      </c>
      <c r="Y17" s="7" t="s">
        <v>7</v>
      </c>
      <c r="Z17" s="62"/>
      <c r="AA17">
        <f t="shared" si="5"/>
        <v>1.1629327902240325</v>
      </c>
      <c r="AB17" s="438">
        <v>571</v>
      </c>
      <c r="AC17"/>
      <c r="AD17" s="222" t="s">
        <v>117</v>
      </c>
      <c r="AE17" s="222" t="s">
        <v>118</v>
      </c>
      <c r="AF17" s="157" t="s">
        <v>119</v>
      </c>
      <c r="AG17"/>
      <c r="AH17" s="157" t="s">
        <v>120</v>
      </c>
      <c r="AI17" s="157"/>
      <c r="AJ17"/>
      <c r="AK17" s="160" t="s">
        <v>121</v>
      </c>
      <c r="AL17"/>
      <c r="AM17" s="161" t="s">
        <v>122</v>
      </c>
      <c r="AN17"/>
      <c r="AO17" s="165" t="s">
        <v>131</v>
      </c>
      <c r="AP17" s="167"/>
      <c r="AQ17" s="230">
        <f>(0.5*SUM(AV4:AV13))/AQ16</f>
        <v>120.73333333333333</v>
      </c>
      <c r="AR17" s="167"/>
      <c r="AS17"/>
      <c r="AT17" s="230">
        <f>(0.5*SUM(AX4:AX13))/AT16</f>
        <v>83.410176372608532</v>
      </c>
      <c r="AW17"/>
      <c r="AX17"/>
    </row>
    <row r="18" spans="1:50" s="8" customFormat="1" ht="18" customHeight="1" x14ac:dyDescent="0.2">
      <c r="A18" s="1">
        <v>2002</v>
      </c>
      <c r="B18" s="6"/>
      <c r="C18" s="6"/>
      <c r="D18" s="6"/>
      <c r="E18" s="6"/>
      <c r="F18" s="6"/>
      <c r="G18" s="359">
        <v>123</v>
      </c>
      <c r="H18" s="359"/>
      <c r="I18" s="359">
        <v>141</v>
      </c>
      <c r="J18" s="359">
        <v>216</v>
      </c>
      <c r="K18" s="359">
        <v>168</v>
      </c>
      <c r="L18" s="359">
        <v>126</v>
      </c>
      <c r="M18" s="359">
        <v>38</v>
      </c>
      <c r="N18" s="359">
        <v>94</v>
      </c>
      <c r="O18" s="359"/>
      <c r="P18" s="359"/>
      <c r="Q18" s="359"/>
      <c r="R18" s="359">
        <v>18</v>
      </c>
      <c r="S18" s="6"/>
      <c r="T18" s="1"/>
      <c r="U18" s="1"/>
      <c r="V18" s="1"/>
      <c r="W18" s="1"/>
      <c r="X18" s="7">
        <v>383</v>
      </c>
      <c r="Y18" s="7" t="s">
        <v>7</v>
      </c>
      <c r="Z18" s="62"/>
      <c r="AA18">
        <f t="shared" si="5"/>
        <v>1.7731481481481481</v>
      </c>
      <c r="AB18" s="438">
        <v>383</v>
      </c>
      <c r="AC18"/>
      <c r="AD18" s="165" t="s">
        <v>168</v>
      </c>
      <c r="AE18" s="162"/>
      <c r="AF18" s="162" t="s">
        <v>146</v>
      </c>
      <c r="AG18"/>
      <c r="AH18" s="163" t="s">
        <v>148</v>
      </c>
      <c r="AI18" s="163" t="s">
        <v>147</v>
      </c>
      <c r="AJ18"/>
      <c r="AK18" s="164"/>
      <c r="AL18"/>
      <c r="AM18" s="164"/>
      <c r="AN18"/>
      <c r="AO18"/>
      <c r="AP18"/>
      <c r="AQ18"/>
      <c r="AR18"/>
      <c r="AS18"/>
      <c r="AT18"/>
      <c r="AU18"/>
    </row>
    <row r="19" spans="1:50" s="8" customFormat="1" ht="18" customHeight="1" x14ac:dyDescent="0.2">
      <c r="A19" s="1">
        <v>2003</v>
      </c>
      <c r="B19" s="6">
        <v>0</v>
      </c>
      <c r="C19" s="6"/>
      <c r="D19" s="6"/>
      <c r="E19" s="6"/>
      <c r="F19" s="6"/>
      <c r="G19" s="359"/>
      <c r="H19" s="359"/>
      <c r="I19" s="359"/>
      <c r="J19" s="359">
        <v>456</v>
      </c>
      <c r="K19" s="359"/>
      <c r="L19" s="359"/>
      <c r="M19" s="359"/>
      <c r="N19" s="359">
        <v>0</v>
      </c>
      <c r="O19" s="359">
        <v>8</v>
      </c>
      <c r="P19" s="359"/>
      <c r="Q19" s="359">
        <v>72</v>
      </c>
      <c r="R19" s="359"/>
      <c r="S19" s="6"/>
      <c r="T19" s="1"/>
      <c r="U19" s="1"/>
      <c r="V19" s="1"/>
      <c r="W19" s="1"/>
      <c r="X19" s="7">
        <v>600</v>
      </c>
      <c r="Y19" s="7" t="s">
        <v>9</v>
      </c>
      <c r="Z19" s="62"/>
      <c r="AA19">
        <f t="shared" si="5"/>
        <v>1.3157894736842106</v>
      </c>
      <c r="AB19" s="438">
        <v>600</v>
      </c>
      <c r="AC19"/>
      <c r="AD19" s="165" t="s">
        <v>127</v>
      </c>
      <c r="AE19" s="229">
        <v>42248</v>
      </c>
      <c r="AF19" s="167"/>
      <c r="AG19"/>
      <c r="AH19"/>
      <c r="AI19" s="169">
        <v>0</v>
      </c>
      <c r="AJ19"/>
      <c r="AK19"/>
      <c r="AL19"/>
      <c r="AM19"/>
      <c r="AN19"/>
      <c r="AO19"/>
      <c r="AP19"/>
      <c r="AQ19"/>
      <c r="AR19"/>
      <c r="AS19"/>
      <c r="AT19"/>
      <c r="AU19"/>
    </row>
    <row r="20" spans="1:50" s="8" customFormat="1" ht="18" customHeight="1" x14ac:dyDescent="0.2">
      <c r="A20" s="1">
        <v>2004</v>
      </c>
      <c r="B20" s="6"/>
      <c r="C20" s="6"/>
      <c r="D20" s="6"/>
      <c r="E20" s="6"/>
      <c r="F20" s="6"/>
      <c r="G20" s="359"/>
      <c r="H20" s="359"/>
      <c r="I20" s="359">
        <v>1066</v>
      </c>
      <c r="J20" s="359">
        <v>213</v>
      </c>
      <c r="K20" s="359">
        <v>680</v>
      </c>
      <c r="L20" s="359">
        <v>74</v>
      </c>
      <c r="M20" s="359">
        <v>254</v>
      </c>
      <c r="N20" s="359">
        <v>220</v>
      </c>
      <c r="O20" s="359"/>
      <c r="P20" s="359">
        <v>280</v>
      </c>
      <c r="Q20" s="359"/>
      <c r="R20" s="359"/>
      <c r="S20" s="6"/>
      <c r="T20" s="1"/>
      <c r="U20" s="1"/>
      <c r="V20" s="1"/>
      <c r="W20" s="1"/>
      <c r="X20" s="11">
        <v>1369</v>
      </c>
      <c r="Y20" s="7" t="s">
        <v>5</v>
      </c>
      <c r="Z20" s="62">
        <v>17</v>
      </c>
      <c r="AA20">
        <f t="shared" si="5"/>
        <v>1.2842401500938085</v>
      </c>
      <c r="AB20" s="438">
        <v>1369</v>
      </c>
      <c r="AC20"/>
      <c r="AD20" s="165"/>
      <c r="AE20" s="229">
        <v>42256</v>
      </c>
      <c r="AF20" s="170">
        <v>1</v>
      </c>
      <c r="AG20"/>
      <c r="AH20" s="171">
        <v>0.8</v>
      </c>
      <c r="AI20" s="172">
        <f t="shared" ref="AI20:AI27" si="6">AF20/AH20</f>
        <v>1.25</v>
      </c>
      <c r="AJ20"/>
      <c r="AK20" s="172">
        <f t="shared" ref="AK20:AK28" si="7">(AE20-AE19)*(AF20+AF19)</f>
        <v>8</v>
      </c>
      <c r="AL20"/>
      <c r="AM20" s="172">
        <f t="shared" ref="AM20:AM28" si="8">(AE20-AE19)*(AI20+AI19)</f>
        <v>10</v>
      </c>
      <c r="AN20"/>
      <c r="AO20"/>
      <c r="AP20"/>
      <c r="AQ20"/>
      <c r="AR20"/>
      <c r="AS20"/>
      <c r="AT20"/>
      <c r="AU20"/>
    </row>
    <row r="21" spans="1:50" s="8" customFormat="1" ht="18" customHeight="1" x14ac:dyDescent="0.25">
      <c r="A21" s="1">
        <v>2005</v>
      </c>
      <c r="B21" s="6"/>
      <c r="C21" s="6"/>
      <c r="D21" s="6"/>
      <c r="E21" s="6"/>
      <c r="F21" s="6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6"/>
      <c r="T21" s="1"/>
      <c r="U21" s="1"/>
      <c r="V21" s="1"/>
      <c r="W21" s="1"/>
      <c r="X21" s="11"/>
      <c r="Y21" s="7" t="s">
        <v>7</v>
      </c>
      <c r="Z21" s="52"/>
      <c r="AA21" t="e">
        <f t="shared" si="5"/>
        <v>#DIV/0!</v>
      </c>
      <c r="AB21" s="716">
        <v>306</v>
      </c>
      <c r="AC21" t="s">
        <v>491</v>
      </c>
      <c r="AD21" s="165"/>
      <c r="AE21" s="229">
        <v>42263</v>
      </c>
      <c r="AF21" s="170">
        <v>105</v>
      </c>
      <c r="AG21"/>
      <c r="AH21" s="171">
        <v>0.9</v>
      </c>
      <c r="AI21" s="172">
        <f t="shared" si="6"/>
        <v>116.66666666666666</v>
      </c>
      <c r="AJ21"/>
      <c r="AK21" s="172">
        <f t="shared" si="7"/>
        <v>742</v>
      </c>
      <c r="AL21"/>
      <c r="AM21" s="172">
        <f t="shared" si="8"/>
        <v>825.41666666666663</v>
      </c>
      <c r="AN21"/>
      <c r="AO21"/>
      <c r="AP21"/>
      <c r="AQ21"/>
      <c r="AR21"/>
      <c r="AS21"/>
      <c r="AT21"/>
      <c r="AU21"/>
    </row>
    <row r="22" spans="1:50" s="8" customFormat="1" ht="18" customHeight="1" x14ac:dyDescent="0.2">
      <c r="A22" s="1">
        <v>2006</v>
      </c>
      <c r="B22" s="6"/>
      <c r="C22" s="6"/>
      <c r="D22" s="6"/>
      <c r="E22" s="6"/>
      <c r="F22" s="6"/>
      <c r="G22" s="359"/>
      <c r="H22" s="359">
        <v>21</v>
      </c>
      <c r="I22" s="359">
        <v>123</v>
      </c>
      <c r="J22" s="359"/>
      <c r="K22" s="359"/>
      <c r="L22" s="359">
        <v>246</v>
      </c>
      <c r="M22" s="359"/>
      <c r="N22" s="359">
        <v>215</v>
      </c>
      <c r="O22" s="359"/>
      <c r="P22" s="359"/>
      <c r="Q22" s="359"/>
      <c r="R22" s="359"/>
      <c r="S22" s="6"/>
      <c r="T22" s="1"/>
      <c r="U22" s="1"/>
      <c r="V22" s="1"/>
      <c r="W22" s="1"/>
      <c r="X22" s="12">
        <v>321</v>
      </c>
      <c r="Y22" s="7" t="s">
        <v>5</v>
      </c>
      <c r="Z22" s="54">
        <v>30</v>
      </c>
      <c r="AA22">
        <f t="shared" si="5"/>
        <v>1.3048780487804879</v>
      </c>
      <c r="AB22" s="438">
        <v>321</v>
      </c>
      <c r="AC22"/>
      <c r="AD22" s="173"/>
      <c r="AE22" s="229">
        <v>42276</v>
      </c>
      <c r="AF22" s="170">
        <v>174</v>
      </c>
      <c r="AG22"/>
      <c r="AH22" s="171">
        <v>0.9</v>
      </c>
      <c r="AI22" s="172">
        <f t="shared" si="6"/>
        <v>193.33333333333331</v>
      </c>
      <c r="AJ22"/>
      <c r="AK22" s="172">
        <f t="shared" si="7"/>
        <v>3627</v>
      </c>
      <c r="AL22"/>
      <c r="AM22" s="172">
        <f t="shared" si="8"/>
        <v>4030</v>
      </c>
      <c r="AN22"/>
      <c r="AO22"/>
      <c r="AP22"/>
      <c r="AQ22"/>
      <c r="AR22"/>
      <c r="AS22"/>
      <c r="AT22"/>
      <c r="AU22"/>
    </row>
    <row r="23" spans="1:50" s="8" customFormat="1" ht="18" customHeight="1" x14ac:dyDescent="0.2">
      <c r="A23" s="1">
        <v>2007</v>
      </c>
      <c r="B23" s="6"/>
      <c r="C23" s="6"/>
      <c r="D23" s="6"/>
      <c r="E23" s="6"/>
      <c r="F23" s="6"/>
      <c r="G23" s="359">
        <v>64</v>
      </c>
      <c r="H23" s="359"/>
      <c r="I23" s="359">
        <v>21</v>
      </c>
      <c r="J23" s="359">
        <v>104</v>
      </c>
      <c r="K23" s="359">
        <v>96</v>
      </c>
      <c r="L23" s="359"/>
      <c r="M23" s="359">
        <v>55</v>
      </c>
      <c r="N23" s="359"/>
      <c r="O23" s="359"/>
      <c r="P23" s="359"/>
      <c r="Q23" s="359">
        <v>31</v>
      </c>
      <c r="R23" s="359"/>
      <c r="S23" s="6"/>
      <c r="T23" s="1"/>
      <c r="U23" s="1"/>
      <c r="V23" s="1"/>
      <c r="W23" s="1"/>
      <c r="X23" s="12">
        <v>168</v>
      </c>
      <c r="Y23" s="7" t="s">
        <v>5</v>
      </c>
      <c r="Z23" s="54">
        <v>30</v>
      </c>
      <c r="AA23">
        <f t="shared" si="5"/>
        <v>1.6153846153846154</v>
      </c>
      <c r="AB23" s="438">
        <v>168</v>
      </c>
      <c r="AC23"/>
      <c r="AD23"/>
      <c r="AE23" s="229">
        <v>42292</v>
      </c>
      <c r="AF23" s="170">
        <v>85</v>
      </c>
      <c r="AG23"/>
      <c r="AH23" s="171">
        <v>0.8</v>
      </c>
      <c r="AI23" s="172">
        <f t="shared" si="6"/>
        <v>106.25</v>
      </c>
      <c r="AJ23"/>
      <c r="AK23" s="172">
        <f t="shared" si="7"/>
        <v>4144</v>
      </c>
      <c r="AL23"/>
      <c r="AM23" s="172">
        <f t="shared" si="8"/>
        <v>4793.333333333333</v>
      </c>
      <c r="AN23"/>
      <c r="AO23"/>
      <c r="AP23"/>
      <c r="AQ23"/>
      <c r="AR23"/>
      <c r="AS23"/>
      <c r="AT23"/>
      <c r="AU23"/>
    </row>
    <row r="24" spans="1:50" s="8" customFormat="1" ht="18" customHeight="1" x14ac:dyDescent="0.2">
      <c r="A24" s="1">
        <v>2008</v>
      </c>
      <c r="B24" s="1"/>
      <c r="C24" s="1"/>
      <c r="D24" s="1"/>
      <c r="E24" s="1"/>
      <c r="F24" s="1">
        <v>7</v>
      </c>
      <c r="G24" s="14"/>
      <c r="H24" s="14">
        <v>50</v>
      </c>
      <c r="I24" s="14"/>
      <c r="J24" s="14"/>
      <c r="K24" s="14">
        <v>137</v>
      </c>
      <c r="L24" s="14"/>
      <c r="M24" s="14"/>
      <c r="N24" s="14">
        <v>90</v>
      </c>
      <c r="O24" s="14"/>
      <c r="P24" s="14">
        <v>43</v>
      </c>
      <c r="Q24" s="14"/>
      <c r="R24" s="14"/>
      <c r="S24" s="1"/>
      <c r="T24" s="1"/>
      <c r="U24" s="1"/>
      <c r="V24" s="1"/>
      <c r="W24" s="1"/>
      <c r="X24" s="1">
        <v>155</v>
      </c>
      <c r="Y24" s="7" t="s">
        <v>5</v>
      </c>
      <c r="Z24" s="62">
        <v>37.5</v>
      </c>
      <c r="AA24">
        <f t="shared" si="5"/>
        <v>1.1313868613138687</v>
      </c>
      <c r="AB24" s="438">
        <v>155</v>
      </c>
      <c r="AC24"/>
      <c r="AD24"/>
      <c r="AE24" s="229">
        <v>42299</v>
      </c>
      <c r="AF24" s="170">
        <v>79</v>
      </c>
      <c r="AG24"/>
      <c r="AH24" s="171">
        <v>0.65</v>
      </c>
      <c r="AI24" s="172">
        <f t="shared" si="6"/>
        <v>121.53846153846153</v>
      </c>
      <c r="AJ24"/>
      <c r="AK24" s="172">
        <f t="shared" si="7"/>
        <v>1148</v>
      </c>
      <c r="AL24"/>
      <c r="AM24" s="172">
        <f t="shared" si="8"/>
        <v>1594.5192307692309</v>
      </c>
      <c r="AN24"/>
      <c r="AO24"/>
      <c r="AP24"/>
      <c r="AQ24"/>
      <c r="AR24"/>
      <c r="AS24"/>
      <c r="AT24"/>
      <c r="AU24"/>
    </row>
    <row r="25" spans="1:50" s="8" customFormat="1" ht="18" customHeight="1" x14ac:dyDescent="0.2">
      <c r="A25" s="1">
        <v>2009</v>
      </c>
      <c r="B25" s="1"/>
      <c r="C25" s="1"/>
      <c r="D25" s="1"/>
      <c r="E25" s="1"/>
      <c r="F25" s="1"/>
      <c r="G25" s="14"/>
      <c r="H25" s="14">
        <v>75</v>
      </c>
      <c r="I25" s="14">
        <v>142</v>
      </c>
      <c r="J25" s="14">
        <v>342</v>
      </c>
      <c r="K25" s="14"/>
      <c r="L25" s="14">
        <v>5</v>
      </c>
      <c r="M25" s="14">
        <v>9</v>
      </c>
      <c r="N25" s="14"/>
      <c r="O25" s="14"/>
      <c r="P25" s="14"/>
      <c r="Q25" s="14"/>
      <c r="R25" s="14"/>
      <c r="S25" s="1"/>
      <c r="T25" s="1"/>
      <c r="U25" s="1"/>
      <c r="V25" s="1"/>
      <c r="W25" s="1"/>
      <c r="X25" s="1">
        <v>625</v>
      </c>
      <c r="Y25" s="7" t="s">
        <v>5</v>
      </c>
      <c r="Z25" s="62">
        <v>25</v>
      </c>
      <c r="AA25">
        <f t="shared" si="5"/>
        <v>1.827485380116959</v>
      </c>
      <c r="AB25" s="438">
        <v>630</v>
      </c>
      <c r="AC25"/>
      <c r="AD25"/>
      <c r="AE25" s="229">
        <v>42310</v>
      </c>
      <c r="AF25" s="170">
        <v>62</v>
      </c>
      <c r="AG25"/>
      <c r="AH25" s="171">
        <v>0.8</v>
      </c>
      <c r="AI25" s="172">
        <f t="shared" si="6"/>
        <v>77.5</v>
      </c>
      <c r="AJ25"/>
      <c r="AK25" s="172">
        <f t="shared" si="7"/>
        <v>1551</v>
      </c>
      <c r="AL25"/>
      <c r="AM25" s="172">
        <f t="shared" si="8"/>
        <v>2189.4230769230771</v>
      </c>
      <c r="AN25"/>
      <c r="AO25"/>
      <c r="AP25"/>
      <c r="AQ25"/>
      <c r="AR25"/>
      <c r="AS25"/>
      <c r="AT25"/>
      <c r="AU25"/>
    </row>
    <row r="26" spans="1:50" s="8" customFormat="1" ht="18" customHeight="1" x14ac:dyDescent="0.2">
      <c r="A26" s="1">
        <v>2010</v>
      </c>
      <c r="B26" s="1"/>
      <c r="C26" s="1"/>
      <c r="D26" s="1"/>
      <c r="E26" s="1"/>
      <c r="F26" s="1">
        <v>0</v>
      </c>
      <c r="G26" s="14"/>
      <c r="H26" s="14"/>
      <c r="I26" s="14"/>
      <c r="J26" s="14"/>
      <c r="K26" s="14">
        <v>53</v>
      </c>
      <c r="L26" s="14"/>
      <c r="M26" s="14"/>
      <c r="N26" s="14">
        <v>198</v>
      </c>
      <c r="O26" s="14"/>
      <c r="P26" s="14">
        <f>66+76</f>
        <v>142</v>
      </c>
      <c r="Q26" s="14"/>
      <c r="R26" s="14"/>
      <c r="S26" s="1"/>
      <c r="T26" s="1"/>
      <c r="U26" s="1"/>
      <c r="V26" s="1"/>
      <c r="W26" s="1"/>
      <c r="X26" s="1">
        <v>520</v>
      </c>
      <c r="Y26" s="7"/>
      <c r="Z26" s="62"/>
      <c r="AA26">
        <f t="shared" si="5"/>
        <v>2.6262626262626263</v>
      </c>
      <c r="AB26" s="438">
        <v>520</v>
      </c>
      <c r="AC26"/>
      <c r="AD26"/>
      <c r="AE26" s="229">
        <v>42317</v>
      </c>
      <c r="AF26" s="170">
        <v>54</v>
      </c>
      <c r="AG26"/>
      <c r="AH26" s="171">
        <v>0.8</v>
      </c>
      <c r="AI26" s="172">
        <f t="shared" si="6"/>
        <v>67.5</v>
      </c>
      <c r="AJ26"/>
      <c r="AK26" s="172">
        <f t="shared" si="7"/>
        <v>812</v>
      </c>
      <c r="AL26"/>
      <c r="AM26" s="172">
        <f t="shared" si="8"/>
        <v>1015</v>
      </c>
      <c r="AN26"/>
      <c r="AO26"/>
      <c r="AP26"/>
      <c r="AQ26"/>
      <c r="AR26"/>
      <c r="AS26"/>
      <c r="AT26"/>
      <c r="AU26"/>
    </row>
    <row r="27" spans="1:50" s="8" customFormat="1" ht="18" customHeight="1" x14ac:dyDescent="0.2">
      <c r="A27" s="1">
        <v>2011</v>
      </c>
      <c r="B27" s="14"/>
      <c r="C27" s="1"/>
      <c r="D27" s="1"/>
      <c r="E27" s="1"/>
      <c r="F27" s="1"/>
      <c r="G27" s="14"/>
      <c r="H27" s="14">
        <v>59</v>
      </c>
      <c r="I27" s="14"/>
      <c r="J27" s="14">
        <v>262</v>
      </c>
      <c r="K27" s="14">
        <v>355</v>
      </c>
      <c r="L27" s="14"/>
      <c r="M27" s="14"/>
      <c r="N27" s="14">
        <v>97</v>
      </c>
      <c r="O27" s="14">
        <v>87</v>
      </c>
      <c r="P27" s="14"/>
      <c r="Q27" s="14">
        <v>34</v>
      </c>
      <c r="R27" s="14"/>
      <c r="S27" s="1"/>
      <c r="T27" s="1"/>
      <c r="U27" s="1">
        <v>6</v>
      </c>
      <c r="V27" s="1"/>
      <c r="W27" s="1"/>
      <c r="X27" s="1">
        <v>400</v>
      </c>
      <c r="Y27" s="7" t="s">
        <v>5</v>
      </c>
      <c r="Z27" s="62">
        <v>27.5</v>
      </c>
      <c r="AA27">
        <f t="shared" si="5"/>
        <v>1.1267605633802817</v>
      </c>
      <c r="AB27" s="438">
        <v>409</v>
      </c>
      <c r="AC27"/>
      <c r="AD27"/>
      <c r="AE27" s="229">
        <v>42323</v>
      </c>
      <c r="AF27" s="170">
        <v>0</v>
      </c>
      <c r="AG27"/>
      <c r="AH27" s="171">
        <v>0.9</v>
      </c>
      <c r="AI27" s="172">
        <f t="shared" si="6"/>
        <v>0</v>
      </c>
      <c r="AJ27"/>
      <c r="AK27" s="172">
        <f t="shared" si="7"/>
        <v>324</v>
      </c>
      <c r="AL27"/>
      <c r="AM27" s="172">
        <f t="shared" si="8"/>
        <v>405</v>
      </c>
      <c r="AN27"/>
      <c r="AO27"/>
      <c r="AP27"/>
      <c r="AQ27"/>
      <c r="AR27"/>
      <c r="AS27"/>
      <c r="AT27"/>
      <c r="AU27"/>
    </row>
    <row r="28" spans="1:50" s="8" customFormat="1" ht="18" customHeight="1" x14ac:dyDescent="0.2">
      <c r="A28" s="1">
        <v>2012</v>
      </c>
      <c r="B28" s="14"/>
      <c r="C28" s="1"/>
      <c r="D28" s="1"/>
      <c r="E28" s="1"/>
      <c r="F28" s="1"/>
      <c r="G28" s="14">
        <v>12</v>
      </c>
      <c r="H28" s="14">
        <v>31</v>
      </c>
      <c r="I28" s="14"/>
      <c r="J28" s="14">
        <v>56</v>
      </c>
      <c r="K28" s="14">
        <v>46</v>
      </c>
      <c r="L28" s="14"/>
      <c r="M28" s="14">
        <v>38</v>
      </c>
      <c r="N28" s="14"/>
      <c r="O28" s="14"/>
      <c r="P28" s="14"/>
      <c r="Q28" s="14"/>
      <c r="R28" s="14"/>
      <c r="S28" s="1"/>
      <c r="T28" s="1"/>
      <c r="U28" s="1"/>
      <c r="V28" s="1"/>
      <c r="W28" s="1"/>
      <c r="X28" s="1">
        <v>93</v>
      </c>
      <c r="Y28" s="7" t="s">
        <v>5</v>
      </c>
      <c r="Z28" s="62"/>
      <c r="AA28">
        <f t="shared" si="5"/>
        <v>1.6607142857142858</v>
      </c>
      <c r="AB28" s="438">
        <v>93</v>
      </c>
      <c r="AC28"/>
      <c r="AD28" s="165" t="s">
        <v>128</v>
      </c>
      <c r="AE28" s="229"/>
      <c r="AF28" s="176"/>
      <c r="AG28"/>
      <c r="AH28" s="177"/>
      <c r="AI28" s="178">
        <v>0</v>
      </c>
      <c r="AJ28" s="179"/>
      <c r="AK28" s="172">
        <f t="shared" si="7"/>
        <v>0</v>
      </c>
      <c r="AL28"/>
      <c r="AM28" s="172">
        <f t="shared" si="8"/>
        <v>0</v>
      </c>
      <c r="AN28"/>
      <c r="AO28"/>
      <c r="AP28"/>
      <c r="AQ28"/>
      <c r="AR28"/>
      <c r="AS28"/>
      <c r="AT28"/>
      <c r="AU28"/>
    </row>
    <row r="29" spans="1:50" s="8" customFormat="1" ht="18" customHeight="1" x14ac:dyDescent="0.2">
      <c r="A29" s="1">
        <v>2013</v>
      </c>
      <c r="B29" s="14"/>
      <c r="C29" s="1"/>
      <c r="D29" s="1"/>
      <c r="E29" s="1"/>
      <c r="F29" s="1"/>
      <c r="G29" s="14">
        <v>31</v>
      </c>
      <c r="H29" s="14"/>
      <c r="I29" s="14">
        <v>13</v>
      </c>
      <c r="J29" s="14">
        <v>29</v>
      </c>
      <c r="K29" s="14">
        <v>33</v>
      </c>
      <c r="L29" s="14"/>
      <c r="M29" s="14">
        <v>36</v>
      </c>
      <c r="N29" s="14">
        <v>12</v>
      </c>
      <c r="O29" s="14">
        <v>23</v>
      </c>
      <c r="P29" s="14"/>
      <c r="Q29" s="14">
        <v>11</v>
      </c>
      <c r="R29" s="14"/>
      <c r="S29" s="1"/>
      <c r="T29" s="1"/>
      <c r="U29" s="1"/>
      <c r="V29" s="1"/>
      <c r="W29" s="1"/>
      <c r="X29" s="1">
        <v>98</v>
      </c>
      <c r="Y29" s="7" t="s">
        <v>5</v>
      </c>
      <c r="Z29" s="62">
        <v>25</v>
      </c>
      <c r="AA29">
        <f t="shared" si="5"/>
        <v>2.7222222222222223</v>
      </c>
      <c r="AB29" s="438">
        <v>98</v>
      </c>
      <c r="AC29"/>
      <c r="AD29" s="165" t="s">
        <v>2</v>
      </c>
      <c r="AE29" s="167">
        <v>7</v>
      </c>
      <c r="AF29" s="167"/>
      <c r="AG29" s="167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50" s="8" customFormat="1" ht="18" customHeight="1" x14ac:dyDescent="0.2">
      <c r="A30" s="1">
        <v>2014</v>
      </c>
      <c r="B30" s="14"/>
      <c r="C30" s="1"/>
      <c r="D30" s="1"/>
      <c r="E30" s="1"/>
      <c r="F30" s="13"/>
      <c r="G30" s="205">
        <v>86</v>
      </c>
      <c r="H30" s="187"/>
      <c r="I30" s="189">
        <v>91</v>
      </c>
      <c r="J30" s="189">
        <v>80</v>
      </c>
      <c r="K30" s="186">
        <v>139</v>
      </c>
      <c r="L30" s="186">
        <v>114</v>
      </c>
      <c r="M30" s="187"/>
      <c r="N30" s="187"/>
      <c r="O30" s="187"/>
      <c r="P30" s="186">
        <v>8</v>
      </c>
      <c r="Q30" s="19"/>
      <c r="R30" s="14"/>
      <c r="S30" s="1"/>
      <c r="T30" s="1"/>
      <c r="U30" s="1"/>
      <c r="V30" s="1"/>
      <c r="W30" s="1"/>
      <c r="X30" s="1">
        <v>348</v>
      </c>
      <c r="Y30" s="7" t="s">
        <v>5</v>
      </c>
      <c r="Z30" s="62">
        <v>20</v>
      </c>
      <c r="AA30">
        <f t="shared" si="5"/>
        <v>2.5035971223021583</v>
      </c>
      <c r="AB30" s="438">
        <v>348</v>
      </c>
      <c r="AC30"/>
      <c r="AD30" s="165" t="s">
        <v>129</v>
      </c>
      <c r="AE30" s="167"/>
      <c r="AF30" s="167">
        <f>MAX(AF19:AF28)</f>
        <v>174</v>
      </c>
      <c r="AG30" s="167"/>
      <c r="AH30" s="167"/>
      <c r="AI30" s="167">
        <f>MAX(AI19:AI28)</f>
        <v>193.33333333333331</v>
      </c>
      <c r="AJ30" s="167"/>
      <c r="AK30" s="167"/>
      <c r="AL30"/>
      <c r="AM30"/>
      <c r="AN30"/>
      <c r="AO30"/>
      <c r="AP30"/>
      <c r="AQ30"/>
      <c r="AR30"/>
      <c r="AS30"/>
      <c r="AT30"/>
      <c r="AU30"/>
    </row>
    <row r="31" spans="1:50" s="8" customFormat="1" ht="18" customHeight="1" x14ac:dyDescent="0.2">
      <c r="A31" s="1">
        <v>2015</v>
      </c>
      <c r="B31" s="19"/>
      <c r="C31" s="13"/>
      <c r="D31" s="13"/>
      <c r="E31" s="13"/>
      <c r="F31" s="13"/>
      <c r="G31" s="437">
        <v>1</v>
      </c>
      <c r="H31" s="437">
        <v>157</v>
      </c>
      <c r="I31" s="19"/>
      <c r="J31" s="437">
        <v>269</v>
      </c>
      <c r="K31" s="481">
        <v>2</v>
      </c>
      <c r="L31" s="437">
        <v>177</v>
      </c>
      <c r="M31" s="437">
        <v>101</v>
      </c>
      <c r="N31" s="19"/>
      <c r="O31" s="437">
        <v>99</v>
      </c>
      <c r="P31" s="437">
        <v>69</v>
      </c>
      <c r="Q31" s="19"/>
      <c r="R31" s="19"/>
      <c r="S31" s="13"/>
      <c r="T31" s="13"/>
      <c r="U31" s="13"/>
      <c r="V31" s="13"/>
      <c r="W31" s="13"/>
      <c r="X31" s="13">
        <v>586</v>
      </c>
      <c r="Y31" s="7" t="s">
        <v>5</v>
      </c>
      <c r="Z31" s="62">
        <v>20</v>
      </c>
      <c r="AA31">
        <f t="shared" si="5"/>
        <v>2.1784386617100373</v>
      </c>
      <c r="AB31" s="438">
        <v>586</v>
      </c>
      <c r="AC31"/>
      <c r="AD31" s="165" t="s">
        <v>130</v>
      </c>
      <c r="AE31" s="167"/>
      <c r="AF31" s="169">
        <v>15</v>
      </c>
      <c r="AG31" s="167"/>
      <c r="AH31"/>
      <c r="AI31" s="169">
        <v>17</v>
      </c>
      <c r="AL31"/>
      <c r="AM31"/>
      <c r="AN31"/>
      <c r="AO31"/>
      <c r="AP31"/>
      <c r="AQ31"/>
      <c r="AR31"/>
      <c r="AS31"/>
      <c r="AT31"/>
      <c r="AU31"/>
    </row>
    <row r="32" spans="1:50" s="8" customFormat="1" ht="18" customHeight="1" x14ac:dyDescent="0.2">
      <c r="A32" s="1">
        <v>2016</v>
      </c>
      <c r="B32" s="19"/>
      <c r="C32" s="13"/>
      <c r="D32" s="13"/>
      <c r="E32" s="13"/>
      <c r="F32" s="13"/>
      <c r="G32" s="437">
        <v>186</v>
      </c>
      <c r="H32" s="338">
        <v>103</v>
      </c>
      <c r="I32" s="19"/>
      <c r="J32" s="321">
        <v>170</v>
      </c>
      <c r="K32" s="155">
        <v>126</v>
      </c>
      <c r="L32" s="155">
        <v>143</v>
      </c>
      <c r="M32" s="19"/>
      <c r="N32" s="19"/>
      <c r="O32" s="19"/>
      <c r="P32" s="19"/>
      <c r="Q32" s="19"/>
      <c r="R32" s="19"/>
      <c r="S32" s="13"/>
      <c r="T32" s="13"/>
      <c r="U32" s="13"/>
      <c r="V32" s="13"/>
      <c r="W32" s="13"/>
      <c r="X32" s="13">
        <v>398</v>
      </c>
      <c r="Y32" s="7" t="s">
        <v>5</v>
      </c>
      <c r="Z32" s="62">
        <v>25</v>
      </c>
      <c r="AA32">
        <f t="shared" si="5"/>
        <v>2.139784946236559</v>
      </c>
      <c r="AB32" s="438">
        <v>398</v>
      </c>
      <c r="AC32"/>
      <c r="AD32" s="165" t="s">
        <v>131</v>
      </c>
      <c r="AE32" s="167"/>
      <c r="AF32" s="230">
        <f>(0.5*SUM(AK20:AK28))/AF31</f>
        <v>411.86666666666667</v>
      </c>
      <c r="AG32" s="167"/>
      <c r="AH32"/>
      <c r="AI32" s="230">
        <f>(0.5*SUM(AM20:AM28))/AI31</f>
        <v>437.13800904977376</v>
      </c>
      <c r="AJ32" s="8" t="s">
        <v>169</v>
      </c>
      <c r="AK32" s="230">
        <f>AI16+AI32</f>
        <v>688.52469834087481</v>
      </c>
      <c r="AL32"/>
      <c r="AM32"/>
      <c r="AN32"/>
      <c r="AO32"/>
      <c r="AP32"/>
      <c r="AQ32"/>
      <c r="AR32"/>
      <c r="AS32"/>
      <c r="AT32"/>
      <c r="AU32"/>
    </row>
    <row r="33" spans="1:47" s="8" customFormat="1" ht="18" customHeight="1" x14ac:dyDescent="0.2">
      <c r="A33" s="1">
        <v>2017</v>
      </c>
      <c r="B33" s="19"/>
      <c r="C33" s="13"/>
      <c r="D33" s="13"/>
      <c r="E33" s="13"/>
      <c r="F33" s="109">
        <v>28</v>
      </c>
      <c r="G33" s="109">
        <v>276</v>
      </c>
      <c r="H33" s="109">
        <v>229</v>
      </c>
      <c r="I33" s="447">
        <v>359</v>
      </c>
      <c r="J33" s="13"/>
      <c r="K33" s="155">
        <v>520</v>
      </c>
      <c r="L33" s="13"/>
      <c r="M33" s="155">
        <v>188</v>
      </c>
      <c r="N33" s="155">
        <v>72</v>
      </c>
      <c r="O33" s="155">
        <v>17</v>
      </c>
      <c r="P33" s="13"/>
      <c r="Q33" s="13"/>
      <c r="R33" s="13"/>
      <c r="S33" s="13"/>
      <c r="T33" s="13"/>
      <c r="U33" s="13"/>
      <c r="V33" s="13"/>
      <c r="W33" s="13"/>
      <c r="X33" s="13">
        <f>102+691</f>
        <v>793</v>
      </c>
      <c r="Y33" s="7" t="s">
        <v>5</v>
      </c>
      <c r="Z33" s="62">
        <v>25</v>
      </c>
      <c r="AA33">
        <f t="shared" si="5"/>
        <v>1.5249999999999999</v>
      </c>
      <c r="AB33" s="438">
        <v>793</v>
      </c>
      <c r="AC33"/>
      <c r="AD33" s="165"/>
      <c r="AE33" s="167"/>
      <c r="AF33" s="167"/>
      <c r="AG33" s="167"/>
      <c r="AH33" s="167"/>
      <c r="AI33" s="167"/>
      <c r="AJ33" s="167"/>
      <c r="AK33" s="167"/>
      <c r="AL33" s="167"/>
      <c r="AM33"/>
      <c r="AN33"/>
      <c r="AO33"/>
      <c r="AP33"/>
      <c r="AQ33"/>
      <c r="AR33"/>
      <c r="AS33"/>
      <c r="AT33"/>
      <c r="AU33"/>
    </row>
    <row r="34" spans="1:47" s="8" customFormat="1" ht="18" customHeight="1" x14ac:dyDescent="0.2">
      <c r="A34" s="1">
        <v>2018</v>
      </c>
      <c r="B34" s="19"/>
      <c r="C34" s="13"/>
      <c r="D34" s="13"/>
      <c r="E34" s="13"/>
      <c r="F34" s="13"/>
      <c r="G34" s="321">
        <v>147</v>
      </c>
      <c r="H34" s="13"/>
      <c r="I34" s="109">
        <v>7</v>
      </c>
      <c r="J34" s="13"/>
      <c r="K34" s="155">
        <v>66</v>
      </c>
      <c r="L34" s="321">
        <v>49</v>
      </c>
      <c r="M34" s="155">
        <v>45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>
        <f>198+72</f>
        <v>270</v>
      </c>
      <c r="Y34" s="7"/>
      <c r="Z34" s="62">
        <v>20</v>
      </c>
      <c r="AA34">
        <f t="shared" si="5"/>
        <v>1.8367346938775511</v>
      </c>
      <c r="AB34" s="438">
        <v>270</v>
      </c>
      <c r="AC34"/>
      <c r="AD34" s="165"/>
      <c r="AE34" s="167"/>
      <c r="AF34" s="167"/>
      <c r="AG34" s="167"/>
      <c r="AH34" s="167"/>
      <c r="AI34" s="167"/>
      <c r="AJ34" s="167"/>
      <c r="AK34" s="167"/>
      <c r="AL34" s="167"/>
      <c r="AM34"/>
      <c r="AN34"/>
      <c r="AO34"/>
      <c r="AP34"/>
      <c r="AQ34"/>
      <c r="AR34"/>
      <c r="AS34"/>
      <c r="AT34"/>
      <c r="AU34"/>
    </row>
    <row r="35" spans="1:47" s="8" customFormat="1" ht="18" customHeight="1" x14ac:dyDescent="0.2">
      <c r="A35" s="1">
        <v>2019</v>
      </c>
      <c r="B35" s="19"/>
      <c r="C35" s="13"/>
      <c r="D35" s="13"/>
      <c r="E35" s="13"/>
      <c r="F35" s="13"/>
      <c r="G35" s="13"/>
      <c r="H35" s="447">
        <v>24</v>
      </c>
      <c r="I35" s="590">
        <v>374</v>
      </c>
      <c r="J35" s="338">
        <v>338</v>
      </c>
      <c r="K35" s="590">
        <v>55</v>
      </c>
      <c r="L35" s="13"/>
      <c r="M35" s="155">
        <v>197</v>
      </c>
      <c r="N35" s="155">
        <f>94+100</f>
        <v>194</v>
      </c>
      <c r="O35" s="155">
        <f>57+114</f>
        <v>171</v>
      </c>
      <c r="P35" s="13"/>
      <c r="Q35" s="13"/>
      <c r="R35" s="13"/>
      <c r="S35" s="13"/>
      <c r="T35" s="13"/>
      <c r="U35" s="13"/>
      <c r="V35" s="13"/>
      <c r="W35" s="13"/>
      <c r="X35" s="13">
        <v>708</v>
      </c>
      <c r="Y35" s="7"/>
      <c r="Z35" s="62"/>
      <c r="AA35">
        <f t="shared" si="5"/>
        <v>1.893048128342246</v>
      </c>
      <c r="AB35" s="438">
        <v>733</v>
      </c>
      <c r="AC35"/>
      <c r="AD35" s="165"/>
      <c r="AE35" s="167"/>
      <c r="AF35" s="167"/>
      <c r="AG35" s="167"/>
      <c r="AH35" s="167"/>
      <c r="AI35" s="167"/>
      <c r="AJ35" s="167"/>
      <c r="AK35" s="167"/>
      <c r="AL35" s="167"/>
      <c r="AM35"/>
      <c r="AN35"/>
      <c r="AO35"/>
      <c r="AP35"/>
      <c r="AQ35"/>
      <c r="AR35"/>
      <c r="AS35"/>
      <c r="AT35"/>
      <c r="AU35"/>
    </row>
    <row r="36" spans="1:47" s="8" customFormat="1" ht="18" customHeight="1" x14ac:dyDescent="0.2">
      <c r="A36" s="1">
        <v>2020</v>
      </c>
      <c r="B36" s="19"/>
      <c r="C36" s="13"/>
      <c r="D36" s="13"/>
      <c r="E36" s="13"/>
      <c r="F36" s="109">
        <v>38</v>
      </c>
      <c r="G36" s="109">
        <v>3</v>
      </c>
      <c r="H36" s="13"/>
      <c r="I36" s="13"/>
      <c r="J36" s="13"/>
      <c r="K36" s="590">
        <v>16</v>
      </c>
      <c r="L36" s="13"/>
      <c r="M36" s="155">
        <v>63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188</v>
      </c>
      <c r="Y36" s="7"/>
      <c r="Z36" s="62"/>
      <c r="AA36">
        <f t="shared" si="5"/>
        <v>2.9841269841269842</v>
      </c>
      <c r="AC36"/>
      <c r="AD36" s="165"/>
      <c r="AE36" s="167"/>
      <c r="AF36" s="167"/>
      <c r="AG36" s="167"/>
      <c r="AH36" s="167"/>
      <c r="AI36" s="167"/>
      <c r="AJ36" s="167"/>
      <c r="AK36" s="167"/>
      <c r="AL36" s="167"/>
      <c r="AM36"/>
      <c r="AN36"/>
      <c r="AO36"/>
      <c r="AP36"/>
      <c r="AQ36"/>
      <c r="AR36"/>
      <c r="AS36"/>
      <c r="AT36"/>
      <c r="AU36"/>
    </row>
    <row r="37" spans="1:47" s="94" customFormat="1" ht="18" customHeight="1" x14ac:dyDescent="0.2">
      <c r="A37" s="227">
        <v>2021</v>
      </c>
      <c r="B37" s="362"/>
      <c r="C37" s="89"/>
      <c r="D37" s="89"/>
      <c r="E37" s="89"/>
      <c r="F37" s="89"/>
      <c r="G37" s="89"/>
      <c r="H37" s="109">
        <v>54</v>
      </c>
      <c r="I37" s="109">
        <v>91</v>
      </c>
      <c r="J37" s="109">
        <v>87</v>
      </c>
      <c r="K37" s="590">
        <v>117</v>
      </c>
      <c r="L37" s="89"/>
      <c r="M37" s="512">
        <v>0</v>
      </c>
      <c r="N37" s="89"/>
      <c r="O37" s="109">
        <v>48</v>
      </c>
      <c r="P37" s="89"/>
      <c r="Q37" s="89"/>
      <c r="R37" s="89"/>
      <c r="S37" s="89"/>
      <c r="T37" s="89"/>
      <c r="U37" s="89"/>
      <c r="V37" s="89"/>
      <c r="W37" s="89"/>
      <c r="X37" s="89">
        <v>319</v>
      </c>
      <c r="Y37" s="11"/>
      <c r="Z37" s="750">
        <v>20</v>
      </c>
      <c r="AA37">
        <f t="shared" si="5"/>
        <v>2.7264957264957266</v>
      </c>
      <c r="AC37" s="151"/>
      <c r="AD37" s="299"/>
      <c r="AE37" s="369"/>
      <c r="AF37" s="369"/>
      <c r="AG37" s="369"/>
      <c r="AH37" s="369"/>
      <c r="AI37" s="369"/>
      <c r="AJ37" s="369"/>
      <c r="AK37" s="369"/>
      <c r="AL37" s="369"/>
      <c r="AM37" s="151"/>
      <c r="AN37" s="151"/>
      <c r="AO37" s="151"/>
      <c r="AP37" s="151"/>
      <c r="AQ37" s="151"/>
      <c r="AR37" s="151"/>
      <c r="AS37" s="151"/>
      <c r="AT37" s="151"/>
      <c r="AU37" s="151"/>
    </row>
    <row r="38" spans="1:47" s="94" customFormat="1" ht="18" customHeight="1" x14ac:dyDescent="0.2">
      <c r="A38" s="227">
        <v>2022</v>
      </c>
      <c r="B38" s="362"/>
      <c r="C38" s="89"/>
      <c r="D38" s="89"/>
      <c r="E38" s="89"/>
      <c r="F38" s="89"/>
      <c r="G38" s="108">
        <v>23</v>
      </c>
      <c r="H38" s="89"/>
      <c r="I38" s="108">
        <v>38</v>
      </c>
      <c r="J38" s="89"/>
      <c r="K38" s="927">
        <v>44</v>
      </c>
      <c r="L38" s="89"/>
      <c r="M38" s="924">
        <v>42</v>
      </c>
      <c r="N38" s="89"/>
      <c r="O38" s="155">
        <v>32</v>
      </c>
      <c r="P38" s="155">
        <v>25</v>
      </c>
      <c r="Q38" s="155">
        <v>6</v>
      </c>
      <c r="R38" s="89"/>
      <c r="S38" s="89"/>
      <c r="T38" s="89"/>
      <c r="U38" s="89"/>
      <c r="V38" s="89"/>
      <c r="W38" s="89"/>
      <c r="X38" s="89"/>
      <c r="Y38" s="11"/>
      <c r="Z38" s="750"/>
      <c r="AA38" s="151"/>
      <c r="AC38" s="151"/>
      <c r="AD38" s="299"/>
      <c r="AE38" s="369"/>
      <c r="AF38" s="369"/>
      <c r="AG38" s="369"/>
      <c r="AH38" s="369"/>
      <c r="AI38" s="369"/>
      <c r="AJ38" s="369"/>
      <c r="AK38" s="369"/>
      <c r="AL38" s="369"/>
      <c r="AM38" s="151"/>
      <c r="AN38" s="151"/>
      <c r="AO38" s="151"/>
      <c r="AP38" s="151"/>
      <c r="AQ38" s="151"/>
      <c r="AR38" s="151"/>
      <c r="AS38" s="151"/>
      <c r="AT38" s="151"/>
      <c r="AU38" s="151"/>
    </row>
    <row r="39" spans="1:47" s="94" customFormat="1" ht="18" customHeight="1" thickBot="1" x14ac:dyDescent="0.25">
      <c r="A39" s="227">
        <v>2023</v>
      </c>
      <c r="B39" s="362"/>
      <c r="C39" s="89"/>
      <c r="D39" s="89"/>
      <c r="E39" s="109">
        <v>0</v>
      </c>
      <c r="F39" s="89"/>
      <c r="G39" s="89"/>
      <c r="H39" s="109">
        <v>112</v>
      </c>
      <c r="I39" s="316">
        <v>20</v>
      </c>
      <c r="J39" s="987">
        <v>61</v>
      </c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11"/>
      <c r="Z39" s="750"/>
      <c r="AA39" s="151"/>
      <c r="AC39" s="151"/>
      <c r="AD39" s="299"/>
      <c r="AE39" s="369"/>
      <c r="AF39" s="369"/>
      <c r="AG39" s="369"/>
      <c r="AH39" s="369"/>
      <c r="AI39" s="369"/>
      <c r="AJ39" s="369"/>
      <c r="AK39" s="369"/>
      <c r="AL39" s="369"/>
      <c r="AM39" s="151"/>
      <c r="AN39" s="151"/>
      <c r="AO39" s="151"/>
      <c r="AP39" s="151"/>
      <c r="AQ39" s="151"/>
      <c r="AR39" s="151"/>
      <c r="AS39" s="151"/>
      <c r="AT39" s="151"/>
      <c r="AU39" s="151"/>
    </row>
    <row r="40" spans="1:47" s="8" customFormat="1" ht="18" customHeight="1" x14ac:dyDescent="0.25">
      <c r="A40" s="64" t="s">
        <v>17</v>
      </c>
      <c r="B40" s="16"/>
      <c r="C40" s="16"/>
      <c r="D40" s="16"/>
      <c r="E40" s="16"/>
      <c r="F40" s="16">
        <f t="shared" ref="F40:S40" si="9">AVERAGE(F11:F25)</f>
        <v>3.5</v>
      </c>
      <c r="G40" s="16">
        <f t="shared" si="9"/>
        <v>148</v>
      </c>
      <c r="H40" s="16">
        <f t="shared" si="9"/>
        <v>77.833333333333329</v>
      </c>
      <c r="I40" s="16">
        <f t="shared" si="9"/>
        <v>252.28571428571428</v>
      </c>
      <c r="J40" s="16">
        <f t="shared" si="9"/>
        <v>269.28571428571428</v>
      </c>
      <c r="K40" s="16">
        <f t="shared" si="9"/>
        <v>198.71428571428572</v>
      </c>
      <c r="L40" s="16">
        <f t="shared" si="9"/>
        <v>130</v>
      </c>
      <c r="M40" s="16">
        <f t="shared" si="9"/>
        <v>71.833333333333329</v>
      </c>
      <c r="N40" s="16">
        <f t="shared" si="9"/>
        <v>84.125</v>
      </c>
      <c r="O40" s="16">
        <f t="shared" si="9"/>
        <v>17</v>
      </c>
      <c r="P40" s="16">
        <f t="shared" si="9"/>
        <v>109.66666666666667</v>
      </c>
      <c r="Q40" s="16">
        <f t="shared" si="9"/>
        <v>51.5</v>
      </c>
      <c r="R40" s="16">
        <f t="shared" si="9"/>
        <v>84</v>
      </c>
      <c r="S40" s="16">
        <f t="shared" si="9"/>
        <v>45.666666666666664</v>
      </c>
      <c r="T40" s="16"/>
      <c r="U40" s="16"/>
      <c r="V40" s="16"/>
      <c r="W40" s="16"/>
      <c r="X40" s="16">
        <f>AVERAGE(X11:X25)</f>
        <v>427.42857142857144</v>
      </c>
      <c r="Y40" s="17"/>
      <c r="Z40" s="16">
        <f>AVERAGE(Z11:Z25)</f>
        <v>27.9</v>
      </c>
      <c r="AB40"/>
      <c r="AC40"/>
      <c r="AD40" s="269" t="s">
        <v>117</v>
      </c>
      <c r="AE40" s="270" t="s">
        <v>118</v>
      </c>
      <c r="AF40" s="271" t="s">
        <v>119</v>
      </c>
      <c r="AG40" s="272"/>
      <c r="AH40" s="271" t="s">
        <v>120</v>
      </c>
      <c r="AI40" s="271"/>
      <c r="AJ40" s="272"/>
      <c r="AK40" s="273" t="s">
        <v>121</v>
      </c>
      <c r="AL40" s="272"/>
      <c r="AM40" s="274" t="s">
        <v>122</v>
      </c>
      <c r="AN40"/>
      <c r="AO40"/>
      <c r="AP40"/>
      <c r="AQ40"/>
      <c r="AR40"/>
      <c r="AS40"/>
      <c r="AT40"/>
      <c r="AU40"/>
    </row>
    <row r="41" spans="1:47" ht="18" customHeight="1" x14ac:dyDescent="0.2">
      <c r="A41" s="1"/>
      <c r="B41" s="1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Z41" s="258" t="s">
        <v>173</v>
      </c>
      <c r="AB41"/>
      <c r="AC41"/>
      <c r="AD41" s="275" t="s">
        <v>167</v>
      </c>
      <c r="AE41" s="162"/>
      <c r="AF41" s="162" t="s">
        <v>146</v>
      </c>
      <c r="AG41" s="262"/>
      <c r="AH41" s="163" t="s">
        <v>148</v>
      </c>
      <c r="AI41" s="163" t="s">
        <v>147</v>
      </c>
      <c r="AJ41" s="262"/>
      <c r="AK41" s="164"/>
      <c r="AL41" s="262"/>
      <c r="AM41" s="276"/>
      <c r="AN41"/>
      <c r="AO41"/>
      <c r="AP41"/>
      <c r="AQ41"/>
      <c r="AR41"/>
      <c r="AS41"/>
      <c r="AT41"/>
      <c r="AU41"/>
    </row>
    <row r="42" spans="1:47" ht="18" customHeight="1" x14ac:dyDescent="0.2">
      <c r="A42" s="1002" t="s">
        <v>643</v>
      </c>
      <c r="B42" s="1003"/>
      <c r="C42" s="1003"/>
      <c r="D42" s="1003"/>
      <c r="E42" s="1003"/>
      <c r="F42" s="1003"/>
      <c r="G42" s="1003"/>
      <c r="H42" s="1003"/>
      <c r="I42" s="100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AB42"/>
      <c r="AC42"/>
      <c r="AD42" s="275" t="s">
        <v>127</v>
      </c>
      <c r="AE42" s="229">
        <v>42248</v>
      </c>
      <c r="AF42" s="167"/>
      <c r="AG42" s="262"/>
      <c r="AH42" s="262"/>
      <c r="AI42" s="263">
        <v>0</v>
      </c>
      <c r="AJ42" s="262"/>
      <c r="AK42" s="262"/>
      <c r="AL42" s="262"/>
      <c r="AM42" s="277"/>
      <c r="AN42"/>
      <c r="AO42"/>
      <c r="AP42"/>
      <c r="AQ42"/>
      <c r="AR42"/>
      <c r="AS42"/>
      <c r="AT42"/>
      <c r="AU42"/>
    </row>
    <row r="43" spans="1:47" ht="18" customHeight="1" thickBo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1"/>
      <c r="AB43"/>
      <c r="AC43"/>
      <c r="AD43" s="275"/>
      <c r="AE43" s="229">
        <v>42256</v>
      </c>
      <c r="AF43" s="170">
        <v>22</v>
      </c>
      <c r="AG43" s="262"/>
      <c r="AH43" s="264">
        <v>0.8</v>
      </c>
      <c r="AI43" s="265">
        <f t="shared" ref="AI43:AI50" si="10">AF43/AH43</f>
        <v>27.5</v>
      </c>
      <c r="AJ43" s="262"/>
      <c r="AK43" s="265">
        <f t="shared" ref="AK43:AK51" si="11">(AE43-AE42)*(AF43+AF42)</f>
        <v>176</v>
      </c>
      <c r="AL43" s="262"/>
      <c r="AM43" s="278">
        <f t="shared" ref="AM43:AM51" si="12">(AE43-AE42)*(AI43+AI42)</f>
        <v>220</v>
      </c>
      <c r="AN43"/>
      <c r="AO43"/>
      <c r="AP43"/>
      <c r="AQ43"/>
      <c r="AR43"/>
      <c r="AS43"/>
      <c r="AT43"/>
      <c r="AU43"/>
    </row>
    <row r="44" spans="1:47" ht="18" customHeight="1" thickTop="1" x14ac:dyDescent="0.2">
      <c r="A44" s="1004" t="s">
        <v>0</v>
      </c>
      <c r="B44" s="1006" t="s">
        <v>1</v>
      </c>
      <c r="C44" s="1006"/>
      <c r="D44" s="1006"/>
      <c r="E44" s="1006"/>
      <c r="F44" s="1006"/>
      <c r="G44" s="1006"/>
      <c r="H44" s="1006"/>
      <c r="I44" s="1006"/>
      <c r="J44" s="1006"/>
      <c r="K44" s="1006"/>
      <c r="L44" s="1006"/>
      <c r="M44" s="1006"/>
      <c r="N44" s="1006"/>
      <c r="O44" s="1006"/>
      <c r="P44" s="1006"/>
      <c r="Q44" s="1006"/>
      <c r="R44" s="1006"/>
      <c r="S44" s="1006"/>
      <c r="T44" s="1006"/>
      <c r="U44" s="1006"/>
      <c r="V44" s="1006"/>
      <c r="W44" s="1006"/>
      <c r="X44" s="1004" t="s">
        <v>2</v>
      </c>
      <c r="Y44" s="1010" t="s">
        <v>3</v>
      </c>
      <c r="Z44" s="1008" t="s">
        <v>4</v>
      </c>
      <c r="AB44"/>
      <c r="AC44"/>
      <c r="AD44" s="275"/>
      <c r="AE44" s="229">
        <v>42263</v>
      </c>
      <c r="AF44" s="170">
        <v>46</v>
      </c>
      <c r="AG44" s="262"/>
      <c r="AH44" s="264">
        <v>0.9</v>
      </c>
      <c r="AI44" s="265">
        <f t="shared" si="10"/>
        <v>51.111111111111107</v>
      </c>
      <c r="AJ44" s="262"/>
      <c r="AK44" s="265">
        <f t="shared" si="11"/>
        <v>476</v>
      </c>
      <c r="AL44" s="262"/>
      <c r="AM44" s="278">
        <f t="shared" si="12"/>
        <v>550.27777777777783</v>
      </c>
      <c r="AN44"/>
      <c r="AO44"/>
      <c r="AP44"/>
      <c r="AQ44"/>
      <c r="AR44"/>
      <c r="AS44"/>
      <c r="AT44"/>
      <c r="AU44"/>
    </row>
    <row r="45" spans="1:47" ht="18" customHeight="1" x14ac:dyDescent="0.2">
      <c r="A45" s="1005"/>
      <c r="B45" s="18">
        <v>81</v>
      </c>
      <c r="C45" s="18">
        <v>82</v>
      </c>
      <c r="D45" s="18">
        <v>83</v>
      </c>
      <c r="E45" s="18">
        <v>84</v>
      </c>
      <c r="F45" s="18">
        <v>91</v>
      </c>
      <c r="G45" s="18">
        <v>92</v>
      </c>
      <c r="H45" s="18">
        <v>93</v>
      </c>
      <c r="I45" s="18">
        <v>94</v>
      </c>
      <c r="J45" s="18">
        <v>101</v>
      </c>
      <c r="K45" s="18">
        <v>102</v>
      </c>
      <c r="L45" s="18">
        <v>103</v>
      </c>
      <c r="M45" s="18">
        <v>104</v>
      </c>
      <c r="N45" s="18">
        <v>105</v>
      </c>
      <c r="O45" s="18">
        <v>111</v>
      </c>
      <c r="P45" s="18">
        <v>112</v>
      </c>
      <c r="Q45" s="18">
        <v>113</v>
      </c>
      <c r="R45" s="18">
        <v>114</v>
      </c>
      <c r="S45" s="18">
        <v>115</v>
      </c>
      <c r="T45" s="18">
        <v>121</v>
      </c>
      <c r="U45" s="18">
        <v>122</v>
      </c>
      <c r="V45" s="18">
        <v>123</v>
      </c>
      <c r="W45" s="18">
        <v>124</v>
      </c>
      <c r="X45" s="1005"/>
      <c r="Y45" s="1011"/>
      <c r="Z45" s="1009"/>
      <c r="AB45"/>
      <c r="AC45"/>
      <c r="AD45" s="279"/>
      <c r="AE45" s="229">
        <v>42276</v>
      </c>
      <c r="AF45" s="170">
        <v>124</v>
      </c>
      <c r="AG45" s="262"/>
      <c r="AH45" s="264">
        <v>0.9</v>
      </c>
      <c r="AI45" s="265">
        <f t="shared" si="10"/>
        <v>137.77777777777777</v>
      </c>
      <c r="AJ45" s="262"/>
      <c r="AK45" s="265">
        <f t="shared" si="11"/>
        <v>2210</v>
      </c>
      <c r="AL45" s="262"/>
      <c r="AM45" s="278">
        <f t="shared" si="12"/>
        <v>2455.5555555555557</v>
      </c>
      <c r="AN45"/>
      <c r="AO45"/>
      <c r="AP45"/>
      <c r="AQ45"/>
      <c r="AR45"/>
      <c r="AS45"/>
      <c r="AT45"/>
      <c r="AU45"/>
    </row>
    <row r="46" spans="1:47" ht="18" customHeight="1" x14ac:dyDescent="0.2">
      <c r="A46" s="1">
        <v>1995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3"/>
      <c r="U46" s="13"/>
      <c r="V46" s="13"/>
      <c r="W46" s="13"/>
      <c r="X46" s="29">
        <v>400</v>
      </c>
      <c r="Y46" s="7" t="s">
        <v>7</v>
      </c>
      <c r="Z46" s="58"/>
      <c r="AB46"/>
      <c r="AC46"/>
      <c r="AD46" s="280"/>
      <c r="AE46" s="229">
        <v>42292</v>
      </c>
      <c r="AF46" s="170">
        <v>315</v>
      </c>
      <c r="AG46" s="262"/>
      <c r="AH46" s="264">
        <v>0.8</v>
      </c>
      <c r="AI46" s="265">
        <f t="shared" si="10"/>
        <v>393.75</v>
      </c>
      <c r="AJ46" s="262"/>
      <c r="AK46" s="265">
        <f t="shared" si="11"/>
        <v>7024</v>
      </c>
      <c r="AL46" s="262"/>
      <c r="AM46" s="278">
        <f t="shared" si="12"/>
        <v>8504.4444444444453</v>
      </c>
      <c r="AN46"/>
      <c r="AO46"/>
      <c r="AP46"/>
      <c r="AQ46"/>
      <c r="AR46"/>
      <c r="AS46"/>
      <c r="AT46"/>
      <c r="AU46"/>
    </row>
    <row r="47" spans="1:47" ht="18" customHeight="1" x14ac:dyDescent="0.2">
      <c r="A47" s="1">
        <v>1996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3"/>
      <c r="U47" s="13"/>
      <c r="V47" s="13"/>
      <c r="W47" s="13"/>
      <c r="X47" s="29">
        <v>600</v>
      </c>
      <c r="Y47" s="7" t="s">
        <v>7</v>
      </c>
      <c r="Z47" s="60"/>
      <c r="AB47"/>
      <c r="AC47"/>
      <c r="AD47" s="280"/>
      <c r="AE47" s="229">
        <v>42299</v>
      </c>
      <c r="AF47" s="170">
        <v>156</v>
      </c>
      <c r="AG47" s="262"/>
      <c r="AH47" s="264">
        <v>0.65</v>
      </c>
      <c r="AI47" s="265">
        <f t="shared" si="10"/>
        <v>240</v>
      </c>
      <c r="AJ47" s="262"/>
      <c r="AK47" s="265">
        <f t="shared" si="11"/>
        <v>3297</v>
      </c>
      <c r="AL47" s="262"/>
      <c r="AM47" s="278">
        <f t="shared" si="12"/>
        <v>4436.25</v>
      </c>
      <c r="AN47"/>
      <c r="AO47"/>
      <c r="AP47"/>
      <c r="AQ47"/>
      <c r="AR47"/>
      <c r="AS47"/>
      <c r="AT47"/>
      <c r="AU47"/>
    </row>
    <row r="48" spans="1:47" ht="18" customHeight="1" x14ac:dyDescent="0.2">
      <c r="A48" s="1">
        <v>1997</v>
      </c>
      <c r="B48" s="6"/>
      <c r="C48" s="6"/>
      <c r="D48" s="6"/>
      <c r="E48" s="6"/>
      <c r="F48" s="6"/>
      <c r="G48" s="6"/>
      <c r="H48" s="359"/>
      <c r="I48" s="359"/>
      <c r="J48" s="359"/>
      <c r="K48" s="359"/>
      <c r="L48" s="359"/>
      <c r="M48" s="359">
        <v>70</v>
      </c>
      <c r="N48" s="359">
        <v>312</v>
      </c>
      <c r="O48" s="359"/>
      <c r="P48" s="359">
        <v>227</v>
      </c>
      <c r="Q48" s="6"/>
      <c r="R48" s="6"/>
      <c r="S48" s="6"/>
      <c r="T48" s="13"/>
      <c r="U48" s="13"/>
      <c r="V48" s="13"/>
      <c r="W48" s="13"/>
      <c r="X48" s="29"/>
      <c r="Y48" s="7" t="s">
        <v>7</v>
      </c>
      <c r="Z48" s="58"/>
      <c r="AB48"/>
      <c r="AC48"/>
      <c r="AD48" s="280"/>
      <c r="AE48" s="229">
        <v>42310</v>
      </c>
      <c r="AF48" s="170">
        <v>131</v>
      </c>
      <c r="AG48" s="262"/>
      <c r="AH48" s="264">
        <v>0.8</v>
      </c>
      <c r="AI48" s="265">
        <f t="shared" si="10"/>
        <v>163.75</v>
      </c>
      <c r="AJ48" s="262"/>
      <c r="AK48" s="265">
        <f t="shared" si="11"/>
        <v>3157</v>
      </c>
      <c r="AL48" s="262"/>
      <c r="AM48" s="278">
        <f t="shared" si="12"/>
        <v>4441.25</v>
      </c>
      <c r="AN48"/>
      <c r="AO48"/>
      <c r="AP48"/>
      <c r="AQ48"/>
      <c r="AR48"/>
      <c r="AS48"/>
      <c r="AT48"/>
      <c r="AU48"/>
    </row>
    <row r="49" spans="1:47" ht="18" customHeight="1" x14ac:dyDescent="0.2">
      <c r="A49" s="1">
        <v>1998</v>
      </c>
      <c r="B49" s="6"/>
      <c r="C49" s="6"/>
      <c r="D49" s="6"/>
      <c r="E49" s="6"/>
      <c r="F49" s="6">
        <v>10</v>
      </c>
      <c r="G49" s="6"/>
      <c r="H49" s="359">
        <v>361</v>
      </c>
      <c r="I49" s="359">
        <v>419</v>
      </c>
      <c r="J49" s="359">
        <v>260</v>
      </c>
      <c r="K49" s="359">
        <v>667</v>
      </c>
      <c r="L49" s="359"/>
      <c r="M49" s="359">
        <v>1573</v>
      </c>
      <c r="N49" s="359">
        <v>1212</v>
      </c>
      <c r="O49" s="359">
        <v>917</v>
      </c>
      <c r="P49" s="359"/>
      <c r="Q49" s="6"/>
      <c r="R49" s="6">
        <v>1125</v>
      </c>
      <c r="S49" s="6"/>
      <c r="T49" s="13"/>
      <c r="U49" s="13"/>
      <c r="V49" s="13"/>
      <c r="W49" s="13"/>
      <c r="X49" s="29">
        <v>3541</v>
      </c>
      <c r="Y49" s="7" t="s">
        <v>7</v>
      </c>
      <c r="Z49" s="58"/>
      <c r="AB49">
        <f>X49/MAX(B49:W49)</f>
        <v>2.2511125238397964</v>
      </c>
      <c r="AC49"/>
      <c r="AD49" s="280"/>
      <c r="AE49" s="229">
        <v>42317</v>
      </c>
      <c r="AF49" s="170">
        <v>161</v>
      </c>
      <c r="AG49" s="262"/>
      <c r="AH49" s="264">
        <v>0.8</v>
      </c>
      <c r="AI49" s="265">
        <f t="shared" si="10"/>
        <v>201.25</v>
      </c>
      <c r="AJ49" s="262"/>
      <c r="AK49" s="265">
        <f t="shared" si="11"/>
        <v>2044</v>
      </c>
      <c r="AL49" s="262"/>
      <c r="AM49" s="278">
        <f t="shared" si="12"/>
        <v>2555</v>
      </c>
      <c r="AN49"/>
      <c r="AO49"/>
      <c r="AP49"/>
      <c r="AQ49"/>
      <c r="AR49"/>
      <c r="AS49"/>
      <c r="AT49"/>
      <c r="AU49"/>
    </row>
    <row r="50" spans="1:47" ht="18" customHeight="1" x14ac:dyDescent="0.2">
      <c r="A50" s="1">
        <v>1999</v>
      </c>
      <c r="B50" s="6"/>
      <c r="C50" s="6"/>
      <c r="D50" s="6"/>
      <c r="E50" s="6"/>
      <c r="F50" s="6"/>
      <c r="G50" s="6"/>
      <c r="H50" s="359">
        <v>44</v>
      </c>
      <c r="I50" s="359"/>
      <c r="J50" s="359"/>
      <c r="K50" s="359">
        <v>149</v>
      </c>
      <c r="L50" s="359">
        <v>588</v>
      </c>
      <c r="M50" s="359"/>
      <c r="N50" s="359">
        <v>57</v>
      </c>
      <c r="O50" s="359"/>
      <c r="P50" s="359"/>
      <c r="Q50" s="6"/>
      <c r="R50" s="6">
        <v>538</v>
      </c>
      <c r="S50" s="6">
        <v>341</v>
      </c>
      <c r="T50" s="13"/>
      <c r="U50" s="13"/>
      <c r="V50" s="13"/>
      <c r="W50" s="13"/>
      <c r="X50" s="29">
        <v>1597</v>
      </c>
      <c r="Y50" s="7" t="s">
        <v>7</v>
      </c>
      <c r="Z50" s="58"/>
      <c r="AB50">
        <f t="shared" ref="AB50:AB65" si="13">X50/MAX(B50:W50)</f>
        <v>2.7159863945578233</v>
      </c>
      <c r="AC50"/>
      <c r="AD50" s="280"/>
      <c r="AE50" s="229">
        <v>42353</v>
      </c>
      <c r="AF50" s="170">
        <v>0</v>
      </c>
      <c r="AG50" s="262"/>
      <c r="AH50" s="264">
        <v>0.9</v>
      </c>
      <c r="AI50" s="265">
        <f t="shared" si="10"/>
        <v>0</v>
      </c>
      <c r="AJ50" s="262"/>
      <c r="AK50" s="265">
        <f t="shared" si="11"/>
        <v>5796</v>
      </c>
      <c r="AL50" s="262"/>
      <c r="AM50" s="278">
        <f t="shared" si="12"/>
        <v>7245</v>
      </c>
      <c r="AN50"/>
      <c r="AO50"/>
      <c r="AP50"/>
      <c r="AQ50"/>
      <c r="AR50"/>
      <c r="AS50"/>
      <c r="AT50"/>
      <c r="AU50"/>
    </row>
    <row r="51" spans="1:47" ht="18" customHeight="1" x14ac:dyDescent="0.2">
      <c r="A51" s="1">
        <v>2000</v>
      </c>
      <c r="B51" s="6"/>
      <c r="C51" s="6"/>
      <c r="D51" s="6"/>
      <c r="E51" s="6"/>
      <c r="F51" s="6"/>
      <c r="G51" s="6"/>
      <c r="H51" s="359">
        <v>101</v>
      </c>
      <c r="I51" s="359">
        <v>173</v>
      </c>
      <c r="J51" s="359"/>
      <c r="K51" s="359">
        <v>354</v>
      </c>
      <c r="L51" s="359"/>
      <c r="M51" s="359"/>
      <c r="N51" s="359"/>
      <c r="O51" s="359"/>
      <c r="P51" s="359"/>
      <c r="Q51" s="6"/>
      <c r="R51" s="6"/>
      <c r="S51" s="6">
        <v>439</v>
      </c>
      <c r="T51" s="13"/>
      <c r="U51" s="13"/>
      <c r="V51" s="13"/>
      <c r="W51" s="13"/>
      <c r="X51" s="29">
        <v>971</v>
      </c>
      <c r="Y51" s="7" t="s">
        <v>7</v>
      </c>
      <c r="Z51" s="58"/>
      <c r="AB51">
        <f t="shared" si="13"/>
        <v>2.2118451025056949</v>
      </c>
      <c r="AC51"/>
      <c r="AD51" s="275" t="s">
        <v>128</v>
      </c>
      <c r="AE51" s="229"/>
      <c r="AF51" s="176"/>
      <c r="AG51" s="262"/>
      <c r="AH51" s="177"/>
      <c r="AI51" s="178">
        <v>0</v>
      </c>
      <c r="AJ51" s="179"/>
      <c r="AK51" s="265">
        <f t="shared" si="11"/>
        <v>0</v>
      </c>
      <c r="AL51" s="262"/>
      <c r="AM51" s="278">
        <f t="shared" si="12"/>
        <v>0</v>
      </c>
      <c r="AN51"/>
      <c r="AO51"/>
      <c r="AP51"/>
      <c r="AQ51"/>
      <c r="AR51"/>
      <c r="AS51"/>
      <c r="AT51"/>
      <c r="AU51"/>
    </row>
    <row r="52" spans="1:47" ht="18" customHeight="1" x14ac:dyDescent="0.2">
      <c r="A52" s="1">
        <v>2001</v>
      </c>
      <c r="B52" s="6"/>
      <c r="C52" s="6"/>
      <c r="D52" s="6"/>
      <c r="E52" s="6"/>
      <c r="F52" s="6"/>
      <c r="G52" s="6">
        <v>212</v>
      </c>
      <c r="H52" s="359"/>
      <c r="I52" s="359"/>
      <c r="J52" s="359">
        <v>430</v>
      </c>
      <c r="K52" s="359"/>
      <c r="L52" s="359"/>
      <c r="M52" s="359"/>
      <c r="N52" s="359"/>
      <c r="O52" s="359"/>
      <c r="P52" s="359"/>
      <c r="Q52" s="6"/>
      <c r="R52" s="6"/>
      <c r="S52" s="6">
        <v>339</v>
      </c>
      <c r="T52" s="13"/>
      <c r="U52" s="13"/>
      <c r="V52" s="13"/>
      <c r="W52" s="13"/>
      <c r="X52" s="29">
        <v>501</v>
      </c>
      <c r="Y52" s="7" t="s">
        <v>7</v>
      </c>
      <c r="Z52" s="58"/>
      <c r="AB52">
        <f t="shared" si="13"/>
        <v>1.1651162790697673</v>
      </c>
      <c r="AC52"/>
      <c r="AD52" s="275" t="s">
        <v>2</v>
      </c>
      <c r="AE52" s="167">
        <v>7</v>
      </c>
      <c r="AF52" s="167"/>
      <c r="AG52" s="167"/>
      <c r="AH52" s="262"/>
      <c r="AI52" s="262"/>
      <c r="AJ52" s="262"/>
      <c r="AK52" s="262"/>
      <c r="AL52" s="262"/>
      <c r="AM52" s="277"/>
      <c r="AN52"/>
      <c r="AO52"/>
      <c r="AP52"/>
      <c r="AQ52"/>
      <c r="AR52"/>
      <c r="AS52"/>
      <c r="AT52"/>
      <c r="AU52"/>
    </row>
    <row r="53" spans="1:47" ht="18" customHeight="1" x14ac:dyDescent="0.2">
      <c r="A53" s="1">
        <v>2002</v>
      </c>
      <c r="B53" s="6"/>
      <c r="C53" s="6"/>
      <c r="D53" s="6"/>
      <c r="E53" s="6"/>
      <c r="F53" s="6"/>
      <c r="G53" s="6">
        <v>104</v>
      </c>
      <c r="H53" s="359"/>
      <c r="I53" s="359">
        <v>148</v>
      </c>
      <c r="J53" s="359">
        <v>30</v>
      </c>
      <c r="K53" s="359">
        <v>43</v>
      </c>
      <c r="L53" s="359">
        <v>41</v>
      </c>
      <c r="M53" s="359">
        <v>63</v>
      </c>
      <c r="N53" s="359">
        <v>210</v>
      </c>
      <c r="O53" s="359"/>
      <c r="P53" s="359"/>
      <c r="Q53" s="6"/>
      <c r="R53" s="6">
        <v>264</v>
      </c>
      <c r="S53" s="6"/>
      <c r="T53" s="13"/>
      <c r="U53" s="13"/>
      <c r="V53" s="13"/>
      <c r="W53" s="13"/>
      <c r="X53" s="29">
        <v>672</v>
      </c>
      <c r="Y53" s="7" t="s">
        <v>7</v>
      </c>
      <c r="Z53" s="60"/>
      <c r="AB53">
        <f t="shared" si="13"/>
        <v>2.5454545454545454</v>
      </c>
      <c r="AC53"/>
      <c r="AD53" s="275" t="s">
        <v>129</v>
      </c>
      <c r="AE53" s="167"/>
      <c r="AF53" s="167">
        <f>MAX(AF42:AF51)</f>
        <v>315</v>
      </c>
      <c r="AG53" s="167"/>
      <c r="AH53" s="167"/>
      <c r="AI53" s="167">
        <f>MAX(AI42:AI51)</f>
        <v>393.75</v>
      </c>
      <c r="AJ53" s="167"/>
      <c r="AK53" s="167"/>
      <c r="AL53" s="262"/>
      <c r="AM53" s="277"/>
      <c r="AN53"/>
      <c r="AO53"/>
      <c r="AP53"/>
      <c r="AQ53"/>
      <c r="AR53"/>
      <c r="AS53"/>
      <c r="AT53"/>
      <c r="AU53"/>
    </row>
    <row r="54" spans="1:47" ht="18" customHeight="1" x14ac:dyDescent="0.2">
      <c r="A54" s="1">
        <v>2003</v>
      </c>
      <c r="B54" s="6">
        <v>0</v>
      </c>
      <c r="C54" s="6"/>
      <c r="D54" s="6"/>
      <c r="E54" s="6"/>
      <c r="F54" s="6"/>
      <c r="G54" s="6"/>
      <c r="H54" s="359"/>
      <c r="I54" s="359"/>
      <c r="J54" s="359">
        <v>0</v>
      </c>
      <c r="K54" s="359"/>
      <c r="L54" s="359"/>
      <c r="M54" s="359"/>
      <c r="N54" s="359">
        <v>182</v>
      </c>
      <c r="O54" s="359">
        <v>497</v>
      </c>
      <c r="P54" s="359"/>
      <c r="Q54" s="6">
        <v>336</v>
      </c>
      <c r="R54" s="6"/>
      <c r="S54" s="6"/>
      <c r="T54" s="13"/>
      <c r="U54" s="13"/>
      <c r="V54" s="13"/>
      <c r="W54" s="13"/>
      <c r="X54" s="29">
        <v>798</v>
      </c>
      <c r="Y54" s="7" t="s">
        <v>5</v>
      </c>
      <c r="Z54" s="10">
        <v>37</v>
      </c>
      <c r="AB54">
        <f t="shared" si="13"/>
        <v>1.6056338028169015</v>
      </c>
      <c r="AC54"/>
      <c r="AD54" s="275" t="s">
        <v>130</v>
      </c>
      <c r="AE54" s="167"/>
      <c r="AF54" s="263">
        <v>40</v>
      </c>
      <c r="AG54" s="167"/>
      <c r="AH54" s="262"/>
      <c r="AI54" s="263">
        <v>45</v>
      </c>
      <c r="AJ54" s="266"/>
      <c r="AK54" s="266"/>
      <c r="AL54" s="262"/>
      <c r="AM54" s="277"/>
      <c r="AN54"/>
      <c r="AO54"/>
      <c r="AP54"/>
      <c r="AQ54"/>
      <c r="AR54"/>
      <c r="AS54"/>
      <c r="AT54"/>
      <c r="AU54"/>
    </row>
    <row r="55" spans="1:47" ht="18" customHeight="1" x14ac:dyDescent="0.2">
      <c r="A55" s="1">
        <v>2004</v>
      </c>
      <c r="B55" s="6"/>
      <c r="C55" s="6"/>
      <c r="D55" s="6"/>
      <c r="E55" s="6"/>
      <c r="F55" s="6"/>
      <c r="G55" s="6"/>
      <c r="H55" s="359"/>
      <c r="I55" s="359">
        <v>0</v>
      </c>
      <c r="J55" s="359">
        <v>486</v>
      </c>
      <c r="K55" s="359">
        <v>330</v>
      </c>
      <c r="L55" s="359">
        <v>1771</v>
      </c>
      <c r="M55" s="359">
        <v>670</v>
      </c>
      <c r="N55" s="359">
        <v>974</v>
      </c>
      <c r="O55" s="359"/>
      <c r="P55" s="359">
        <v>418</v>
      </c>
      <c r="Q55" s="6"/>
      <c r="R55" s="6"/>
      <c r="S55" s="6"/>
      <c r="T55" s="13"/>
      <c r="U55" s="13"/>
      <c r="V55" s="13"/>
      <c r="W55" s="13"/>
      <c r="X55" s="21">
        <v>2849</v>
      </c>
      <c r="Y55" s="7" t="s">
        <v>5</v>
      </c>
      <c r="Z55" s="10">
        <v>28</v>
      </c>
      <c r="AB55">
        <f t="shared" si="13"/>
        <v>1.6086956521739131</v>
      </c>
      <c r="AC55"/>
      <c r="AD55" s="275" t="s">
        <v>131</v>
      </c>
      <c r="AE55" s="167"/>
      <c r="AF55" s="267">
        <f>(0.5*SUM(AK43:AK51))/AF54</f>
        <v>302.25</v>
      </c>
      <c r="AG55" s="167"/>
      <c r="AH55" s="262"/>
      <c r="AI55" s="267">
        <f>(0.5*SUM(AM43:AM51))/AI54</f>
        <v>337.86419753086426</v>
      </c>
      <c r="AJ55" s="266"/>
      <c r="AK55" s="266"/>
      <c r="AL55" s="262"/>
      <c r="AM55" s="277"/>
      <c r="AN55"/>
      <c r="AO55"/>
      <c r="AP55"/>
      <c r="AQ55"/>
      <c r="AR55"/>
      <c r="AS55"/>
      <c r="AT55"/>
      <c r="AU55"/>
    </row>
    <row r="56" spans="1:47" ht="18" customHeight="1" x14ac:dyDescent="0.25">
      <c r="A56" s="1">
        <v>2005</v>
      </c>
      <c r="B56" s="6"/>
      <c r="C56" s="6"/>
      <c r="D56" s="6"/>
      <c r="E56" s="6"/>
      <c r="F56" s="6"/>
      <c r="G56" s="6"/>
      <c r="H56" s="359"/>
      <c r="I56" s="359"/>
      <c r="J56" s="359"/>
      <c r="K56" s="359"/>
      <c r="L56" s="359"/>
      <c r="M56" s="359"/>
      <c r="N56" s="359"/>
      <c r="O56" s="359"/>
      <c r="P56" s="359"/>
      <c r="Q56" s="6"/>
      <c r="R56" s="6"/>
      <c r="S56" s="6"/>
      <c r="T56" s="13"/>
      <c r="U56" s="13"/>
      <c r="V56" s="13"/>
      <c r="W56" s="13"/>
      <c r="X56" s="29"/>
      <c r="Y56" s="7" t="s">
        <v>7</v>
      </c>
      <c r="Z56" s="10"/>
      <c r="AB56"/>
      <c r="AC56"/>
      <c r="AD56" s="281" t="s">
        <v>117</v>
      </c>
      <c r="AE56" s="222" t="s">
        <v>118</v>
      </c>
      <c r="AF56" s="157" t="s">
        <v>119</v>
      </c>
      <c r="AG56" s="262"/>
      <c r="AH56" s="157" t="s">
        <v>120</v>
      </c>
      <c r="AI56" s="157"/>
      <c r="AJ56" s="262"/>
      <c r="AK56" s="268" t="s">
        <v>121</v>
      </c>
      <c r="AL56" s="262"/>
      <c r="AM56" s="282" t="s">
        <v>122</v>
      </c>
      <c r="AN56"/>
      <c r="AO56"/>
      <c r="AP56"/>
      <c r="AQ56"/>
      <c r="AR56"/>
      <c r="AS56"/>
      <c r="AT56"/>
      <c r="AU56"/>
    </row>
    <row r="57" spans="1:47" ht="18" customHeight="1" thickBot="1" x14ac:dyDescent="0.25">
      <c r="A57" s="1">
        <v>2006</v>
      </c>
      <c r="B57" s="6"/>
      <c r="C57" s="6"/>
      <c r="D57" s="6"/>
      <c r="E57" s="6"/>
      <c r="F57" s="6"/>
      <c r="G57" s="6"/>
      <c r="H57" s="359">
        <v>186</v>
      </c>
      <c r="I57" s="359">
        <v>353</v>
      </c>
      <c r="J57" s="359"/>
      <c r="K57" s="359"/>
      <c r="L57" s="359">
        <v>303</v>
      </c>
      <c r="M57" s="359"/>
      <c r="N57" s="359">
        <v>232</v>
      </c>
      <c r="O57" s="359"/>
      <c r="P57" s="359"/>
      <c r="Q57" s="6"/>
      <c r="R57" s="6"/>
      <c r="S57" s="6"/>
      <c r="T57" s="13"/>
      <c r="U57" s="13"/>
      <c r="V57" s="13"/>
      <c r="W57" s="13"/>
      <c r="X57" s="30">
        <v>458</v>
      </c>
      <c r="Y57" s="7" t="s">
        <v>5</v>
      </c>
      <c r="Z57" s="10">
        <v>37.5</v>
      </c>
      <c r="AB57">
        <f t="shared" si="13"/>
        <v>1.2974504249291785</v>
      </c>
      <c r="AC57" s="288"/>
      <c r="AD57" s="275" t="s">
        <v>168</v>
      </c>
      <c r="AE57" s="162"/>
      <c r="AF57" s="162" t="s">
        <v>146</v>
      </c>
      <c r="AG57" s="262"/>
      <c r="AH57" s="163" t="s">
        <v>148</v>
      </c>
      <c r="AI57" s="163" t="s">
        <v>147</v>
      </c>
      <c r="AJ57" s="262"/>
      <c r="AK57" s="164"/>
      <c r="AL57" s="262"/>
      <c r="AM57" s="276"/>
      <c r="AN57"/>
      <c r="AO57"/>
      <c r="AP57"/>
      <c r="AQ57"/>
      <c r="AR57"/>
      <c r="AS57"/>
      <c r="AT57"/>
      <c r="AU57"/>
    </row>
    <row r="58" spans="1:47" ht="18" customHeight="1" x14ac:dyDescent="0.2">
      <c r="A58" s="1">
        <v>2007</v>
      </c>
      <c r="B58" s="6"/>
      <c r="C58" s="6"/>
      <c r="D58" s="6"/>
      <c r="E58" s="6"/>
      <c r="F58" s="6"/>
      <c r="G58" s="6">
        <v>4</v>
      </c>
      <c r="H58" s="359"/>
      <c r="I58" s="359">
        <v>4</v>
      </c>
      <c r="J58" s="359">
        <v>93</v>
      </c>
      <c r="K58" s="359">
        <v>125</v>
      </c>
      <c r="L58" s="359"/>
      <c r="M58" s="359">
        <v>150</v>
      </c>
      <c r="N58" s="359"/>
      <c r="O58" s="359"/>
      <c r="P58" s="359"/>
      <c r="Q58" s="6">
        <v>54</v>
      </c>
      <c r="R58" s="6"/>
      <c r="S58" s="6"/>
      <c r="T58" s="13"/>
      <c r="U58" s="13"/>
      <c r="V58" s="13"/>
      <c r="W58" s="13"/>
      <c r="X58" s="30">
        <v>203</v>
      </c>
      <c r="Y58" s="7" t="s">
        <v>5</v>
      </c>
      <c r="Z58" s="10">
        <v>45</v>
      </c>
      <c r="AB58">
        <f t="shared" si="13"/>
        <v>1.3533333333333333</v>
      </c>
      <c r="AC58"/>
      <c r="AD58" s="275" t="s">
        <v>127</v>
      </c>
      <c r="AE58" s="229">
        <v>42248</v>
      </c>
      <c r="AF58" s="167"/>
      <c r="AG58" s="262"/>
      <c r="AH58" s="262"/>
      <c r="AI58" s="263">
        <v>0</v>
      </c>
      <c r="AJ58" s="262"/>
      <c r="AK58" s="262"/>
      <c r="AL58" s="262"/>
      <c r="AM58" s="277"/>
      <c r="AN58"/>
      <c r="AO58"/>
      <c r="AP58"/>
      <c r="AQ58"/>
      <c r="AR58"/>
      <c r="AS58"/>
      <c r="AT58"/>
      <c r="AU58"/>
    </row>
    <row r="59" spans="1:47" s="55" customFormat="1" ht="18" customHeight="1" x14ac:dyDescent="0.2">
      <c r="A59" s="13">
        <v>2008</v>
      </c>
      <c r="B59" s="13"/>
      <c r="C59" s="13"/>
      <c r="D59" s="13"/>
      <c r="E59" s="13"/>
      <c r="F59" s="13">
        <v>3</v>
      </c>
      <c r="G59" s="13"/>
      <c r="H59" s="19">
        <v>31</v>
      </c>
      <c r="I59" s="19"/>
      <c r="J59" s="19"/>
      <c r="K59" s="19">
        <v>282</v>
      </c>
      <c r="L59" s="19"/>
      <c r="M59" s="19"/>
      <c r="N59" s="19">
        <v>428</v>
      </c>
      <c r="O59" s="19"/>
      <c r="P59" s="19">
        <v>48</v>
      </c>
      <c r="Q59" s="13"/>
      <c r="R59" s="13"/>
      <c r="S59" s="13"/>
      <c r="T59" s="13"/>
      <c r="U59" s="13"/>
      <c r="V59" s="13"/>
      <c r="W59" s="13"/>
      <c r="X59" s="29">
        <v>476</v>
      </c>
      <c r="Y59" s="7" t="s">
        <v>5</v>
      </c>
      <c r="Z59" s="58">
        <v>30</v>
      </c>
      <c r="AB59">
        <f t="shared" si="13"/>
        <v>1.1121495327102804</v>
      </c>
      <c r="AC59"/>
      <c r="AD59" s="275"/>
      <c r="AE59" s="229">
        <v>42256</v>
      </c>
      <c r="AF59" s="170">
        <v>7</v>
      </c>
      <c r="AG59" s="262"/>
      <c r="AH59" s="264">
        <v>0.8</v>
      </c>
      <c r="AI59" s="265">
        <f t="shared" ref="AI59:AI66" si="14">AF59/AH59</f>
        <v>8.75</v>
      </c>
      <c r="AJ59" s="262"/>
      <c r="AK59" s="265">
        <f t="shared" ref="AK59:AK66" si="15">(AE59-AE58)*(AF59+AF58)</f>
        <v>56</v>
      </c>
      <c r="AL59" s="262"/>
      <c r="AM59" s="278">
        <f t="shared" ref="AM59:AM66" si="16">(AE59-AE58)*(AI59+AI58)</f>
        <v>70</v>
      </c>
      <c r="AN59"/>
      <c r="AO59"/>
      <c r="AP59"/>
      <c r="AQ59"/>
      <c r="AR59"/>
      <c r="AS59"/>
      <c r="AT59"/>
      <c r="AU59"/>
    </row>
    <row r="60" spans="1:47" ht="18" customHeight="1" x14ac:dyDescent="0.2">
      <c r="A60" s="13">
        <v>2009</v>
      </c>
      <c r="B60" s="13"/>
      <c r="C60" s="13"/>
      <c r="D60" s="13"/>
      <c r="E60" s="13"/>
      <c r="F60" s="13"/>
      <c r="G60" s="13"/>
      <c r="H60" s="19">
        <v>141</v>
      </c>
      <c r="I60" s="19">
        <v>171</v>
      </c>
      <c r="J60" s="19">
        <v>131</v>
      </c>
      <c r="K60" s="19"/>
      <c r="L60" s="19">
        <v>134</v>
      </c>
      <c r="M60" s="19">
        <v>136</v>
      </c>
      <c r="N60" s="19"/>
      <c r="O60" s="19"/>
      <c r="P60" s="19"/>
      <c r="Q60" s="13"/>
      <c r="R60" s="13"/>
      <c r="S60" s="13"/>
      <c r="T60" s="13"/>
      <c r="U60" s="13"/>
      <c r="V60" s="13"/>
      <c r="W60" s="13"/>
      <c r="X60" s="29">
        <v>430</v>
      </c>
      <c r="Y60" s="7" t="s">
        <v>5</v>
      </c>
      <c r="Z60" s="58">
        <v>35</v>
      </c>
      <c r="AB60">
        <f t="shared" si="13"/>
        <v>2.5146198830409356</v>
      </c>
      <c r="AC60"/>
      <c r="AD60" s="275"/>
      <c r="AE60" s="229">
        <v>42263</v>
      </c>
      <c r="AF60" s="170">
        <v>28</v>
      </c>
      <c r="AG60" s="262"/>
      <c r="AH60" s="264">
        <v>0.9</v>
      </c>
      <c r="AI60" s="265">
        <f t="shared" si="14"/>
        <v>31.111111111111111</v>
      </c>
      <c r="AJ60" s="262"/>
      <c r="AK60" s="265">
        <f t="shared" si="15"/>
        <v>245</v>
      </c>
      <c r="AL60" s="262"/>
      <c r="AM60" s="278">
        <f t="shared" si="16"/>
        <v>279.02777777777783</v>
      </c>
      <c r="AN60"/>
      <c r="AO60"/>
      <c r="AP60"/>
      <c r="AQ60"/>
      <c r="AR60"/>
      <c r="AS60"/>
      <c r="AT60"/>
      <c r="AU60"/>
    </row>
    <row r="61" spans="1:47" ht="18" customHeight="1" x14ac:dyDescent="0.2">
      <c r="A61" s="13">
        <v>2010</v>
      </c>
      <c r="B61" s="13"/>
      <c r="C61" s="13"/>
      <c r="D61" s="13"/>
      <c r="E61" s="13"/>
      <c r="F61" s="1">
        <v>0</v>
      </c>
      <c r="G61" s="1"/>
      <c r="H61" s="14"/>
      <c r="I61" s="14"/>
      <c r="J61" s="14"/>
      <c r="K61" s="14">
        <f>98+9</f>
        <v>107</v>
      </c>
      <c r="L61" s="14"/>
      <c r="M61" s="14"/>
      <c r="N61" s="14">
        <f>191+50</f>
        <v>241</v>
      </c>
      <c r="O61" s="14"/>
      <c r="P61" s="14">
        <f>231+61</f>
        <v>292</v>
      </c>
      <c r="Q61" s="13"/>
      <c r="R61" s="13"/>
      <c r="S61" s="13"/>
      <c r="T61" s="13"/>
      <c r="U61" s="13"/>
      <c r="V61" s="13"/>
      <c r="W61" s="13"/>
      <c r="X61" s="29">
        <v>885</v>
      </c>
      <c r="Y61" s="7"/>
      <c r="Z61" s="58"/>
      <c r="AB61">
        <f t="shared" si="13"/>
        <v>3.0308219178082192</v>
      </c>
      <c r="AC61"/>
      <c r="AD61" s="279"/>
      <c r="AE61" s="229">
        <v>42276</v>
      </c>
      <c r="AF61" s="170">
        <v>50</v>
      </c>
      <c r="AG61" s="262"/>
      <c r="AH61" s="264">
        <v>0.9</v>
      </c>
      <c r="AI61" s="265">
        <f t="shared" si="14"/>
        <v>55.555555555555557</v>
      </c>
      <c r="AJ61" s="262"/>
      <c r="AK61" s="265">
        <f t="shared" si="15"/>
        <v>1014</v>
      </c>
      <c r="AL61" s="262"/>
      <c r="AM61" s="278">
        <f t="shared" si="16"/>
        <v>1126.6666666666667</v>
      </c>
      <c r="AN61"/>
      <c r="AO61"/>
      <c r="AP61"/>
      <c r="AQ61"/>
      <c r="AR61"/>
      <c r="AS61"/>
      <c r="AT61"/>
      <c r="AU61"/>
    </row>
    <row r="62" spans="1:47" ht="18" customHeight="1" x14ac:dyDescent="0.2">
      <c r="A62" s="13">
        <v>2011</v>
      </c>
      <c r="B62" s="14"/>
      <c r="C62" s="13"/>
      <c r="D62" s="13"/>
      <c r="E62" s="13"/>
      <c r="F62" s="13"/>
      <c r="G62" s="13"/>
      <c r="H62" s="19">
        <v>31</v>
      </c>
      <c r="I62" s="19"/>
      <c r="J62" s="19">
        <v>460</v>
      </c>
      <c r="K62" s="19">
        <v>894</v>
      </c>
      <c r="L62" s="19"/>
      <c r="M62" s="19"/>
      <c r="N62" s="19">
        <v>335</v>
      </c>
      <c r="O62" s="19">
        <v>221</v>
      </c>
      <c r="P62" s="19"/>
      <c r="Q62" s="13">
        <v>315</v>
      </c>
      <c r="R62" s="13"/>
      <c r="S62" s="13"/>
      <c r="T62" s="13"/>
      <c r="U62" s="13">
        <v>382</v>
      </c>
      <c r="V62" s="13"/>
      <c r="W62" s="13"/>
      <c r="X62" s="29">
        <v>1100</v>
      </c>
      <c r="Y62" s="7" t="s">
        <v>5</v>
      </c>
      <c r="Z62" s="58">
        <v>36.5</v>
      </c>
      <c r="AB62">
        <f t="shared" si="13"/>
        <v>1.2304250559284116</v>
      </c>
      <c r="AC62"/>
      <c r="AD62" s="280"/>
      <c r="AE62" s="229">
        <v>42292</v>
      </c>
      <c r="AF62" s="170">
        <v>83</v>
      </c>
      <c r="AG62" s="262"/>
      <c r="AH62" s="264">
        <v>0.8</v>
      </c>
      <c r="AI62" s="265">
        <f t="shared" si="14"/>
        <v>103.75</v>
      </c>
      <c r="AJ62" s="262"/>
      <c r="AK62" s="265">
        <f t="shared" si="15"/>
        <v>2128</v>
      </c>
      <c r="AL62" s="262"/>
      <c r="AM62" s="278">
        <f t="shared" si="16"/>
        <v>2548.8888888888887</v>
      </c>
      <c r="AN62"/>
      <c r="AO62"/>
      <c r="AP62"/>
      <c r="AQ62"/>
      <c r="AR62"/>
      <c r="AS62"/>
      <c r="AT62"/>
      <c r="AU62"/>
    </row>
    <row r="63" spans="1:47" ht="18" customHeight="1" x14ac:dyDescent="0.2">
      <c r="A63" s="13">
        <v>2012</v>
      </c>
      <c r="B63" s="14"/>
      <c r="C63" s="13"/>
      <c r="D63" s="13"/>
      <c r="E63" s="13"/>
      <c r="F63" s="13"/>
      <c r="G63" s="13">
        <v>12</v>
      </c>
      <c r="H63" s="19">
        <v>29</v>
      </c>
      <c r="I63" s="19"/>
      <c r="J63" s="19">
        <v>48</v>
      </c>
      <c r="K63" s="19">
        <v>103</v>
      </c>
      <c r="L63" s="19"/>
      <c r="M63" s="19">
        <f>19+213</f>
        <v>232</v>
      </c>
      <c r="N63" s="19"/>
      <c r="O63" s="19"/>
      <c r="P63" s="19"/>
      <c r="Q63" s="13"/>
      <c r="R63" s="13"/>
      <c r="S63" s="13"/>
      <c r="T63" s="13"/>
      <c r="U63" s="13"/>
      <c r="V63" s="13"/>
      <c r="W63" s="13"/>
      <c r="X63" s="29">
        <v>302</v>
      </c>
      <c r="Y63" s="7" t="s">
        <v>5</v>
      </c>
      <c r="Z63" s="58"/>
      <c r="AB63">
        <f t="shared" si="13"/>
        <v>1.3017241379310345</v>
      </c>
      <c r="AC63"/>
      <c r="AD63" s="280"/>
      <c r="AE63" s="229">
        <v>42299</v>
      </c>
      <c r="AF63" s="170">
        <v>78</v>
      </c>
      <c r="AG63" s="262"/>
      <c r="AH63" s="264">
        <v>0.65</v>
      </c>
      <c r="AI63" s="265">
        <f t="shared" si="14"/>
        <v>120</v>
      </c>
      <c r="AJ63" s="262"/>
      <c r="AK63" s="265">
        <f t="shared" si="15"/>
        <v>1127</v>
      </c>
      <c r="AL63" s="262"/>
      <c r="AM63" s="278">
        <f t="shared" si="16"/>
        <v>1566.25</v>
      </c>
      <c r="AN63"/>
      <c r="AO63"/>
      <c r="AP63"/>
      <c r="AQ63"/>
      <c r="AR63"/>
      <c r="AS63"/>
      <c r="AT63"/>
      <c r="AU63"/>
    </row>
    <row r="64" spans="1:47" ht="18" customHeight="1" x14ac:dyDescent="0.2">
      <c r="A64" s="13">
        <v>2013</v>
      </c>
      <c r="B64" s="19"/>
      <c r="C64" s="13"/>
      <c r="D64" s="13"/>
      <c r="E64" s="13"/>
      <c r="F64" s="13"/>
      <c r="G64" s="13">
        <v>134</v>
      </c>
      <c r="H64" s="19"/>
      <c r="I64" s="19">
        <v>74</v>
      </c>
      <c r="J64" s="19">
        <v>322</v>
      </c>
      <c r="K64" s="19">
        <v>290</v>
      </c>
      <c r="L64" s="19"/>
      <c r="M64" s="19">
        <v>375</v>
      </c>
      <c r="N64" s="19">
        <v>347</v>
      </c>
      <c r="O64" s="19">
        <v>381</v>
      </c>
      <c r="P64" s="19"/>
      <c r="Q64" s="13">
        <v>260</v>
      </c>
      <c r="R64" s="13"/>
      <c r="S64" s="13"/>
      <c r="T64" s="13"/>
      <c r="U64" s="13"/>
      <c r="V64" s="13"/>
      <c r="W64" s="13"/>
      <c r="X64" s="29">
        <v>844</v>
      </c>
      <c r="Y64" s="7" t="s">
        <v>5</v>
      </c>
      <c r="Z64" s="58"/>
      <c r="AB64">
        <f t="shared" si="13"/>
        <v>2.2152230971128608</v>
      </c>
      <c r="AC64"/>
      <c r="AD64" s="280"/>
      <c r="AE64" s="229">
        <v>42310</v>
      </c>
      <c r="AF64" s="170">
        <v>51</v>
      </c>
      <c r="AG64" s="262"/>
      <c r="AH64" s="264">
        <v>0.8</v>
      </c>
      <c r="AI64" s="265">
        <f t="shared" si="14"/>
        <v>63.75</v>
      </c>
      <c r="AJ64" s="262"/>
      <c r="AK64" s="265">
        <f t="shared" si="15"/>
        <v>1419</v>
      </c>
      <c r="AL64" s="262"/>
      <c r="AM64" s="278">
        <f t="shared" si="16"/>
        <v>2021.25</v>
      </c>
      <c r="AN64"/>
      <c r="AO64"/>
      <c r="AP64"/>
      <c r="AQ64"/>
      <c r="AR64"/>
      <c r="AS64"/>
      <c r="AT64"/>
      <c r="AU64"/>
    </row>
    <row r="65" spans="1:47" ht="18" customHeight="1" x14ac:dyDescent="0.2">
      <c r="A65" s="13">
        <v>2014</v>
      </c>
      <c r="B65" s="19"/>
      <c r="C65" s="13"/>
      <c r="D65" s="13"/>
      <c r="E65" s="13"/>
      <c r="F65" s="13"/>
      <c r="G65" s="205">
        <v>50</v>
      </c>
      <c r="H65" s="187"/>
      <c r="I65" s="189">
        <v>82</v>
      </c>
      <c r="J65" s="189">
        <v>295</v>
      </c>
      <c r="K65" s="186">
        <v>439</v>
      </c>
      <c r="L65" s="186">
        <v>493</v>
      </c>
      <c r="M65" s="187"/>
      <c r="N65" s="187"/>
      <c r="O65" s="187"/>
      <c r="P65" s="186">
        <v>417</v>
      </c>
      <c r="Q65" s="13"/>
      <c r="R65" s="13"/>
      <c r="S65" s="13"/>
      <c r="T65" s="13"/>
      <c r="U65" s="13"/>
      <c r="V65" s="13"/>
      <c r="W65" s="13"/>
      <c r="X65" s="29">
        <v>990</v>
      </c>
      <c r="Y65" s="7" t="s">
        <v>5</v>
      </c>
      <c r="Z65" s="58">
        <v>35</v>
      </c>
      <c r="AB65">
        <f t="shared" si="13"/>
        <v>2.0081135902636915</v>
      </c>
      <c r="AC65"/>
      <c r="AD65" s="280"/>
      <c r="AE65" s="229">
        <v>42317</v>
      </c>
      <c r="AF65" s="170">
        <v>65</v>
      </c>
      <c r="AG65" s="262"/>
      <c r="AH65" s="264">
        <v>0.8</v>
      </c>
      <c r="AI65" s="265">
        <f t="shared" si="14"/>
        <v>81.25</v>
      </c>
      <c r="AJ65" s="262"/>
      <c r="AK65" s="265">
        <f t="shared" si="15"/>
        <v>812</v>
      </c>
      <c r="AL65" s="262"/>
      <c r="AM65" s="278">
        <f t="shared" si="16"/>
        <v>1015</v>
      </c>
      <c r="AN65"/>
      <c r="AO65"/>
      <c r="AP65"/>
      <c r="AQ65"/>
      <c r="AR65"/>
      <c r="AS65"/>
      <c r="AT65"/>
      <c r="AU65"/>
    </row>
    <row r="66" spans="1:47" ht="18" customHeight="1" x14ac:dyDescent="0.2">
      <c r="A66" s="13">
        <v>2015</v>
      </c>
      <c r="B66" s="19"/>
      <c r="C66" s="13"/>
      <c r="D66" s="13"/>
      <c r="E66" s="13"/>
      <c r="F66" s="13"/>
      <c r="G66" s="109">
        <v>29</v>
      </c>
      <c r="H66" s="109">
        <v>74</v>
      </c>
      <c r="I66" s="13"/>
      <c r="J66" s="109">
        <v>174</v>
      </c>
      <c r="K66" s="237"/>
      <c r="L66" s="437">
        <v>398</v>
      </c>
      <c r="M66" s="109">
        <v>234</v>
      </c>
      <c r="N66" s="13"/>
      <c r="O66" s="109">
        <v>182</v>
      </c>
      <c r="P66" s="109">
        <v>226</v>
      </c>
      <c r="Q66" s="13"/>
      <c r="R66" s="13"/>
      <c r="S66" s="13"/>
      <c r="T66" s="13"/>
      <c r="U66" s="13"/>
      <c r="V66" s="13"/>
      <c r="W66" s="13"/>
      <c r="X66" s="29">
        <f>194+511</f>
        <v>705</v>
      </c>
      <c r="Y66" s="7" t="s">
        <v>5</v>
      </c>
      <c r="Z66" s="58">
        <v>30</v>
      </c>
      <c r="AB66">
        <f>X66/MAX(B66:W66)</f>
        <v>1.7713567839195981</v>
      </c>
      <c r="AC66"/>
      <c r="AD66" s="280"/>
      <c r="AE66" s="229">
        <v>42353</v>
      </c>
      <c r="AF66" s="170">
        <v>0</v>
      </c>
      <c r="AG66" s="262"/>
      <c r="AH66" s="264">
        <v>0.9</v>
      </c>
      <c r="AI66" s="265">
        <f t="shared" si="14"/>
        <v>0</v>
      </c>
      <c r="AJ66" s="262"/>
      <c r="AK66" s="265">
        <f t="shared" si="15"/>
        <v>2340</v>
      </c>
      <c r="AL66" s="262"/>
      <c r="AM66" s="278">
        <f t="shared" si="16"/>
        <v>2925</v>
      </c>
      <c r="AN66"/>
      <c r="AO66"/>
      <c r="AP66"/>
      <c r="AQ66"/>
      <c r="AR66"/>
      <c r="AS66"/>
      <c r="AT66"/>
      <c r="AU66"/>
    </row>
    <row r="67" spans="1:47" ht="18" customHeight="1" x14ac:dyDescent="0.2">
      <c r="A67" s="13">
        <v>2016</v>
      </c>
      <c r="B67" s="19"/>
      <c r="C67" s="13"/>
      <c r="D67" s="13"/>
      <c r="E67" s="13"/>
      <c r="F67" s="13"/>
      <c r="G67" s="109">
        <v>200</v>
      </c>
      <c r="H67" s="109">
        <v>322</v>
      </c>
      <c r="I67" s="13"/>
      <c r="J67" s="109">
        <v>381</v>
      </c>
      <c r="K67" s="109">
        <v>615</v>
      </c>
      <c r="L67" s="109">
        <v>735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29">
        <v>947</v>
      </c>
      <c r="Y67" s="7"/>
      <c r="Z67" s="58"/>
      <c r="AB67">
        <f>X67/MAX(B67:W67)</f>
        <v>1.2884353741496599</v>
      </c>
      <c r="AC67"/>
      <c r="AD67" s="275" t="s">
        <v>128</v>
      </c>
      <c r="AE67" s="229"/>
      <c r="AF67" s="176"/>
      <c r="AG67" s="262"/>
      <c r="AH67" s="177"/>
      <c r="AI67" s="178">
        <v>0</v>
      </c>
      <c r="AJ67" s="179"/>
      <c r="AK67" s="265">
        <f>(AE67-AE66)*(AF67+AF66)</f>
        <v>0</v>
      </c>
      <c r="AL67" s="262"/>
      <c r="AM67" s="278">
        <f>(AE67-AE66)*(AI67+AI66)</f>
        <v>0</v>
      </c>
      <c r="AN67"/>
      <c r="AO67"/>
      <c r="AP67"/>
      <c r="AQ67"/>
      <c r="AR67"/>
      <c r="AS67"/>
      <c r="AT67"/>
      <c r="AU67"/>
    </row>
    <row r="68" spans="1:47" ht="18" customHeight="1" x14ac:dyDescent="0.2">
      <c r="A68" s="13">
        <v>2017</v>
      </c>
      <c r="B68" s="19"/>
      <c r="C68" s="13"/>
      <c r="D68" s="13"/>
      <c r="E68" s="13"/>
      <c r="F68" s="109">
        <v>14</v>
      </c>
      <c r="G68" s="109">
        <v>79</v>
      </c>
      <c r="H68" s="109">
        <v>61</v>
      </c>
      <c r="I68" s="447">
        <v>23</v>
      </c>
      <c r="J68" s="13"/>
      <c r="K68" s="109">
        <v>30</v>
      </c>
      <c r="L68" s="13"/>
      <c r="M68" s="155">
        <v>499</v>
      </c>
      <c r="N68" s="155">
        <v>653</v>
      </c>
      <c r="O68" s="155">
        <v>517</v>
      </c>
      <c r="P68" s="13"/>
      <c r="Q68" s="13"/>
      <c r="R68" s="13"/>
      <c r="S68" s="13"/>
      <c r="T68" s="13"/>
      <c r="U68" s="13"/>
      <c r="V68" s="13"/>
      <c r="W68" s="13"/>
      <c r="X68" s="29">
        <f>328+435</f>
        <v>763</v>
      </c>
      <c r="Y68" s="7"/>
      <c r="Z68" s="58" t="s">
        <v>420</v>
      </c>
      <c r="AB68">
        <f>X68/MAX(B68:W68)</f>
        <v>1.1684532924961715</v>
      </c>
      <c r="AC68"/>
      <c r="AD68" s="275" t="s">
        <v>2</v>
      </c>
      <c r="AE68" s="167">
        <v>7</v>
      </c>
      <c r="AF68" s="167"/>
      <c r="AG68" s="167"/>
      <c r="AH68" s="262"/>
      <c r="AI68" s="262"/>
      <c r="AJ68" s="262"/>
      <c r="AK68" s="262"/>
      <c r="AL68" s="262"/>
      <c r="AM68" s="277"/>
      <c r="AN68"/>
      <c r="AO68"/>
      <c r="AP68"/>
      <c r="AQ68"/>
      <c r="AR68"/>
      <c r="AS68"/>
      <c r="AT68"/>
      <c r="AU68"/>
    </row>
    <row r="69" spans="1:47" ht="18" customHeight="1" x14ac:dyDescent="0.2">
      <c r="A69" s="13">
        <v>2018</v>
      </c>
      <c r="B69" s="19"/>
      <c r="C69" s="13"/>
      <c r="D69" s="13"/>
      <c r="E69" s="13"/>
      <c r="F69" s="13"/>
      <c r="G69" s="109">
        <v>118</v>
      </c>
      <c r="H69" s="13"/>
      <c r="I69" s="109">
        <v>238</v>
      </c>
      <c r="J69" s="13"/>
      <c r="K69" s="321">
        <v>390</v>
      </c>
      <c r="L69" s="155">
        <v>454</v>
      </c>
      <c r="M69" s="512">
        <v>154</v>
      </c>
      <c r="N69" s="13"/>
      <c r="O69" s="155">
        <v>402</v>
      </c>
      <c r="P69" s="13"/>
      <c r="Q69" s="13"/>
      <c r="R69" s="13"/>
      <c r="S69" s="13"/>
      <c r="T69" s="13"/>
      <c r="U69" s="13"/>
      <c r="V69" s="13"/>
      <c r="W69" s="13"/>
      <c r="X69" s="29">
        <v>903</v>
      </c>
      <c r="Y69" s="7"/>
      <c r="Z69" s="58">
        <v>30</v>
      </c>
      <c r="AB69">
        <f>X69/MAX(B69:W69)</f>
        <v>1.9889867841409692</v>
      </c>
      <c r="AC69"/>
      <c r="AD69" s="275"/>
      <c r="AE69" s="167"/>
      <c r="AF69" s="167"/>
      <c r="AG69" s="167"/>
      <c r="AH69" s="262"/>
      <c r="AI69" s="262"/>
      <c r="AJ69" s="262"/>
      <c r="AK69" s="262"/>
      <c r="AL69" s="262"/>
      <c r="AM69" s="277"/>
      <c r="AN69"/>
      <c r="AO69"/>
      <c r="AP69"/>
      <c r="AQ69"/>
      <c r="AR69"/>
      <c r="AS69"/>
      <c r="AT69"/>
      <c r="AU69"/>
    </row>
    <row r="70" spans="1:47" ht="18" customHeight="1" x14ac:dyDescent="0.2">
      <c r="A70" s="13">
        <v>2019</v>
      </c>
      <c r="B70" s="19"/>
      <c r="C70" s="13"/>
      <c r="D70" s="13"/>
      <c r="E70" s="13"/>
      <c r="F70" s="13"/>
      <c r="G70" s="13"/>
      <c r="H70" s="447">
        <v>14</v>
      </c>
      <c r="I70" s="338">
        <v>258</v>
      </c>
      <c r="J70" s="109">
        <v>508</v>
      </c>
      <c r="K70" s="109">
        <v>692</v>
      </c>
      <c r="L70" s="13"/>
      <c r="M70" s="155">
        <v>674</v>
      </c>
      <c r="N70" s="155">
        <f>280+358</f>
        <v>638</v>
      </c>
      <c r="O70" s="155">
        <f>283+172</f>
        <v>455</v>
      </c>
      <c r="P70" s="13"/>
      <c r="Q70" s="13"/>
      <c r="R70" s="13"/>
      <c r="S70" s="13"/>
      <c r="T70" s="13"/>
      <c r="U70" s="13"/>
      <c r="V70" s="13"/>
      <c r="W70" s="13"/>
      <c r="X70" s="29">
        <f>790+601</f>
        <v>1391</v>
      </c>
      <c r="Y70" s="7"/>
      <c r="Z70" s="58"/>
      <c r="AB70">
        <f>X70/MAX(B70:W70)</f>
        <v>2.0101156069364161</v>
      </c>
      <c r="AC70"/>
      <c r="AD70" s="275" t="s">
        <v>129</v>
      </c>
      <c r="AE70" s="167"/>
      <c r="AF70" s="167">
        <f>MAX(AF58:AF67)</f>
        <v>83</v>
      </c>
      <c r="AG70" s="289"/>
      <c r="AH70" s="167"/>
      <c r="AI70" s="167">
        <f>MAX(AI58:AI67)</f>
        <v>120</v>
      </c>
      <c r="AJ70" s="289" t="s">
        <v>170</v>
      </c>
      <c r="AK70" s="167">
        <f>AI53+AI70</f>
        <v>513.75</v>
      </c>
      <c r="AL70" s="262"/>
      <c r="AM70" s="277"/>
      <c r="AN70"/>
      <c r="AO70"/>
      <c r="AP70"/>
      <c r="AQ70"/>
      <c r="AR70"/>
      <c r="AS70"/>
      <c r="AT70"/>
      <c r="AU70"/>
    </row>
    <row r="71" spans="1:47" ht="18" customHeight="1" x14ac:dyDescent="0.2">
      <c r="A71" s="13">
        <v>2020</v>
      </c>
      <c r="B71" s="19"/>
      <c r="C71" s="13"/>
      <c r="D71" s="13"/>
      <c r="E71" s="13"/>
      <c r="F71" s="109">
        <v>16</v>
      </c>
      <c r="G71" s="109">
        <v>59</v>
      </c>
      <c r="H71" s="13"/>
      <c r="I71" s="13"/>
      <c r="J71" s="13"/>
      <c r="K71" s="109">
        <v>153</v>
      </c>
      <c r="L71" s="13"/>
      <c r="M71" s="338">
        <v>394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768">
        <v>1293</v>
      </c>
      <c r="Y71" s="7"/>
      <c r="Z71" s="58"/>
      <c r="AB71">
        <f t="shared" ref="AB71:AB73" si="17">X71/MAX(B71:W71)</f>
        <v>3.281725888324873</v>
      </c>
      <c r="AC71"/>
      <c r="AD71" s="275" t="s">
        <v>130</v>
      </c>
      <c r="AE71" s="167"/>
      <c r="AF71" s="263">
        <v>40</v>
      </c>
      <c r="AG71" s="266"/>
      <c r="AH71" s="266"/>
      <c r="AI71" s="263">
        <v>45</v>
      </c>
      <c r="AJ71" s="266"/>
      <c r="AK71" s="266"/>
      <c r="AL71" s="262"/>
      <c r="AM71" s="277"/>
      <c r="AN71"/>
      <c r="AO71"/>
      <c r="AP71"/>
      <c r="AQ71"/>
      <c r="AR71"/>
      <c r="AS71"/>
      <c r="AT71"/>
      <c r="AU71"/>
    </row>
    <row r="72" spans="1:47" ht="18" customHeight="1" thickBot="1" x14ac:dyDescent="0.25">
      <c r="A72" s="13">
        <v>2021</v>
      </c>
      <c r="B72" s="19"/>
      <c r="C72" s="13"/>
      <c r="D72" s="13"/>
      <c r="E72" s="89"/>
      <c r="F72" s="89"/>
      <c r="G72" s="89"/>
      <c r="H72" s="109">
        <v>205</v>
      </c>
      <c r="I72" s="109">
        <v>685</v>
      </c>
      <c r="J72" s="109">
        <v>613</v>
      </c>
      <c r="K72" s="109">
        <v>529</v>
      </c>
      <c r="L72" s="89"/>
      <c r="M72" s="862">
        <v>0</v>
      </c>
      <c r="N72" s="13"/>
      <c r="O72" s="109">
        <v>477</v>
      </c>
      <c r="P72" s="13"/>
      <c r="Q72" s="13"/>
      <c r="R72" s="13"/>
      <c r="S72" s="13"/>
      <c r="T72" s="13"/>
      <c r="U72" s="13"/>
      <c r="V72" s="13"/>
      <c r="W72" s="13"/>
      <c r="X72" s="29">
        <v>1789</v>
      </c>
      <c r="Y72" s="7"/>
      <c r="Z72" s="58"/>
      <c r="AB72">
        <f t="shared" si="17"/>
        <v>2.6116788321167883</v>
      </c>
      <c r="AC72"/>
      <c r="AD72" s="283" t="s">
        <v>131</v>
      </c>
      <c r="AE72" s="284"/>
      <c r="AF72" s="285">
        <f>(0.5*SUM(AK59:AK67))/AF71</f>
        <v>114.2625</v>
      </c>
      <c r="AG72" s="287"/>
      <c r="AH72" s="287"/>
      <c r="AI72" s="285">
        <f>(0.5*SUM(AM59:AM67))/AI71</f>
        <v>128.35648148148147</v>
      </c>
      <c r="AJ72" s="287" t="s">
        <v>169</v>
      </c>
      <c r="AK72" s="285">
        <f>AI53+AI72</f>
        <v>522.10648148148152</v>
      </c>
      <c r="AL72" s="286"/>
      <c r="AM72" s="288"/>
      <c r="AN72"/>
      <c r="AO72"/>
      <c r="AP72"/>
      <c r="AQ72"/>
      <c r="AR72"/>
      <c r="AS72"/>
      <c r="AT72"/>
      <c r="AU72"/>
    </row>
    <row r="73" spans="1:47" s="150" customFormat="1" ht="18" customHeight="1" x14ac:dyDescent="0.2">
      <c r="A73" s="89">
        <v>2022</v>
      </c>
      <c r="B73" s="362"/>
      <c r="C73" s="89"/>
      <c r="D73" s="89"/>
      <c r="E73" s="89"/>
      <c r="F73" s="89"/>
      <c r="G73" s="108">
        <v>144</v>
      </c>
      <c r="H73" s="89"/>
      <c r="I73" s="108">
        <v>269</v>
      </c>
      <c r="J73" s="89"/>
      <c r="K73" s="925">
        <v>324</v>
      </c>
      <c r="L73" s="89"/>
      <c r="M73" s="328">
        <v>338</v>
      </c>
      <c r="N73" s="89"/>
      <c r="O73" s="109">
        <v>713</v>
      </c>
      <c r="P73" s="338">
        <v>670</v>
      </c>
      <c r="Q73" s="338">
        <v>523</v>
      </c>
      <c r="R73" s="89"/>
      <c r="S73" s="89"/>
      <c r="T73" s="89"/>
      <c r="U73" s="89"/>
      <c r="V73" s="89"/>
      <c r="W73" s="89"/>
      <c r="X73" s="21">
        <v>1360</v>
      </c>
      <c r="Y73" s="11"/>
      <c r="Z73" s="92">
        <v>30</v>
      </c>
      <c r="AB73">
        <f t="shared" si="17"/>
        <v>1.9074333800841514</v>
      </c>
      <c r="AC73" s="151"/>
      <c r="AD73" s="299"/>
      <c r="AE73" s="369"/>
      <c r="AF73" s="877"/>
      <c r="AG73" s="878"/>
      <c r="AH73" s="878"/>
      <c r="AI73" s="877"/>
      <c r="AJ73" s="878"/>
      <c r="AK73" s="877"/>
      <c r="AL73" s="879"/>
      <c r="AM73" s="879"/>
      <c r="AN73" s="151"/>
      <c r="AO73" s="151"/>
      <c r="AP73" s="151"/>
      <c r="AQ73" s="151"/>
      <c r="AR73" s="151"/>
      <c r="AS73" s="151"/>
      <c r="AT73" s="151"/>
      <c r="AU73" s="151"/>
    </row>
    <row r="74" spans="1:47" s="150" customFormat="1" ht="18" customHeight="1" x14ac:dyDescent="0.2">
      <c r="A74" s="89">
        <v>2023</v>
      </c>
      <c r="B74" s="362"/>
      <c r="C74" s="89"/>
      <c r="D74" s="89"/>
      <c r="E74" s="109">
        <v>0</v>
      </c>
      <c r="F74" s="89"/>
      <c r="G74" s="89"/>
      <c r="H74" s="109">
        <v>95</v>
      </c>
      <c r="I74" s="316">
        <v>238</v>
      </c>
      <c r="J74" s="316">
        <v>239</v>
      </c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21"/>
      <c r="Y74" s="11"/>
      <c r="Z74" s="92"/>
      <c r="AB74"/>
      <c r="AC74" s="151"/>
      <c r="AD74" s="299"/>
      <c r="AE74" s="369"/>
      <c r="AF74" s="877"/>
      <c r="AG74" s="878"/>
      <c r="AH74" s="878"/>
      <c r="AI74" s="877"/>
      <c r="AJ74" s="878"/>
      <c r="AK74" s="877"/>
      <c r="AL74" s="879"/>
      <c r="AM74" s="879"/>
      <c r="AN74" s="151"/>
      <c r="AO74" s="151"/>
      <c r="AP74" s="151"/>
      <c r="AQ74" s="151"/>
      <c r="AR74" s="151"/>
      <c r="AS74" s="151"/>
      <c r="AT74" s="151"/>
      <c r="AU74" s="151"/>
    </row>
    <row r="75" spans="1:47" ht="18" customHeight="1" x14ac:dyDescent="0.2">
      <c r="A75" s="64" t="s">
        <v>17</v>
      </c>
      <c r="B75" s="16"/>
      <c r="C75" s="16"/>
      <c r="D75" s="16"/>
      <c r="E75" s="16"/>
      <c r="F75" s="16">
        <f t="shared" ref="F75:S75" si="18">AVERAGE(F46:F60)</f>
        <v>6.5</v>
      </c>
      <c r="G75" s="16">
        <f t="shared" si="18"/>
        <v>106.66666666666667</v>
      </c>
      <c r="H75" s="16">
        <f t="shared" si="18"/>
        <v>144</v>
      </c>
      <c r="I75" s="16">
        <f t="shared" si="18"/>
        <v>181.14285714285714</v>
      </c>
      <c r="J75" s="16">
        <f t="shared" si="18"/>
        <v>204.28571428571428</v>
      </c>
      <c r="K75" s="16">
        <f t="shared" si="18"/>
        <v>278.57142857142856</v>
      </c>
      <c r="L75" s="16">
        <f t="shared" si="18"/>
        <v>567.4</v>
      </c>
      <c r="M75" s="16">
        <f t="shared" si="18"/>
        <v>443.66666666666669</v>
      </c>
      <c r="N75" s="16">
        <f t="shared" si="18"/>
        <v>450.875</v>
      </c>
      <c r="O75" s="16">
        <f t="shared" si="18"/>
        <v>707</v>
      </c>
      <c r="P75" s="16">
        <f t="shared" si="18"/>
        <v>231</v>
      </c>
      <c r="Q75" s="16">
        <f t="shared" si="18"/>
        <v>195</v>
      </c>
      <c r="R75" s="16">
        <f t="shared" si="18"/>
        <v>642.33333333333337</v>
      </c>
      <c r="S75" s="16">
        <f t="shared" si="18"/>
        <v>373</v>
      </c>
      <c r="T75" s="16"/>
      <c r="U75" s="16"/>
      <c r="V75" s="16"/>
      <c r="W75" s="16"/>
      <c r="X75" s="16">
        <f>AVERAGE(X46:X60)</f>
        <v>1038.1538461538462</v>
      </c>
      <c r="Y75" s="17"/>
      <c r="Z75" s="16">
        <f>AVERAGE(Z46:Z60)</f>
        <v>35.416666666666664</v>
      </c>
      <c r="AB75"/>
      <c r="AC75"/>
      <c r="AN75"/>
      <c r="AO75"/>
      <c r="AP75"/>
      <c r="AQ75"/>
      <c r="AR75"/>
      <c r="AS75"/>
      <c r="AT75"/>
      <c r="AU75"/>
    </row>
    <row r="76" spans="1:47" ht="18" customHeight="1" x14ac:dyDescent="0.2">
      <c r="A76" s="1"/>
      <c r="B76" s="1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3"/>
      <c r="AB76"/>
      <c r="AC76"/>
      <c r="AN76"/>
      <c r="AO76"/>
      <c r="AP76"/>
      <c r="AQ76"/>
      <c r="AR76"/>
      <c r="AS76"/>
      <c r="AT76"/>
      <c r="AU76"/>
    </row>
    <row r="77" spans="1:47" ht="18" customHeight="1" x14ac:dyDescent="0.2">
      <c r="A77" s="1002" t="s">
        <v>644</v>
      </c>
      <c r="B77" s="1003"/>
      <c r="C77" s="1003"/>
      <c r="D77" s="1003"/>
      <c r="E77" s="1003"/>
      <c r="F77" s="1003"/>
      <c r="G77" s="1003"/>
      <c r="H77" s="1003"/>
      <c r="I77" s="100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AB77"/>
      <c r="AC77"/>
      <c r="AN77"/>
      <c r="AO77"/>
      <c r="AP77"/>
      <c r="AQ77"/>
      <c r="AR77"/>
      <c r="AS77"/>
      <c r="AT77"/>
      <c r="AU77"/>
    </row>
    <row r="78" spans="1:47" ht="18" customHeight="1" thickBo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1"/>
      <c r="AB78" s="262"/>
      <c r="AC78" s="262"/>
      <c r="AN78"/>
      <c r="AO78"/>
      <c r="AP78"/>
      <c r="AQ78"/>
      <c r="AR78"/>
      <c r="AS78"/>
      <c r="AT78"/>
      <c r="AU78"/>
    </row>
    <row r="79" spans="1:47" ht="18" customHeight="1" thickTop="1" x14ac:dyDescent="0.2">
      <c r="A79" s="1004" t="s">
        <v>0</v>
      </c>
      <c r="B79" s="1006" t="s">
        <v>1</v>
      </c>
      <c r="C79" s="1006"/>
      <c r="D79" s="1006"/>
      <c r="E79" s="1006"/>
      <c r="F79" s="1006"/>
      <c r="G79" s="1006"/>
      <c r="H79" s="1006"/>
      <c r="I79" s="1006"/>
      <c r="J79" s="1006"/>
      <c r="K79" s="1006"/>
      <c r="L79" s="1006"/>
      <c r="M79" s="1006"/>
      <c r="N79" s="1006"/>
      <c r="O79" s="1006"/>
      <c r="P79" s="1006"/>
      <c r="Q79" s="1006"/>
      <c r="R79" s="1006"/>
      <c r="S79" s="1006"/>
      <c r="T79" s="1006"/>
      <c r="U79" s="1006"/>
      <c r="V79" s="1006"/>
      <c r="W79" s="1006"/>
      <c r="X79" s="1004" t="s">
        <v>2</v>
      </c>
      <c r="Y79" s="1010" t="s">
        <v>3</v>
      </c>
      <c r="Z79" s="1008" t="s">
        <v>4</v>
      </c>
      <c r="AB79"/>
      <c r="AC79"/>
      <c r="AN79"/>
      <c r="AO79"/>
      <c r="AP79"/>
      <c r="AQ79"/>
      <c r="AR79"/>
      <c r="AS79"/>
      <c r="AT79"/>
      <c r="AU79"/>
    </row>
    <row r="80" spans="1:47" ht="18" customHeight="1" thickBot="1" x14ac:dyDescent="0.25">
      <c r="A80" s="1005"/>
      <c r="B80" s="18">
        <v>81</v>
      </c>
      <c r="C80" s="18">
        <v>82</v>
      </c>
      <c r="D80" s="18">
        <v>83</v>
      </c>
      <c r="E80" s="18">
        <v>84</v>
      </c>
      <c r="F80" s="18">
        <v>91</v>
      </c>
      <c r="G80" s="18">
        <v>92</v>
      </c>
      <c r="H80" s="18">
        <v>93</v>
      </c>
      <c r="I80" s="18">
        <v>94</v>
      </c>
      <c r="J80" s="18">
        <v>101</v>
      </c>
      <c r="K80" s="18">
        <v>102</v>
      </c>
      <c r="L80" s="18">
        <v>103</v>
      </c>
      <c r="M80" s="18">
        <v>104</v>
      </c>
      <c r="N80" s="18">
        <v>105</v>
      </c>
      <c r="O80" s="18">
        <v>111</v>
      </c>
      <c r="P80" s="18">
        <v>112</v>
      </c>
      <c r="Q80" s="18">
        <v>113</v>
      </c>
      <c r="R80" s="18">
        <v>114</v>
      </c>
      <c r="S80" s="18">
        <v>115</v>
      </c>
      <c r="T80" s="18">
        <v>121</v>
      </c>
      <c r="U80" s="18">
        <v>122</v>
      </c>
      <c r="V80" s="18">
        <v>123</v>
      </c>
      <c r="W80" s="18">
        <v>124</v>
      </c>
      <c r="X80" s="1005"/>
      <c r="Y80" s="1011"/>
      <c r="Z80" s="1009"/>
      <c r="AA80" s="2" t="s">
        <v>398</v>
      </c>
      <c r="AB80"/>
      <c r="AC80"/>
      <c r="AN80"/>
      <c r="AO80"/>
      <c r="AP80"/>
      <c r="AQ80"/>
      <c r="AR80" s="575" t="s">
        <v>176</v>
      </c>
      <c r="AS80" s="837" t="s">
        <v>178</v>
      </c>
      <c r="AT80" s="669" t="s">
        <v>177</v>
      </c>
      <c r="AU80"/>
    </row>
    <row r="81" spans="1:47" ht="18" customHeight="1" x14ac:dyDescent="0.25">
      <c r="A81" s="1">
        <v>1995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13"/>
      <c r="U81" s="13"/>
      <c r="V81" s="13"/>
      <c r="W81" s="13"/>
      <c r="X81" s="7">
        <v>4000</v>
      </c>
      <c r="Y81" s="7" t="s">
        <v>7</v>
      </c>
      <c r="Z81" s="10"/>
      <c r="AA81" s="2">
        <f>MAX(B81:W81)</f>
        <v>0</v>
      </c>
      <c r="AB81"/>
      <c r="AC81"/>
      <c r="AD81" s="269" t="s">
        <v>117</v>
      </c>
      <c r="AE81" s="270" t="s">
        <v>118</v>
      </c>
      <c r="AF81" s="271" t="s">
        <v>119</v>
      </c>
      <c r="AG81" s="272"/>
      <c r="AH81" s="271" t="s">
        <v>120</v>
      </c>
      <c r="AI81" s="271"/>
      <c r="AJ81" s="272"/>
      <c r="AK81" s="273" t="s">
        <v>121</v>
      </c>
      <c r="AL81" s="272"/>
      <c r="AM81" s="274" t="s">
        <v>122</v>
      </c>
      <c r="AN81"/>
      <c r="AO81"/>
      <c r="AP81" s="851" t="s">
        <v>493</v>
      </c>
      <c r="AQ81" s="851" t="s">
        <v>106</v>
      </c>
      <c r="AR81" s="855" t="s">
        <v>496</v>
      </c>
      <c r="AS81" s="856" t="s">
        <v>496</v>
      </c>
      <c r="AT81" s="857" t="s">
        <v>496</v>
      </c>
      <c r="AU81"/>
    </row>
    <row r="82" spans="1:47" ht="18" customHeight="1" x14ac:dyDescent="0.25">
      <c r="A82" s="1">
        <v>1996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3"/>
      <c r="U82" s="13"/>
      <c r="V82" s="13"/>
      <c r="W82" s="13"/>
      <c r="X82" s="7">
        <v>10500</v>
      </c>
      <c r="Y82" s="7" t="s">
        <v>7</v>
      </c>
      <c r="Z82" s="10"/>
      <c r="AA82" s="2">
        <f t="shared" ref="AA82:AA103" si="19">MAX(B82:W82)</f>
        <v>0</v>
      </c>
      <c r="AB82"/>
      <c r="AC82"/>
      <c r="AD82" s="275" t="s">
        <v>540</v>
      </c>
      <c r="AE82" s="830" t="s">
        <v>349</v>
      </c>
      <c r="AF82" s="830" t="s">
        <v>146</v>
      </c>
      <c r="AG82" s="262"/>
      <c r="AH82" s="163" t="s">
        <v>148</v>
      </c>
      <c r="AI82" s="163" t="s">
        <v>147</v>
      </c>
      <c r="AJ82" s="262"/>
      <c r="AK82" s="164"/>
      <c r="AL82" s="262"/>
      <c r="AM82" s="276"/>
      <c r="AN82"/>
      <c r="AO82"/>
      <c r="AP82" s="852" t="s">
        <v>537</v>
      </c>
      <c r="AQ82" s="853">
        <v>44453</v>
      </c>
      <c r="AR82" s="854">
        <v>2</v>
      </c>
      <c r="AS82" s="854">
        <v>46</v>
      </c>
      <c r="AT82" s="854">
        <v>0</v>
      </c>
      <c r="AU82"/>
    </row>
    <row r="83" spans="1:47" ht="18" customHeight="1" x14ac:dyDescent="0.25">
      <c r="A83" s="1">
        <v>1997</v>
      </c>
      <c r="B83" s="6"/>
      <c r="C83" s="6"/>
      <c r="D83" s="6"/>
      <c r="E83" s="6"/>
      <c r="F83" s="6"/>
      <c r="G83" s="6"/>
      <c r="H83" s="6"/>
      <c r="I83" s="6"/>
      <c r="J83" s="359"/>
      <c r="K83" s="359"/>
      <c r="L83" s="359"/>
      <c r="M83" s="359">
        <v>2800</v>
      </c>
      <c r="N83" s="359">
        <v>4981</v>
      </c>
      <c r="O83" s="359"/>
      <c r="P83" s="6">
        <v>506</v>
      </c>
      <c r="Q83" s="6"/>
      <c r="R83" s="6"/>
      <c r="S83" s="6"/>
      <c r="T83" s="13"/>
      <c r="U83" s="13"/>
      <c r="V83" s="13"/>
      <c r="W83" s="13"/>
      <c r="X83" s="7"/>
      <c r="Y83" s="7" t="s">
        <v>7</v>
      </c>
      <c r="Z83" s="10"/>
      <c r="AA83" s="2">
        <f t="shared" si="19"/>
        <v>4981</v>
      </c>
      <c r="AB83"/>
      <c r="AC83"/>
      <c r="AD83" s="275" t="s">
        <v>127</v>
      </c>
      <c r="AE83" s="229">
        <v>44440</v>
      </c>
      <c r="AF83" s="167"/>
      <c r="AG83" s="262"/>
      <c r="AH83" s="262"/>
      <c r="AI83" s="263">
        <v>0</v>
      </c>
      <c r="AJ83" s="262"/>
      <c r="AK83" s="262"/>
      <c r="AL83" s="262"/>
      <c r="AM83" s="277"/>
      <c r="AN83"/>
      <c r="AO83"/>
      <c r="AP83" s="852" t="s">
        <v>537</v>
      </c>
      <c r="AQ83" s="853">
        <v>44462</v>
      </c>
      <c r="AR83" s="854">
        <v>4</v>
      </c>
      <c r="AS83" s="854">
        <v>221</v>
      </c>
      <c r="AT83" s="854">
        <v>164</v>
      </c>
      <c r="AU83"/>
    </row>
    <row r="84" spans="1:47" ht="18" customHeight="1" x14ac:dyDescent="0.25">
      <c r="A84" s="1">
        <v>1998</v>
      </c>
      <c r="B84" s="6"/>
      <c r="C84" s="6"/>
      <c r="D84" s="6"/>
      <c r="E84" s="6"/>
      <c r="F84" s="6">
        <v>0</v>
      </c>
      <c r="G84" s="6"/>
      <c r="H84" s="6">
        <v>106</v>
      </c>
      <c r="I84" s="6">
        <v>127</v>
      </c>
      <c r="J84" s="359">
        <v>287</v>
      </c>
      <c r="K84" s="359">
        <v>2510</v>
      </c>
      <c r="L84" s="359"/>
      <c r="M84" s="359">
        <v>8410</v>
      </c>
      <c r="N84" s="359">
        <v>7317</v>
      </c>
      <c r="O84" s="359">
        <v>3647</v>
      </c>
      <c r="P84" s="6"/>
      <c r="Q84" s="6"/>
      <c r="R84" s="6">
        <v>62</v>
      </c>
      <c r="S84" s="6"/>
      <c r="T84" s="13"/>
      <c r="U84" s="13"/>
      <c r="V84" s="13"/>
      <c r="W84" s="13"/>
      <c r="X84" s="7">
        <v>18385</v>
      </c>
      <c r="Y84" s="7" t="s">
        <v>7</v>
      </c>
      <c r="Z84" s="10"/>
      <c r="AA84" s="2">
        <f t="shared" si="19"/>
        <v>8410</v>
      </c>
      <c r="AB84">
        <f>X84/MAX(B84:W84)</f>
        <v>2.1860879904875148</v>
      </c>
      <c r="AC84"/>
      <c r="AD84" s="275"/>
      <c r="AE84" s="229">
        <v>44453</v>
      </c>
      <c r="AF84" s="263">
        <f>AR82+AR91</f>
        <v>54</v>
      </c>
      <c r="AG84" s="262"/>
      <c r="AH84" s="264">
        <v>0.9</v>
      </c>
      <c r="AI84" s="265">
        <f t="shared" ref="AI84:AI91" si="20">AF84/AH84</f>
        <v>60</v>
      </c>
      <c r="AJ84" s="262"/>
      <c r="AK84" s="265">
        <f>(AE84-AE83)*(AF84+AF83)</f>
        <v>702</v>
      </c>
      <c r="AL84" s="262"/>
      <c r="AM84" s="278">
        <f>(AE84-AE83)*(AI84+AI83)</f>
        <v>780</v>
      </c>
      <c r="AN84"/>
      <c r="AO84"/>
      <c r="AP84" s="852" t="s">
        <v>537</v>
      </c>
      <c r="AQ84" s="853">
        <v>44468</v>
      </c>
      <c r="AR84" s="854">
        <v>10</v>
      </c>
      <c r="AS84" s="854">
        <v>211</v>
      </c>
      <c r="AT84" s="854">
        <v>357</v>
      </c>
      <c r="AU84"/>
    </row>
    <row r="85" spans="1:47" ht="18" customHeight="1" x14ac:dyDescent="0.25">
      <c r="A85" s="1">
        <v>1999</v>
      </c>
      <c r="B85" s="6"/>
      <c r="C85" s="6"/>
      <c r="D85" s="6"/>
      <c r="E85" s="6"/>
      <c r="F85" s="6"/>
      <c r="G85" s="6"/>
      <c r="H85" s="6">
        <v>63</v>
      </c>
      <c r="I85" s="6"/>
      <c r="J85" s="359"/>
      <c r="K85" s="359">
        <v>527</v>
      </c>
      <c r="L85" s="359">
        <v>6176</v>
      </c>
      <c r="M85" s="359"/>
      <c r="N85" s="359">
        <v>497</v>
      </c>
      <c r="O85" s="359"/>
      <c r="P85" s="6"/>
      <c r="Q85" s="6"/>
      <c r="R85" s="6">
        <v>5</v>
      </c>
      <c r="S85" s="6">
        <v>0</v>
      </c>
      <c r="T85" s="13"/>
      <c r="U85" s="13"/>
      <c r="V85" s="13"/>
      <c r="W85" s="13"/>
      <c r="X85" s="9">
        <v>11678</v>
      </c>
      <c r="Y85" s="7" t="s">
        <v>7</v>
      </c>
      <c r="Z85" s="60"/>
      <c r="AA85" s="2">
        <f t="shared" si="19"/>
        <v>6176</v>
      </c>
      <c r="AB85">
        <f t="shared" ref="AB85:AB103" si="21">X85/MAX(B85:W85)</f>
        <v>1.8908678756476685</v>
      </c>
      <c r="AC85"/>
      <c r="AD85" s="275"/>
      <c r="AE85" s="229">
        <v>44462</v>
      </c>
      <c r="AF85" s="263">
        <f t="shared" ref="AF85:AF87" si="22">AR83+AR92</f>
        <v>91</v>
      </c>
      <c r="AG85" s="262"/>
      <c r="AH85" s="264">
        <v>0.9</v>
      </c>
      <c r="AI85" s="265">
        <f t="shared" si="20"/>
        <v>101.11111111111111</v>
      </c>
      <c r="AJ85" s="262"/>
      <c r="AK85" s="265">
        <f t="shared" ref="AK85:AK93" si="23">(AE85-AE84)*(AF85+AF84)</f>
        <v>1305</v>
      </c>
      <c r="AL85" s="262"/>
      <c r="AM85" s="278">
        <f t="shared" ref="AM85:AM93" si="24">(AE85-AE84)*(AI85+AI84)</f>
        <v>1450</v>
      </c>
      <c r="AN85"/>
      <c r="AO85"/>
      <c r="AP85" s="852" t="s">
        <v>537</v>
      </c>
      <c r="AQ85" s="853">
        <v>44474</v>
      </c>
      <c r="AR85" s="854">
        <v>11</v>
      </c>
      <c r="AS85" s="854">
        <v>208</v>
      </c>
      <c r="AT85" s="854">
        <v>602</v>
      </c>
      <c r="AU85"/>
    </row>
    <row r="86" spans="1:47" ht="18" customHeight="1" x14ac:dyDescent="0.25">
      <c r="A86" s="1">
        <v>2000</v>
      </c>
      <c r="B86" s="6"/>
      <c r="C86" s="6"/>
      <c r="D86" s="6"/>
      <c r="E86" s="6"/>
      <c r="F86" s="6"/>
      <c r="G86" s="6"/>
      <c r="H86" s="6">
        <v>104</v>
      </c>
      <c r="I86" s="6">
        <v>299</v>
      </c>
      <c r="J86" s="359"/>
      <c r="K86" s="359">
        <v>1287</v>
      </c>
      <c r="L86" s="359"/>
      <c r="M86" s="359"/>
      <c r="N86" s="359"/>
      <c r="O86" s="359"/>
      <c r="P86" s="6"/>
      <c r="Q86" s="6"/>
      <c r="R86" s="6"/>
      <c r="S86" s="6">
        <v>1</v>
      </c>
      <c r="T86" s="13"/>
      <c r="U86" s="13"/>
      <c r="V86" s="13"/>
      <c r="W86" s="13"/>
      <c r="X86" s="10">
        <v>4141</v>
      </c>
      <c r="Y86" s="7" t="s">
        <v>7</v>
      </c>
      <c r="Z86" s="60"/>
      <c r="AA86" s="2">
        <f t="shared" si="19"/>
        <v>1287</v>
      </c>
      <c r="AB86">
        <f t="shared" si="21"/>
        <v>3.2175602175602176</v>
      </c>
      <c r="AC86"/>
      <c r="AD86" s="279"/>
      <c r="AE86" s="229">
        <v>44468</v>
      </c>
      <c r="AF86" s="263">
        <f t="shared" si="22"/>
        <v>87</v>
      </c>
      <c r="AG86" s="262"/>
      <c r="AH86" s="264">
        <v>0.9</v>
      </c>
      <c r="AI86" s="265">
        <f t="shared" si="20"/>
        <v>96.666666666666657</v>
      </c>
      <c r="AJ86" s="262"/>
      <c r="AK86" s="265">
        <f t="shared" si="23"/>
        <v>1068</v>
      </c>
      <c r="AL86" s="262"/>
      <c r="AM86" s="278">
        <f t="shared" si="24"/>
        <v>1186.6666666666665</v>
      </c>
      <c r="AN86"/>
      <c r="AO86" s="858" t="s">
        <v>538</v>
      </c>
      <c r="AP86" s="859" t="s">
        <v>537</v>
      </c>
      <c r="AQ86" s="860">
        <v>44502</v>
      </c>
      <c r="AR86" s="858">
        <v>2</v>
      </c>
      <c r="AS86" s="858">
        <v>199</v>
      </c>
      <c r="AT86" s="858">
        <v>175</v>
      </c>
      <c r="AU86"/>
    </row>
    <row r="87" spans="1:47" ht="18" customHeight="1" x14ac:dyDescent="0.2">
      <c r="A87" s="1">
        <v>2001</v>
      </c>
      <c r="B87" s="6"/>
      <c r="C87" s="6"/>
      <c r="D87" s="6"/>
      <c r="E87" s="6"/>
      <c r="F87" s="6"/>
      <c r="G87" s="6">
        <v>97</v>
      </c>
      <c r="H87" s="6"/>
      <c r="I87" s="6"/>
      <c r="J87" s="359">
        <v>667</v>
      </c>
      <c r="K87" s="359"/>
      <c r="L87" s="359"/>
      <c r="M87" s="359"/>
      <c r="N87" s="359"/>
      <c r="O87" s="359"/>
      <c r="P87" s="6"/>
      <c r="Q87" s="6"/>
      <c r="R87" s="6"/>
      <c r="S87" s="6"/>
      <c r="T87" s="13"/>
      <c r="U87" s="13"/>
      <c r="V87" s="13"/>
      <c r="W87" s="13"/>
      <c r="X87" s="7">
        <v>823</v>
      </c>
      <c r="Y87" s="7" t="s">
        <v>7</v>
      </c>
      <c r="Z87" s="60"/>
      <c r="AA87" s="2">
        <f t="shared" si="19"/>
        <v>667</v>
      </c>
      <c r="AB87">
        <f t="shared" si="21"/>
        <v>1.2338830584707645</v>
      </c>
      <c r="AC87"/>
      <c r="AD87" s="280"/>
      <c r="AE87" s="229">
        <v>44474</v>
      </c>
      <c r="AF87" s="263">
        <f t="shared" si="22"/>
        <v>117</v>
      </c>
      <c r="AG87" s="262"/>
      <c r="AH87" s="264">
        <v>0.9</v>
      </c>
      <c r="AI87" s="265">
        <f t="shared" si="20"/>
        <v>130</v>
      </c>
      <c r="AJ87" s="262"/>
      <c r="AK87" s="265">
        <f t="shared" si="23"/>
        <v>1224</v>
      </c>
      <c r="AL87" s="262"/>
      <c r="AM87" s="278">
        <f t="shared" si="24"/>
        <v>1360</v>
      </c>
      <c r="AN87"/>
      <c r="AO87"/>
      <c r="AP87"/>
      <c r="AQ87"/>
      <c r="AR87"/>
      <c r="AS87"/>
      <c r="AT87"/>
      <c r="AU87"/>
    </row>
    <row r="88" spans="1:47" ht="18" customHeight="1" x14ac:dyDescent="0.2">
      <c r="A88" s="1">
        <v>2002</v>
      </c>
      <c r="B88" s="6"/>
      <c r="C88" s="6"/>
      <c r="D88" s="6"/>
      <c r="E88" s="6"/>
      <c r="F88" s="6"/>
      <c r="G88" s="6">
        <v>71</v>
      </c>
      <c r="H88" s="6"/>
      <c r="I88" s="6">
        <v>241</v>
      </c>
      <c r="J88" s="359">
        <v>348</v>
      </c>
      <c r="K88" s="359">
        <v>123</v>
      </c>
      <c r="L88" s="359">
        <v>964</v>
      </c>
      <c r="M88" s="359">
        <v>1908</v>
      </c>
      <c r="N88" s="359">
        <v>1099</v>
      </c>
      <c r="O88" s="359"/>
      <c r="P88" s="6"/>
      <c r="Q88" s="6"/>
      <c r="R88" s="6">
        <v>0</v>
      </c>
      <c r="S88" s="6"/>
      <c r="T88" s="13"/>
      <c r="U88" s="13"/>
      <c r="V88" s="13"/>
      <c r="W88" s="13"/>
      <c r="X88" s="7">
        <v>5902</v>
      </c>
      <c r="Y88" s="7" t="s">
        <v>7</v>
      </c>
      <c r="Z88" s="60"/>
      <c r="AA88" s="2">
        <f t="shared" si="19"/>
        <v>1908</v>
      </c>
      <c r="AB88">
        <f t="shared" si="21"/>
        <v>3.0932914046121591</v>
      </c>
      <c r="AC88"/>
      <c r="AD88" s="280"/>
      <c r="AE88" s="229">
        <v>44502</v>
      </c>
      <c r="AF88" s="263">
        <f>AR86+AR96</f>
        <v>48</v>
      </c>
      <c r="AG88" s="262"/>
      <c r="AH88" s="264">
        <v>0.8</v>
      </c>
      <c r="AI88" s="265">
        <f t="shared" si="20"/>
        <v>60</v>
      </c>
      <c r="AJ88" s="262"/>
      <c r="AK88" s="265">
        <f t="shared" si="23"/>
        <v>4620</v>
      </c>
      <c r="AL88" s="262"/>
      <c r="AM88" s="278">
        <f t="shared" si="24"/>
        <v>5320</v>
      </c>
      <c r="AN88"/>
      <c r="AO88"/>
      <c r="AP88"/>
      <c r="AQ88"/>
      <c r="AR88"/>
      <c r="AS88"/>
      <c r="AT88"/>
      <c r="AU88"/>
    </row>
    <row r="89" spans="1:47" ht="18" customHeight="1" x14ac:dyDescent="0.2">
      <c r="A89" s="1">
        <v>2003</v>
      </c>
      <c r="B89" s="6">
        <v>0</v>
      </c>
      <c r="C89" s="6"/>
      <c r="D89" s="6"/>
      <c r="E89" s="6"/>
      <c r="F89" s="6"/>
      <c r="G89" s="6"/>
      <c r="H89" s="6"/>
      <c r="I89" s="6"/>
      <c r="J89" s="359">
        <v>584</v>
      </c>
      <c r="K89" s="359"/>
      <c r="L89" s="359"/>
      <c r="M89" s="359"/>
      <c r="N89" s="359">
        <v>211</v>
      </c>
      <c r="O89" s="359">
        <v>607</v>
      </c>
      <c r="P89" s="6"/>
      <c r="Q89" s="6">
        <v>0</v>
      </c>
      <c r="R89" s="6"/>
      <c r="S89" s="6"/>
      <c r="T89" s="13"/>
      <c r="U89" s="13"/>
      <c r="V89" s="13"/>
      <c r="W89" s="13"/>
      <c r="X89" s="7">
        <v>3528</v>
      </c>
      <c r="Y89" s="7" t="s">
        <v>5</v>
      </c>
      <c r="Z89" s="60">
        <v>17</v>
      </c>
      <c r="AA89" s="2">
        <f t="shared" si="19"/>
        <v>607</v>
      </c>
      <c r="AB89">
        <f t="shared" si="21"/>
        <v>5.812191103789127</v>
      </c>
      <c r="AC89"/>
      <c r="AD89" s="280"/>
      <c r="AE89" s="229">
        <v>44515</v>
      </c>
      <c r="AF89" s="263">
        <v>0</v>
      </c>
      <c r="AG89" s="262"/>
      <c r="AH89" s="264">
        <v>0.9</v>
      </c>
      <c r="AI89" s="265">
        <f t="shared" si="20"/>
        <v>0</v>
      </c>
      <c r="AJ89" s="262"/>
      <c r="AK89" s="265">
        <f t="shared" si="23"/>
        <v>624</v>
      </c>
      <c r="AL89" s="262"/>
      <c r="AM89" s="278">
        <f t="shared" si="24"/>
        <v>780</v>
      </c>
      <c r="AN89"/>
      <c r="AO89"/>
      <c r="AP89"/>
      <c r="AQ89"/>
      <c r="AR89" s="575" t="s">
        <v>176</v>
      </c>
      <c r="AS89" s="837" t="s">
        <v>178</v>
      </c>
      <c r="AT89" s="669" t="s">
        <v>177</v>
      </c>
      <c r="AU89"/>
    </row>
    <row r="90" spans="1:47" ht="18" customHeight="1" x14ac:dyDescent="0.25">
      <c r="A90" s="1">
        <v>2004</v>
      </c>
      <c r="B90" s="6"/>
      <c r="C90" s="6"/>
      <c r="D90" s="6"/>
      <c r="E90" s="6"/>
      <c r="F90" s="6"/>
      <c r="G90" s="6"/>
      <c r="H90" s="6"/>
      <c r="I90" s="6">
        <v>702</v>
      </c>
      <c r="J90" s="359">
        <v>199</v>
      </c>
      <c r="K90" s="359">
        <v>2063</v>
      </c>
      <c r="L90" s="359">
        <v>3967</v>
      </c>
      <c r="M90" s="359">
        <v>4142</v>
      </c>
      <c r="N90" s="359">
        <v>3402</v>
      </c>
      <c r="O90" s="359"/>
      <c r="P90" s="6">
        <v>154</v>
      </c>
      <c r="Q90" s="6"/>
      <c r="R90" s="6"/>
      <c r="S90" s="6"/>
      <c r="T90" s="13"/>
      <c r="U90" s="13"/>
      <c r="V90" s="13"/>
      <c r="W90" s="13"/>
      <c r="X90" s="7">
        <v>13572</v>
      </c>
      <c r="Y90" s="7" t="s">
        <v>5</v>
      </c>
      <c r="Z90" s="60">
        <v>15</v>
      </c>
      <c r="AA90" s="2">
        <f t="shared" si="19"/>
        <v>4142</v>
      </c>
      <c r="AB90">
        <f t="shared" si="21"/>
        <v>3.2766779333655238</v>
      </c>
      <c r="AC90"/>
      <c r="AD90" s="280"/>
      <c r="AE90" s="229">
        <v>44517</v>
      </c>
      <c r="AF90" s="263">
        <v>0</v>
      </c>
      <c r="AG90" s="262"/>
      <c r="AH90" s="264">
        <v>0.9</v>
      </c>
      <c r="AI90" s="265">
        <f t="shared" si="20"/>
        <v>0</v>
      </c>
      <c r="AJ90" s="262"/>
      <c r="AK90" s="265">
        <f t="shared" si="23"/>
        <v>0</v>
      </c>
      <c r="AL90" s="262"/>
      <c r="AM90" s="278">
        <f t="shared" si="24"/>
        <v>0</v>
      </c>
      <c r="AN90"/>
      <c r="AO90"/>
      <c r="AP90" s="851" t="s">
        <v>493</v>
      </c>
      <c r="AQ90" s="851" t="s">
        <v>106</v>
      </c>
      <c r="AR90" s="855" t="s">
        <v>496</v>
      </c>
      <c r="AS90" s="856" t="s">
        <v>496</v>
      </c>
      <c r="AT90" s="857" t="s">
        <v>496</v>
      </c>
      <c r="AU90"/>
    </row>
    <row r="91" spans="1:47" ht="18" customHeight="1" x14ac:dyDescent="0.25">
      <c r="A91" s="1">
        <v>2005</v>
      </c>
      <c r="B91" s="6"/>
      <c r="C91" s="6"/>
      <c r="D91" s="6"/>
      <c r="E91" s="6"/>
      <c r="F91" s="6"/>
      <c r="G91" s="6"/>
      <c r="H91" s="6"/>
      <c r="I91" s="6"/>
      <c r="J91" s="359"/>
      <c r="K91" s="359"/>
      <c r="L91" s="359"/>
      <c r="M91" s="359"/>
      <c r="N91" s="359"/>
      <c r="O91" s="359"/>
      <c r="P91" s="6"/>
      <c r="Q91" s="6"/>
      <c r="R91" s="6"/>
      <c r="S91" s="6"/>
      <c r="T91" s="13"/>
      <c r="U91" s="13"/>
      <c r="V91" s="13"/>
      <c r="W91" s="13"/>
      <c r="X91" s="11"/>
      <c r="Y91" s="7" t="s">
        <v>7</v>
      </c>
      <c r="Z91" s="60"/>
      <c r="AA91" s="2">
        <f t="shared" si="19"/>
        <v>0</v>
      </c>
      <c r="AB91" t="e">
        <f t="shared" si="21"/>
        <v>#DIV/0!</v>
      </c>
      <c r="AC91"/>
      <c r="AD91" s="280"/>
      <c r="AE91" s="229">
        <v>44518</v>
      </c>
      <c r="AF91" s="263">
        <v>0</v>
      </c>
      <c r="AG91" s="262"/>
      <c r="AH91" s="264">
        <v>0.9</v>
      </c>
      <c r="AI91" s="265">
        <f t="shared" si="20"/>
        <v>0</v>
      </c>
      <c r="AJ91" s="262"/>
      <c r="AK91" s="265">
        <f t="shared" si="23"/>
        <v>0</v>
      </c>
      <c r="AL91" s="262"/>
      <c r="AM91" s="278">
        <f t="shared" si="24"/>
        <v>0</v>
      </c>
      <c r="AN91"/>
      <c r="AO91"/>
      <c r="AP91" s="858" t="s">
        <v>39</v>
      </c>
      <c r="AQ91" s="861">
        <v>44453</v>
      </c>
      <c r="AR91" s="858">
        <v>52</v>
      </c>
      <c r="AS91" s="858">
        <v>159</v>
      </c>
      <c r="AT91" s="858">
        <v>39</v>
      </c>
      <c r="AU91"/>
    </row>
    <row r="92" spans="1:47" ht="18" customHeight="1" x14ac:dyDescent="0.25">
      <c r="A92" s="1">
        <v>2006</v>
      </c>
      <c r="B92" s="6"/>
      <c r="C92" s="6"/>
      <c r="D92" s="6"/>
      <c r="E92" s="6"/>
      <c r="F92" s="6"/>
      <c r="G92" s="6"/>
      <c r="H92" s="6">
        <v>56</v>
      </c>
      <c r="I92" s="6">
        <v>152</v>
      </c>
      <c r="J92" s="359"/>
      <c r="K92" s="359"/>
      <c r="L92" s="359">
        <v>849</v>
      </c>
      <c r="M92" s="359"/>
      <c r="N92" s="359">
        <v>312</v>
      </c>
      <c r="O92" s="359"/>
      <c r="P92" s="6"/>
      <c r="Q92" s="6"/>
      <c r="R92" s="6"/>
      <c r="S92" s="6"/>
      <c r="T92" s="13"/>
      <c r="U92" s="13"/>
      <c r="V92" s="13"/>
      <c r="W92" s="13"/>
      <c r="X92" s="12">
        <v>2601</v>
      </c>
      <c r="Y92" s="7" t="s">
        <v>5</v>
      </c>
      <c r="Z92" s="60">
        <v>12</v>
      </c>
      <c r="AA92" s="2">
        <f t="shared" si="19"/>
        <v>849</v>
      </c>
      <c r="AB92">
        <f t="shared" si="21"/>
        <v>3.0636042402826855</v>
      </c>
      <c r="AC92"/>
      <c r="AD92" s="290"/>
      <c r="AE92" s="229">
        <v>44519</v>
      </c>
      <c r="AF92" s="55"/>
      <c r="AG92" s="55"/>
      <c r="AH92" s="55"/>
      <c r="AI92" s="263">
        <v>0</v>
      </c>
      <c r="AJ92" s="55"/>
      <c r="AK92" s="265">
        <f t="shared" si="23"/>
        <v>0</v>
      </c>
      <c r="AL92" s="262"/>
      <c r="AM92" s="278">
        <f t="shared" si="24"/>
        <v>0</v>
      </c>
      <c r="AN92"/>
      <c r="AO92"/>
      <c r="AP92" s="858"/>
      <c r="AQ92" s="861">
        <v>44462</v>
      </c>
      <c r="AR92" s="858">
        <v>87</v>
      </c>
      <c r="AS92" s="858">
        <v>464</v>
      </c>
      <c r="AT92" s="858">
        <v>170</v>
      </c>
      <c r="AU92"/>
    </row>
    <row r="93" spans="1:47" ht="18" customHeight="1" x14ac:dyDescent="0.25">
      <c r="A93" s="1">
        <v>2007</v>
      </c>
      <c r="B93" s="6"/>
      <c r="C93" s="6"/>
      <c r="D93" s="6"/>
      <c r="E93" s="6"/>
      <c r="F93" s="6"/>
      <c r="G93" s="6">
        <v>3</v>
      </c>
      <c r="H93" s="6"/>
      <c r="I93" s="6">
        <v>8</v>
      </c>
      <c r="J93" s="359">
        <v>175</v>
      </c>
      <c r="K93" s="359">
        <v>663</v>
      </c>
      <c r="L93" s="359"/>
      <c r="M93" s="359">
        <v>1186</v>
      </c>
      <c r="N93" s="359"/>
      <c r="O93" s="359"/>
      <c r="P93" s="6"/>
      <c r="Q93" s="6">
        <v>8</v>
      </c>
      <c r="R93" s="6"/>
      <c r="S93" s="6"/>
      <c r="T93" s="13"/>
      <c r="U93" s="13"/>
      <c r="V93" s="13"/>
      <c r="W93" s="13"/>
      <c r="X93" s="12">
        <v>4044</v>
      </c>
      <c r="Y93" s="7" t="s">
        <v>5</v>
      </c>
      <c r="Z93" s="60">
        <v>15</v>
      </c>
      <c r="AA93" s="2">
        <f t="shared" si="19"/>
        <v>1186</v>
      </c>
      <c r="AB93">
        <f t="shared" si="21"/>
        <v>3.4097807757166949</v>
      </c>
      <c r="AC93"/>
      <c r="AD93" s="275" t="s">
        <v>128</v>
      </c>
      <c r="AE93" s="229"/>
      <c r="AF93" s="176"/>
      <c r="AG93" s="262"/>
      <c r="AH93" s="177"/>
      <c r="AI93" s="178">
        <v>0</v>
      </c>
      <c r="AJ93" s="179"/>
      <c r="AK93" s="265">
        <f t="shared" si="23"/>
        <v>0</v>
      </c>
      <c r="AL93" s="262"/>
      <c r="AM93" s="278">
        <f t="shared" si="24"/>
        <v>0</v>
      </c>
      <c r="AN93"/>
      <c r="AO93"/>
      <c r="AP93" s="858"/>
      <c r="AQ93" s="861">
        <v>44468</v>
      </c>
      <c r="AR93" s="858">
        <v>77</v>
      </c>
      <c r="AS93" s="858">
        <v>402</v>
      </c>
      <c r="AT93" s="858">
        <v>395</v>
      </c>
      <c r="AU93"/>
    </row>
    <row r="94" spans="1:47" s="55" customFormat="1" ht="18" customHeight="1" x14ac:dyDescent="0.25">
      <c r="A94" s="13">
        <v>2008</v>
      </c>
      <c r="B94" s="13"/>
      <c r="C94" s="13"/>
      <c r="D94" s="13"/>
      <c r="E94" s="13"/>
      <c r="F94" s="13">
        <v>10</v>
      </c>
      <c r="G94" s="13"/>
      <c r="H94" s="13">
        <v>14</v>
      </c>
      <c r="I94" s="13"/>
      <c r="J94" s="19"/>
      <c r="K94" s="19">
        <v>2300</v>
      </c>
      <c r="L94" s="19"/>
      <c r="M94" s="19"/>
      <c r="N94" s="19">
        <v>9055</v>
      </c>
      <c r="O94" s="19"/>
      <c r="P94" s="13">
        <v>705</v>
      </c>
      <c r="Q94" s="13"/>
      <c r="R94" s="13"/>
      <c r="S94" s="13"/>
      <c r="T94" s="13"/>
      <c r="U94" s="13"/>
      <c r="V94" s="13"/>
      <c r="W94" s="13"/>
      <c r="X94" s="13">
        <v>15755</v>
      </c>
      <c r="Y94" s="7" t="s">
        <v>5</v>
      </c>
      <c r="Z94" s="58">
        <v>12</v>
      </c>
      <c r="AA94" s="2">
        <f t="shared" si="19"/>
        <v>9055</v>
      </c>
      <c r="AB94">
        <f t="shared" si="21"/>
        <v>1.7399226946438431</v>
      </c>
      <c r="AC94"/>
      <c r="AD94" s="275" t="s">
        <v>2</v>
      </c>
      <c r="AE94" s="167">
        <v>7</v>
      </c>
      <c r="AF94" s="167"/>
      <c r="AG94" s="167"/>
      <c r="AH94" s="262"/>
      <c r="AI94" s="262"/>
      <c r="AJ94" s="262"/>
      <c r="AK94" s="262"/>
      <c r="AL94" s="262"/>
      <c r="AM94" s="277"/>
      <c r="AN94"/>
      <c r="AO94"/>
      <c r="AP94" s="858"/>
      <c r="AQ94" s="861">
        <v>44474</v>
      </c>
      <c r="AR94" s="858">
        <v>106</v>
      </c>
      <c r="AS94" s="858">
        <v>321</v>
      </c>
      <c r="AT94" s="858">
        <v>573</v>
      </c>
      <c r="AU94"/>
    </row>
    <row r="95" spans="1:47" ht="18" customHeight="1" x14ac:dyDescent="0.2">
      <c r="A95" s="13">
        <v>2009</v>
      </c>
      <c r="B95" s="13"/>
      <c r="C95" s="13"/>
      <c r="D95" s="13"/>
      <c r="E95" s="13"/>
      <c r="F95" s="13"/>
      <c r="G95" s="13"/>
      <c r="H95" s="13">
        <v>49</v>
      </c>
      <c r="I95" s="13">
        <v>342</v>
      </c>
      <c r="J95" s="19">
        <v>969</v>
      </c>
      <c r="K95" s="19"/>
      <c r="L95" s="19">
        <v>1478</v>
      </c>
      <c r="M95" s="19">
        <v>9860</v>
      </c>
      <c r="N95" s="19"/>
      <c r="O95" s="19"/>
      <c r="P95" s="13"/>
      <c r="Q95" s="13"/>
      <c r="R95" s="13"/>
      <c r="S95" s="13"/>
      <c r="T95" s="13"/>
      <c r="U95" s="13"/>
      <c r="V95" s="13"/>
      <c r="W95" s="13"/>
      <c r="X95" s="13">
        <v>12460</v>
      </c>
      <c r="Y95" s="7" t="s">
        <v>5</v>
      </c>
      <c r="Z95" s="58">
        <v>15</v>
      </c>
      <c r="AA95" s="2">
        <f t="shared" si="19"/>
        <v>9860</v>
      </c>
      <c r="AB95">
        <f t="shared" si="21"/>
        <v>1.2636916835699796</v>
      </c>
      <c r="AC95"/>
      <c r="AD95" s="275" t="s">
        <v>129</v>
      </c>
      <c r="AE95" s="167"/>
      <c r="AF95" s="167">
        <f>MAX(AF83:AF93)</f>
        <v>117</v>
      </c>
      <c r="AG95" s="167"/>
      <c r="AH95" s="167"/>
      <c r="AI95" s="167">
        <f>MAX(AI83:AI93)</f>
        <v>130</v>
      </c>
      <c r="AJ95" s="167"/>
      <c r="AK95" s="167"/>
      <c r="AL95" s="262"/>
      <c r="AM95" s="277"/>
      <c r="AN95"/>
      <c r="AO95"/>
      <c r="AP95" s="858"/>
      <c r="AQ95" s="860">
        <v>44490</v>
      </c>
      <c r="AR95" s="858">
        <v>0</v>
      </c>
      <c r="AS95" s="858">
        <v>0</v>
      </c>
      <c r="AT95" s="858">
        <v>280</v>
      </c>
      <c r="AU95" t="s">
        <v>539</v>
      </c>
    </row>
    <row r="96" spans="1:47" ht="18" customHeight="1" x14ac:dyDescent="0.2">
      <c r="A96" s="13">
        <v>2010</v>
      </c>
      <c r="B96" s="13"/>
      <c r="C96" s="13"/>
      <c r="D96" s="13"/>
      <c r="E96" s="13"/>
      <c r="F96" s="13">
        <v>0</v>
      </c>
      <c r="G96" s="13"/>
      <c r="H96" s="13"/>
      <c r="I96" s="13"/>
      <c r="J96" s="19"/>
      <c r="K96" s="19">
        <f>345+626</f>
        <v>971</v>
      </c>
      <c r="L96" s="19"/>
      <c r="M96" s="19"/>
      <c r="N96" s="19">
        <f>460+1518</f>
        <v>1978</v>
      </c>
      <c r="O96" s="19"/>
      <c r="P96" s="13">
        <f>64+158</f>
        <v>222</v>
      </c>
      <c r="Q96" s="13"/>
      <c r="R96" s="13"/>
      <c r="S96" s="13"/>
      <c r="T96" s="13"/>
      <c r="U96" s="13"/>
      <c r="V96" s="13"/>
      <c r="W96" s="13"/>
      <c r="X96" s="13">
        <v>6125</v>
      </c>
      <c r="Y96" s="7"/>
      <c r="Z96" s="58"/>
      <c r="AA96" s="2">
        <f t="shared" si="19"/>
        <v>1978</v>
      </c>
      <c r="AB96">
        <f t="shared" si="21"/>
        <v>3.096562184024267</v>
      </c>
      <c r="AC96"/>
      <c r="AD96" s="275" t="s">
        <v>130</v>
      </c>
      <c r="AE96" s="167"/>
      <c r="AF96" s="263">
        <v>20</v>
      </c>
      <c r="AG96" s="167"/>
      <c r="AH96" s="262"/>
      <c r="AI96" s="263">
        <v>20</v>
      </c>
      <c r="AJ96" s="266"/>
      <c r="AK96" s="266"/>
      <c r="AL96" s="262"/>
      <c r="AM96" s="277"/>
      <c r="AN96"/>
      <c r="AO96"/>
      <c r="AP96" s="858"/>
      <c r="AQ96" s="860">
        <v>44502</v>
      </c>
      <c r="AR96" s="858">
        <v>46</v>
      </c>
      <c r="AS96" s="858">
        <v>278</v>
      </c>
      <c r="AT96" s="858">
        <v>123</v>
      </c>
      <c r="AU96"/>
    </row>
    <row r="97" spans="1:47" ht="18" customHeight="1" x14ac:dyDescent="0.2">
      <c r="A97" s="13">
        <v>2011</v>
      </c>
      <c r="B97" s="14"/>
      <c r="C97" s="13"/>
      <c r="D97" s="13"/>
      <c r="E97" s="13"/>
      <c r="F97" s="13"/>
      <c r="G97" s="13"/>
      <c r="H97" s="13">
        <v>26</v>
      </c>
      <c r="I97" s="13"/>
      <c r="J97" s="19">
        <v>5421</v>
      </c>
      <c r="K97" s="19">
        <v>4826</v>
      </c>
      <c r="L97" s="19"/>
      <c r="M97" s="19"/>
      <c r="N97" s="19">
        <v>3675</v>
      </c>
      <c r="O97" s="19">
        <v>1978</v>
      </c>
      <c r="P97" s="13"/>
      <c r="Q97" s="13">
        <v>14</v>
      </c>
      <c r="R97" s="13"/>
      <c r="S97" s="13"/>
      <c r="T97" s="13"/>
      <c r="U97" s="13">
        <v>0</v>
      </c>
      <c r="V97" s="13"/>
      <c r="W97" s="13"/>
      <c r="X97" s="13">
        <v>16000</v>
      </c>
      <c r="Y97" s="7" t="s">
        <v>5</v>
      </c>
      <c r="Z97" s="58">
        <v>14.5</v>
      </c>
      <c r="AA97" s="2">
        <f t="shared" si="19"/>
        <v>5421</v>
      </c>
      <c r="AB97">
        <f t="shared" si="21"/>
        <v>2.9514849658734552</v>
      </c>
      <c r="AC97"/>
      <c r="AD97" s="275" t="s">
        <v>131</v>
      </c>
      <c r="AE97" s="167"/>
      <c r="AF97" s="267">
        <f>(0.5*SUM(AK84:AK93))/AF96</f>
        <v>238.57499999999999</v>
      </c>
      <c r="AG97" s="167"/>
      <c r="AH97" s="262"/>
      <c r="AI97" s="267">
        <f>(0.5*SUM(AM84:AM93))/AI96</f>
        <v>271.91666666666663</v>
      </c>
      <c r="AJ97" s="266"/>
      <c r="AK97" s="266"/>
      <c r="AL97" s="262"/>
      <c r="AM97" s="277"/>
      <c r="AN97"/>
      <c r="AO97"/>
      <c r="AP97"/>
      <c r="AQ97"/>
      <c r="AR97"/>
      <c r="AS97"/>
      <c r="AT97"/>
      <c r="AU97"/>
    </row>
    <row r="98" spans="1:47" ht="18" customHeight="1" thickBot="1" x14ac:dyDescent="0.25">
      <c r="A98" s="13">
        <v>2012</v>
      </c>
      <c r="B98" s="14"/>
      <c r="C98" s="13"/>
      <c r="D98" s="13"/>
      <c r="E98" s="13"/>
      <c r="F98" s="13"/>
      <c r="G98" s="13">
        <v>7</v>
      </c>
      <c r="H98" s="13">
        <v>24</v>
      </c>
      <c r="I98" s="13"/>
      <c r="J98" s="19">
        <f>137+236</f>
        <v>373</v>
      </c>
      <c r="K98" s="19">
        <f>127+226</f>
        <v>353</v>
      </c>
      <c r="L98" s="19"/>
      <c r="M98" s="19">
        <f>2491+1012</f>
        <v>3503</v>
      </c>
      <c r="N98" s="19"/>
      <c r="O98" s="19"/>
      <c r="P98" s="13"/>
      <c r="Q98" s="13"/>
      <c r="R98" s="13"/>
      <c r="S98" s="13"/>
      <c r="T98" s="13"/>
      <c r="U98" s="13"/>
      <c r="V98" s="13"/>
      <c r="W98" s="13"/>
      <c r="X98" s="13">
        <v>5667</v>
      </c>
      <c r="Y98" s="7" t="s">
        <v>9</v>
      </c>
      <c r="Z98" s="58"/>
      <c r="AA98" s="2">
        <f t="shared" si="19"/>
        <v>3503</v>
      </c>
      <c r="AB98">
        <f t="shared" si="21"/>
        <v>1.6177562089637454</v>
      </c>
      <c r="AC98"/>
      <c r="AD98" s="291"/>
      <c r="AE98" s="286"/>
      <c r="AF98" s="286"/>
      <c r="AG98" s="286"/>
      <c r="AH98" s="286"/>
      <c r="AI98" s="286"/>
      <c r="AJ98" s="286"/>
      <c r="AK98" s="286"/>
      <c r="AL98" s="286"/>
      <c r="AM98" s="288"/>
      <c r="AN98"/>
      <c r="AO98"/>
      <c r="AP98"/>
      <c r="AQ98"/>
      <c r="AR98"/>
      <c r="AS98"/>
      <c r="AT98"/>
      <c r="AU98"/>
    </row>
    <row r="99" spans="1:47" ht="18" customHeight="1" thickBot="1" x14ac:dyDescent="0.25">
      <c r="A99" s="13">
        <v>2013</v>
      </c>
      <c r="B99" s="19"/>
      <c r="C99" s="13"/>
      <c r="D99" s="13"/>
      <c r="E99" s="13"/>
      <c r="F99" s="13"/>
      <c r="G99" s="13">
        <v>35</v>
      </c>
      <c r="H99" s="13"/>
      <c r="I99" s="13">
        <v>1067</v>
      </c>
      <c r="J99" s="19">
        <v>2939</v>
      </c>
      <c r="K99" s="19">
        <v>4948</v>
      </c>
      <c r="L99" s="19"/>
      <c r="M99" s="19">
        <v>6317</v>
      </c>
      <c r="N99" s="19">
        <v>4834</v>
      </c>
      <c r="O99" s="19">
        <v>1279</v>
      </c>
      <c r="P99" s="13"/>
      <c r="Q99" s="13">
        <v>85</v>
      </c>
      <c r="R99" s="13"/>
      <c r="S99" s="13"/>
      <c r="T99" s="13"/>
      <c r="U99" s="13"/>
      <c r="V99" s="13"/>
      <c r="W99" s="13"/>
      <c r="X99" s="13">
        <v>13948</v>
      </c>
      <c r="Y99" s="7" t="s">
        <v>5</v>
      </c>
      <c r="Z99" s="58"/>
      <c r="AA99" s="2">
        <f t="shared" si="19"/>
        <v>6317</v>
      </c>
      <c r="AB99">
        <f t="shared" si="21"/>
        <v>2.2080101313914833</v>
      </c>
      <c r="AC99"/>
      <c r="AN99"/>
      <c r="AO99"/>
      <c r="AP99"/>
      <c r="AQ99"/>
      <c r="AR99"/>
      <c r="AS99"/>
      <c r="AT99"/>
      <c r="AU99"/>
    </row>
    <row r="100" spans="1:47" ht="18" customHeight="1" x14ac:dyDescent="0.25">
      <c r="A100" s="13">
        <v>2014</v>
      </c>
      <c r="B100" s="19"/>
      <c r="C100" s="13"/>
      <c r="D100" s="13"/>
      <c r="E100" s="13"/>
      <c r="F100" s="13"/>
      <c r="G100" s="205">
        <v>6</v>
      </c>
      <c r="H100" s="187"/>
      <c r="I100" s="189">
        <f>20</f>
        <v>20</v>
      </c>
      <c r="J100" s="189">
        <f>482+586</f>
        <v>1068</v>
      </c>
      <c r="K100" s="186">
        <f>3314+2020</f>
        <v>5334</v>
      </c>
      <c r="L100" s="186">
        <f>5404+5675</f>
        <v>11079</v>
      </c>
      <c r="M100" s="187"/>
      <c r="N100" s="187"/>
      <c r="O100" s="187"/>
      <c r="P100" s="186">
        <v>5</v>
      </c>
      <c r="Q100" s="13"/>
      <c r="R100" s="13"/>
      <c r="S100" s="13"/>
      <c r="T100" s="13"/>
      <c r="U100" s="13"/>
      <c r="V100" s="13"/>
      <c r="W100" s="13"/>
      <c r="X100" s="13">
        <v>18920</v>
      </c>
      <c r="Y100" s="7" t="s">
        <v>5</v>
      </c>
      <c r="Z100" s="58">
        <v>15</v>
      </c>
      <c r="AA100" s="2">
        <f t="shared" si="19"/>
        <v>11079</v>
      </c>
      <c r="AB100">
        <f t="shared" si="21"/>
        <v>1.70773535517646</v>
      </c>
      <c r="AC100"/>
      <c r="AD100" s="269" t="s">
        <v>117</v>
      </c>
      <c r="AE100" s="270" t="s">
        <v>118</v>
      </c>
      <c r="AF100" s="271" t="s">
        <v>119</v>
      </c>
      <c r="AG100" s="272"/>
      <c r="AH100" s="271" t="s">
        <v>120</v>
      </c>
      <c r="AI100" s="271"/>
      <c r="AJ100" s="272"/>
      <c r="AK100" s="273" t="s">
        <v>121</v>
      </c>
      <c r="AL100" s="272"/>
      <c r="AM100" s="274" t="s">
        <v>122</v>
      </c>
      <c r="AN100"/>
      <c r="AO100"/>
      <c r="AP100"/>
      <c r="AQ100"/>
      <c r="AR100"/>
      <c r="AS100"/>
      <c r="AT100"/>
      <c r="AU100"/>
    </row>
    <row r="101" spans="1:47" ht="18" customHeight="1" x14ac:dyDescent="0.2">
      <c r="A101" s="13">
        <v>2015</v>
      </c>
      <c r="B101" s="19"/>
      <c r="C101" s="13"/>
      <c r="D101" s="13"/>
      <c r="E101" s="13"/>
      <c r="F101" s="13"/>
      <c r="G101" s="109">
        <v>62</v>
      </c>
      <c r="H101" s="109">
        <v>731</v>
      </c>
      <c r="I101" s="13"/>
      <c r="J101" s="437">
        <v>2415</v>
      </c>
      <c r="K101" s="481">
        <v>225</v>
      </c>
      <c r="L101" s="437">
        <v>4273</v>
      </c>
      <c r="M101" s="437">
        <v>1805</v>
      </c>
      <c r="N101" s="19"/>
      <c r="O101" s="437">
        <v>47</v>
      </c>
      <c r="P101" s="109">
        <v>18</v>
      </c>
      <c r="Q101" s="13"/>
      <c r="R101" s="13"/>
      <c r="S101" s="13"/>
      <c r="T101" s="13"/>
      <c r="U101" s="13"/>
      <c r="V101" s="13"/>
      <c r="W101" s="13"/>
      <c r="X101" s="13">
        <v>8208</v>
      </c>
      <c r="Y101" s="7" t="s">
        <v>5</v>
      </c>
      <c r="Z101" s="58">
        <v>15</v>
      </c>
      <c r="AA101" s="2">
        <f t="shared" si="19"/>
        <v>4273</v>
      </c>
      <c r="AB101">
        <f t="shared" si="21"/>
        <v>1.9208986660425931</v>
      </c>
      <c r="AC101"/>
      <c r="AD101" s="275" t="s">
        <v>540</v>
      </c>
      <c r="AE101" s="830" t="s">
        <v>326</v>
      </c>
      <c r="AF101" s="830" t="s">
        <v>146</v>
      </c>
      <c r="AG101" s="262"/>
      <c r="AH101" s="163" t="s">
        <v>148</v>
      </c>
      <c r="AI101" s="163" t="s">
        <v>147</v>
      </c>
      <c r="AJ101" s="262"/>
      <c r="AK101" s="164"/>
      <c r="AL101" s="262"/>
      <c r="AM101" s="276"/>
      <c r="AN101"/>
      <c r="AO101"/>
      <c r="AP101"/>
      <c r="AQ101"/>
      <c r="AR101"/>
      <c r="AS101"/>
      <c r="AT101"/>
      <c r="AU101"/>
    </row>
    <row r="102" spans="1:47" ht="18" customHeight="1" x14ac:dyDescent="0.2">
      <c r="A102" s="13">
        <v>2016</v>
      </c>
      <c r="B102" s="19"/>
      <c r="C102" s="13"/>
      <c r="D102" s="13"/>
      <c r="E102" s="13"/>
      <c r="F102" s="13"/>
      <c r="G102" s="109">
        <v>97</v>
      </c>
      <c r="H102" s="321">
        <v>126</v>
      </c>
      <c r="I102" s="13"/>
      <c r="J102" s="321">
        <v>595</v>
      </c>
      <c r="K102" s="155">
        <v>454</v>
      </c>
      <c r="L102" s="155">
        <v>1433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7"/>
      <c r="Z102" s="58"/>
      <c r="AA102" s="2">
        <f t="shared" si="19"/>
        <v>1433</v>
      </c>
      <c r="AB102"/>
      <c r="AC102"/>
      <c r="AD102" s="275" t="s">
        <v>127</v>
      </c>
      <c r="AE102" s="229">
        <v>44440</v>
      </c>
      <c r="AF102" s="167"/>
      <c r="AG102" s="262"/>
      <c r="AH102" s="262"/>
      <c r="AI102" s="263">
        <v>0</v>
      </c>
      <c r="AJ102" s="262"/>
      <c r="AK102" s="262"/>
      <c r="AL102" s="262"/>
      <c r="AM102" s="277"/>
      <c r="AN102"/>
      <c r="AO102"/>
      <c r="AP102"/>
      <c r="AQ102"/>
      <c r="AR102"/>
      <c r="AS102"/>
      <c r="AT102"/>
      <c r="AU102"/>
    </row>
    <row r="103" spans="1:47" ht="18" customHeight="1" x14ac:dyDescent="0.2">
      <c r="A103" s="13">
        <v>2017</v>
      </c>
      <c r="B103" s="19"/>
      <c r="C103" s="13"/>
      <c r="D103" s="13"/>
      <c r="E103" s="13"/>
      <c r="F103" s="109">
        <v>1</v>
      </c>
      <c r="G103" s="109">
        <v>721</v>
      </c>
      <c r="H103" s="109">
        <v>943</v>
      </c>
      <c r="I103" s="447">
        <v>729</v>
      </c>
      <c r="J103" s="13"/>
      <c r="K103" s="155">
        <f>1760+1180</f>
        <v>2940</v>
      </c>
      <c r="L103" s="13"/>
      <c r="M103" s="155">
        <v>7562</v>
      </c>
      <c r="N103" s="155">
        <v>3341</v>
      </c>
      <c r="O103" s="155">
        <v>867</v>
      </c>
      <c r="P103" s="13"/>
      <c r="Q103" s="13"/>
      <c r="R103" s="13"/>
      <c r="S103" s="13"/>
      <c r="T103" s="13"/>
      <c r="U103" s="13"/>
      <c r="V103" s="13"/>
      <c r="W103" s="13"/>
      <c r="X103" s="13">
        <f>5062+7530</f>
        <v>12592</v>
      </c>
      <c r="Y103" s="7"/>
      <c r="Z103" s="58">
        <v>15</v>
      </c>
      <c r="AA103" s="2">
        <f t="shared" si="19"/>
        <v>7562</v>
      </c>
      <c r="AB103">
        <f t="shared" si="21"/>
        <v>1.6651679449880983</v>
      </c>
      <c r="AC103"/>
      <c r="AD103" s="275"/>
      <c r="AE103" s="229">
        <v>44453</v>
      </c>
      <c r="AF103" s="263">
        <f>AS82+AS91</f>
        <v>205</v>
      </c>
      <c r="AG103" s="262"/>
      <c r="AH103" s="264">
        <v>0.9</v>
      </c>
      <c r="AI103" s="265">
        <f t="shared" ref="AI103:AI112" si="25">AF103/AH103</f>
        <v>227.77777777777777</v>
      </c>
      <c r="AJ103" s="262"/>
      <c r="AK103" s="265">
        <f>(AE103-AE102)*(AF103+AF102)</f>
        <v>2665</v>
      </c>
      <c r="AL103" s="262"/>
      <c r="AM103" s="278">
        <f>(AE103-AE102)*(AI103+AI102)</f>
        <v>2961.1111111111109</v>
      </c>
      <c r="AN103"/>
      <c r="AO103"/>
      <c r="AP103"/>
      <c r="AQ103"/>
      <c r="AR103"/>
      <c r="AS103"/>
      <c r="AT103"/>
      <c r="AU103"/>
    </row>
    <row r="104" spans="1:47" ht="18" customHeight="1" x14ac:dyDescent="0.2">
      <c r="A104" s="13">
        <v>2018</v>
      </c>
      <c r="B104" s="19"/>
      <c r="C104" s="13"/>
      <c r="D104" s="13"/>
      <c r="E104" s="13"/>
      <c r="F104" s="13"/>
      <c r="G104" s="109">
        <v>419</v>
      </c>
      <c r="H104" s="13"/>
      <c r="I104" s="109">
        <v>425</v>
      </c>
      <c r="J104" s="13"/>
      <c r="K104" s="155">
        <f>888+434</f>
        <v>1322</v>
      </c>
      <c r="L104" s="155">
        <f>1180+468</f>
        <v>1648</v>
      </c>
      <c r="M104" s="512">
        <v>1763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>
        <f>2765+1974</f>
        <v>4739</v>
      </c>
      <c r="Y104" s="7"/>
      <c r="Z104" s="58">
        <v>15</v>
      </c>
      <c r="AA104" s="2">
        <f>MAX(B104:W104)</f>
        <v>1763</v>
      </c>
      <c r="AB104">
        <f>X104/MAX(B104:W104)</f>
        <v>2.6880317640385707</v>
      </c>
      <c r="AC104"/>
      <c r="AD104" s="275"/>
      <c r="AE104" s="229">
        <v>44462</v>
      </c>
      <c r="AF104" s="263">
        <f t="shared" ref="AF104:AF106" si="26">AS83+AS92</f>
        <v>685</v>
      </c>
      <c r="AG104" s="262"/>
      <c r="AH104" s="264">
        <v>0.9</v>
      </c>
      <c r="AI104" s="265">
        <f t="shared" si="25"/>
        <v>761.11111111111109</v>
      </c>
      <c r="AJ104" s="262"/>
      <c r="AK104" s="265">
        <f t="shared" ref="AK104:AK114" si="27">(AE104-AE103)*(AF104+AF103)</f>
        <v>8010</v>
      </c>
      <c r="AL104" s="262"/>
      <c r="AM104" s="278">
        <f t="shared" ref="AM104:AM114" si="28">(AE104-AE103)*(AI104+AI103)</f>
        <v>8900</v>
      </c>
      <c r="AN104"/>
      <c r="AO104"/>
      <c r="AP104"/>
      <c r="AQ104"/>
      <c r="AR104"/>
      <c r="AS104"/>
      <c r="AT104"/>
      <c r="AU104"/>
    </row>
    <row r="105" spans="1:47" ht="18" customHeight="1" x14ac:dyDescent="0.2">
      <c r="A105" s="13">
        <v>2019</v>
      </c>
      <c r="B105" s="19"/>
      <c r="C105" s="13"/>
      <c r="D105" s="13"/>
      <c r="E105" s="13"/>
      <c r="F105" s="13"/>
      <c r="G105" s="13"/>
      <c r="H105" s="447">
        <v>6</v>
      </c>
      <c r="I105" s="109">
        <v>586</v>
      </c>
      <c r="J105" s="155">
        <v>769</v>
      </c>
      <c r="K105" s="155">
        <v>1080</v>
      </c>
      <c r="L105" s="13"/>
      <c r="M105" s="155">
        <f>874+298</f>
        <v>1172</v>
      </c>
      <c r="N105" s="155">
        <f>161+594</f>
        <v>755</v>
      </c>
      <c r="O105" s="155">
        <f>35+116</f>
        <v>151</v>
      </c>
      <c r="P105" s="13"/>
      <c r="Q105" s="13"/>
      <c r="R105" s="13"/>
      <c r="S105" s="13"/>
      <c r="T105" s="13"/>
      <c r="U105" s="13"/>
      <c r="V105" s="13"/>
      <c r="W105" s="13"/>
      <c r="X105" s="13">
        <v>2889</v>
      </c>
      <c r="Y105" s="7"/>
      <c r="Z105" s="58"/>
      <c r="AB105">
        <f>X105/MAX(B105:W105)</f>
        <v>2.4650170648464163</v>
      </c>
      <c r="AC105"/>
      <c r="AD105" s="279"/>
      <c r="AE105" s="229">
        <v>44468</v>
      </c>
      <c r="AF105" s="263">
        <f t="shared" si="26"/>
        <v>613</v>
      </c>
      <c r="AG105" s="262"/>
      <c r="AH105" s="264">
        <v>0.9</v>
      </c>
      <c r="AI105" s="265">
        <f t="shared" si="25"/>
        <v>681.11111111111109</v>
      </c>
      <c r="AJ105" s="262"/>
      <c r="AK105" s="265">
        <f t="shared" si="27"/>
        <v>7788</v>
      </c>
      <c r="AL105" s="262"/>
      <c r="AM105" s="278">
        <f t="shared" si="28"/>
        <v>8653.3333333333321</v>
      </c>
      <c r="AN105"/>
      <c r="AO105"/>
      <c r="AP105"/>
      <c r="AQ105"/>
      <c r="AR105"/>
      <c r="AS105"/>
      <c r="AT105"/>
      <c r="AU105"/>
    </row>
    <row r="106" spans="1:47" ht="18" customHeight="1" x14ac:dyDescent="0.2">
      <c r="A106" s="13">
        <v>2020</v>
      </c>
      <c r="B106" s="19"/>
      <c r="C106" s="13"/>
      <c r="D106" s="13"/>
      <c r="E106" s="13"/>
      <c r="F106" s="109">
        <v>0</v>
      </c>
      <c r="G106" s="109">
        <v>0</v>
      </c>
      <c r="H106" s="13"/>
      <c r="I106" s="13"/>
      <c r="J106" s="13"/>
      <c r="K106" s="338">
        <v>407</v>
      </c>
      <c r="L106" s="13"/>
      <c r="M106" s="155">
        <f>1090+912</f>
        <v>2002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47">
        <v>6282</v>
      </c>
      <c r="Y106" s="7"/>
      <c r="Z106" s="58"/>
      <c r="AB106">
        <f t="shared" ref="AB106:AB107" si="29">X106/MAX(B106:W106)</f>
        <v>3.1378621378621379</v>
      </c>
      <c r="AC106"/>
      <c r="AD106" s="280"/>
      <c r="AE106" s="229">
        <v>44474</v>
      </c>
      <c r="AF106" s="263">
        <f t="shared" si="26"/>
        <v>529</v>
      </c>
      <c r="AG106" s="262"/>
      <c r="AH106" s="264">
        <v>0.9</v>
      </c>
      <c r="AI106" s="265">
        <f t="shared" si="25"/>
        <v>587.77777777777771</v>
      </c>
      <c r="AJ106" s="262"/>
      <c r="AK106" s="265">
        <f t="shared" si="27"/>
        <v>6852</v>
      </c>
      <c r="AL106" s="262"/>
      <c r="AM106" s="278">
        <f t="shared" si="28"/>
        <v>7613.3333333333321</v>
      </c>
      <c r="AN106"/>
      <c r="AO106"/>
      <c r="AP106"/>
      <c r="AQ106"/>
      <c r="AR106"/>
      <c r="AS106"/>
      <c r="AT106"/>
      <c r="AU106"/>
    </row>
    <row r="107" spans="1:47" s="150" customFormat="1" ht="18" customHeight="1" x14ac:dyDescent="0.2">
      <c r="A107" s="89">
        <v>2021</v>
      </c>
      <c r="B107" s="362"/>
      <c r="C107" s="89"/>
      <c r="D107" s="89"/>
      <c r="E107" s="89"/>
      <c r="F107" s="89"/>
      <c r="G107" s="89"/>
      <c r="H107" s="109">
        <v>39</v>
      </c>
      <c r="I107" s="109">
        <v>334</v>
      </c>
      <c r="J107" s="109">
        <v>752</v>
      </c>
      <c r="K107" s="338">
        <v>1175</v>
      </c>
      <c r="L107" s="89"/>
      <c r="M107" s="512">
        <v>280</v>
      </c>
      <c r="N107" s="89"/>
      <c r="O107" s="109">
        <v>298</v>
      </c>
      <c r="P107" s="89"/>
      <c r="Q107" s="89"/>
      <c r="R107" s="89"/>
      <c r="S107" s="89"/>
      <c r="T107" s="89"/>
      <c r="U107" s="89"/>
      <c r="V107" s="89"/>
      <c r="W107" s="89"/>
      <c r="X107" s="89">
        <v>3089</v>
      </c>
      <c r="Y107" s="11"/>
      <c r="Z107" s="92"/>
      <c r="AB107">
        <f t="shared" si="29"/>
        <v>2.628936170212766</v>
      </c>
      <c r="AC107" s="151"/>
      <c r="AD107" s="280"/>
      <c r="AE107" s="229">
        <v>44502</v>
      </c>
      <c r="AF107" s="263">
        <f>AS86+AS96</f>
        <v>477</v>
      </c>
      <c r="AG107" s="262"/>
      <c r="AH107" s="264">
        <v>0.8</v>
      </c>
      <c r="AI107" s="265">
        <f t="shared" si="25"/>
        <v>596.25</v>
      </c>
      <c r="AJ107" s="262"/>
      <c r="AK107" s="265">
        <f t="shared" si="27"/>
        <v>28168</v>
      </c>
      <c r="AL107" s="262"/>
      <c r="AM107" s="278">
        <f t="shared" si="28"/>
        <v>33152.777777777781</v>
      </c>
      <c r="AN107" s="151"/>
      <c r="AO107" s="151"/>
      <c r="AP107" s="151"/>
      <c r="AQ107" s="151"/>
      <c r="AR107" s="151"/>
      <c r="AS107" s="151"/>
      <c r="AT107" s="151"/>
      <c r="AU107" s="151"/>
    </row>
    <row r="108" spans="1:47" s="150" customFormat="1" ht="18" customHeight="1" x14ac:dyDescent="0.2">
      <c r="A108" s="89">
        <v>2022</v>
      </c>
      <c r="B108" s="362"/>
      <c r="C108" s="89"/>
      <c r="D108" s="89"/>
      <c r="E108" s="89"/>
      <c r="F108" s="89"/>
      <c r="G108" s="108">
        <v>11</v>
      </c>
      <c r="H108" s="89"/>
      <c r="I108" s="108">
        <v>20</v>
      </c>
      <c r="J108" s="89"/>
      <c r="K108" s="926">
        <v>94</v>
      </c>
      <c r="L108" s="89"/>
      <c r="M108" s="924">
        <v>134</v>
      </c>
      <c r="N108" s="89"/>
      <c r="O108" s="590">
        <v>1357</v>
      </c>
      <c r="P108" s="155">
        <v>820</v>
      </c>
      <c r="Q108" s="155">
        <v>172</v>
      </c>
      <c r="R108" s="89"/>
      <c r="S108" s="89"/>
      <c r="T108" s="89"/>
      <c r="U108" s="89"/>
      <c r="V108" s="89"/>
      <c r="W108" s="89"/>
      <c r="X108" s="89"/>
      <c r="Y108" s="11"/>
      <c r="Z108" s="92"/>
      <c r="AB108" s="151"/>
      <c r="AC108" s="151"/>
      <c r="AD108" s="880"/>
      <c r="AE108" s="185"/>
      <c r="AF108" s="879"/>
      <c r="AG108" s="879"/>
      <c r="AH108" s="881"/>
      <c r="AI108" s="882"/>
      <c r="AJ108" s="879"/>
      <c r="AK108" s="882"/>
      <c r="AL108" s="879"/>
      <c r="AM108" s="883"/>
      <c r="AN108" s="151"/>
      <c r="AO108" s="151"/>
      <c r="AP108" s="151"/>
      <c r="AQ108" s="151"/>
      <c r="AR108" s="151"/>
      <c r="AS108" s="151"/>
      <c r="AT108" s="151"/>
      <c r="AU108" s="151"/>
    </row>
    <row r="109" spans="1:47" s="150" customFormat="1" ht="18" customHeight="1" x14ac:dyDescent="0.2">
      <c r="A109" s="89">
        <v>2023</v>
      </c>
      <c r="B109" s="362"/>
      <c r="C109" s="89"/>
      <c r="D109" s="89"/>
      <c r="E109" s="109">
        <v>0</v>
      </c>
      <c r="F109" s="89"/>
      <c r="G109" s="89"/>
      <c r="H109" s="109">
        <v>8</v>
      </c>
      <c r="I109" s="316">
        <v>119</v>
      </c>
      <c r="J109" s="987">
        <v>178</v>
      </c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11"/>
      <c r="Z109" s="92"/>
      <c r="AB109" s="151"/>
      <c r="AC109" s="151"/>
      <c r="AD109" s="880"/>
      <c r="AE109" s="185"/>
      <c r="AF109" s="879"/>
      <c r="AG109" s="879"/>
      <c r="AH109" s="881"/>
      <c r="AI109" s="882"/>
      <c r="AJ109" s="879"/>
      <c r="AK109" s="882"/>
      <c r="AL109" s="879"/>
      <c r="AM109" s="883"/>
      <c r="AN109" s="151"/>
      <c r="AO109" s="151"/>
      <c r="AP109" s="151"/>
      <c r="AQ109" s="151"/>
      <c r="AR109" s="151"/>
      <c r="AS109" s="151"/>
      <c r="AT109" s="151"/>
      <c r="AU109" s="151"/>
    </row>
    <row r="110" spans="1:47" ht="18" customHeight="1" x14ac:dyDescent="0.2">
      <c r="A110" s="64" t="s">
        <v>17</v>
      </c>
      <c r="B110" s="16"/>
      <c r="C110" s="16"/>
      <c r="D110" s="16"/>
      <c r="E110" s="16"/>
      <c r="F110" s="16">
        <f t="shared" ref="F110:S110" si="30">AVERAGE(F81:F95)</f>
        <v>5</v>
      </c>
      <c r="G110" s="16">
        <f t="shared" si="30"/>
        <v>57</v>
      </c>
      <c r="H110" s="16">
        <f t="shared" si="30"/>
        <v>65.333333333333329</v>
      </c>
      <c r="I110" s="16">
        <f t="shared" si="30"/>
        <v>267.28571428571428</v>
      </c>
      <c r="J110" s="16">
        <f t="shared" si="30"/>
        <v>461.28571428571428</v>
      </c>
      <c r="K110" s="16">
        <f t="shared" si="30"/>
        <v>1353.2857142857142</v>
      </c>
      <c r="L110" s="16">
        <f t="shared" si="30"/>
        <v>2686.8</v>
      </c>
      <c r="M110" s="16">
        <f t="shared" si="30"/>
        <v>4717.666666666667</v>
      </c>
      <c r="N110" s="16">
        <f t="shared" si="30"/>
        <v>3359.25</v>
      </c>
      <c r="O110" s="16">
        <f t="shared" si="30"/>
        <v>2127</v>
      </c>
      <c r="P110" s="16">
        <f t="shared" si="30"/>
        <v>455</v>
      </c>
      <c r="Q110" s="16">
        <f t="shared" si="30"/>
        <v>4</v>
      </c>
      <c r="R110" s="16">
        <f t="shared" si="30"/>
        <v>22.333333333333332</v>
      </c>
      <c r="S110" s="16">
        <f t="shared" si="30"/>
        <v>0.5</v>
      </c>
      <c r="T110" s="16"/>
      <c r="U110" s="16"/>
      <c r="V110" s="16"/>
      <c r="W110" s="16"/>
      <c r="X110" s="16">
        <f>AVERAGE(X81:X101)</f>
        <v>9276.6842105263149</v>
      </c>
      <c r="Y110" s="17"/>
      <c r="Z110" s="16">
        <f>AVERAGE(Z81:Z101)</f>
        <v>14.5</v>
      </c>
      <c r="AD110" s="280"/>
      <c r="AE110" s="229">
        <v>44531</v>
      </c>
      <c r="AF110" s="263">
        <v>0</v>
      </c>
      <c r="AG110" s="262"/>
      <c r="AH110" s="264">
        <v>0.9</v>
      </c>
      <c r="AI110" s="265">
        <f t="shared" si="25"/>
        <v>0</v>
      </c>
      <c r="AJ110" s="262"/>
      <c r="AK110" s="265">
        <f>(AE110-AE107)*(AF110+AF107)</f>
        <v>13833</v>
      </c>
      <c r="AL110" s="262"/>
      <c r="AM110" s="278">
        <f>(AE110-AE107)*(AI110+AI107)</f>
        <v>17291.25</v>
      </c>
    </row>
    <row r="111" spans="1:47" x14ac:dyDescent="0.2">
      <c r="B111" s="14"/>
      <c r="AD111" s="280"/>
      <c r="AE111" s="229">
        <v>44532</v>
      </c>
      <c r="AF111" s="263">
        <v>0</v>
      </c>
      <c r="AG111" s="262"/>
      <c r="AH111" s="264">
        <v>0.9</v>
      </c>
      <c r="AI111" s="265">
        <f t="shared" si="25"/>
        <v>0</v>
      </c>
      <c r="AJ111" s="262"/>
      <c r="AK111" s="265">
        <f t="shared" si="27"/>
        <v>0</v>
      </c>
      <c r="AL111" s="262"/>
      <c r="AM111" s="278">
        <f t="shared" si="28"/>
        <v>0</v>
      </c>
    </row>
    <row r="112" spans="1:47" ht="25.5" x14ac:dyDescent="0.25">
      <c r="A112" s="260" t="s">
        <v>117</v>
      </c>
      <c r="B112" s="260" t="s">
        <v>118</v>
      </c>
      <c r="C112" s="261" t="s">
        <v>119</v>
      </c>
      <c r="D112"/>
      <c r="E112" s="261" t="s">
        <v>120</v>
      </c>
      <c r="F112" s="261"/>
      <c r="G112"/>
      <c r="H112" s="160" t="s">
        <v>121</v>
      </c>
      <c r="I112"/>
      <c r="J112" s="161" t="s">
        <v>122</v>
      </c>
      <c r="AD112" s="280"/>
      <c r="AE112" s="229">
        <v>44533</v>
      </c>
      <c r="AF112" s="263">
        <v>0</v>
      </c>
      <c r="AG112" s="262"/>
      <c r="AH112" s="264">
        <v>0.9</v>
      </c>
      <c r="AI112" s="265">
        <f t="shared" si="25"/>
        <v>0</v>
      </c>
      <c r="AJ112" s="262"/>
      <c r="AK112" s="265">
        <f t="shared" si="27"/>
        <v>0</v>
      </c>
      <c r="AL112" s="262"/>
      <c r="AM112" s="278">
        <f t="shared" si="28"/>
        <v>0</v>
      </c>
    </row>
    <row r="113" spans="1:39" x14ac:dyDescent="0.2">
      <c r="A113" s="162"/>
      <c r="B113" s="162"/>
      <c r="C113" s="162" t="s">
        <v>146</v>
      </c>
      <c r="D113"/>
      <c r="E113" s="163" t="s">
        <v>148</v>
      </c>
      <c r="F113" s="163" t="s">
        <v>147</v>
      </c>
      <c r="G113"/>
      <c r="H113" s="164"/>
      <c r="I113"/>
      <c r="J113" s="164"/>
      <c r="AD113" s="290"/>
      <c r="AE113" s="229">
        <v>44534</v>
      </c>
      <c r="AF113" s="55"/>
      <c r="AG113" s="55"/>
      <c r="AH113" s="55"/>
      <c r="AI113" s="263">
        <v>0</v>
      </c>
      <c r="AJ113" s="55"/>
      <c r="AK113" s="265">
        <f t="shared" si="27"/>
        <v>0</v>
      </c>
      <c r="AL113" s="262"/>
      <c r="AM113" s="278">
        <f t="shared" si="28"/>
        <v>0</v>
      </c>
    </row>
    <row r="114" spans="1:39" x14ac:dyDescent="0.2">
      <c r="A114" s="165"/>
      <c r="B114" s="166"/>
      <c r="C114" s="167"/>
      <c r="D114"/>
      <c r="E114"/>
      <c r="F114"/>
      <c r="G114"/>
      <c r="H114"/>
      <c r="I114"/>
      <c r="J114"/>
      <c r="AD114" s="275" t="s">
        <v>128</v>
      </c>
      <c r="AE114" s="229"/>
      <c r="AF114" s="176"/>
      <c r="AG114" s="262"/>
      <c r="AH114" s="177"/>
      <c r="AI114" s="178">
        <v>0</v>
      </c>
      <c r="AJ114" s="179"/>
      <c r="AK114" s="265">
        <f t="shared" si="27"/>
        <v>0</v>
      </c>
      <c r="AL114" s="262"/>
      <c r="AM114" s="278">
        <f t="shared" si="28"/>
        <v>0</v>
      </c>
    </row>
    <row r="115" spans="1:39" x14ac:dyDescent="0.2">
      <c r="A115" s="165" t="s">
        <v>167</v>
      </c>
      <c r="B115" s="166"/>
      <c r="C115" s="167"/>
      <c r="D115"/>
      <c r="E115"/>
      <c r="F115"/>
      <c r="G115"/>
      <c r="H115"/>
      <c r="I115"/>
      <c r="J115"/>
      <c r="AD115" s="275" t="s">
        <v>2</v>
      </c>
      <c r="AE115" s="167">
        <v>7</v>
      </c>
      <c r="AF115" s="167"/>
      <c r="AG115" s="167"/>
      <c r="AH115" s="262"/>
      <c r="AI115" s="262"/>
      <c r="AJ115" s="262"/>
      <c r="AK115" s="262"/>
      <c r="AL115" s="262"/>
      <c r="AM115" s="277"/>
    </row>
    <row r="116" spans="1:39" x14ac:dyDescent="0.2">
      <c r="A116" s="165" t="s">
        <v>127</v>
      </c>
      <c r="B116" s="229">
        <v>42248</v>
      </c>
      <c r="C116" s="167"/>
      <c r="D116"/>
      <c r="E116"/>
      <c r="F116" s="169">
        <v>0</v>
      </c>
      <c r="G116"/>
      <c r="H116"/>
      <c r="I116"/>
      <c r="J116"/>
      <c r="AD116" s="275" t="s">
        <v>129</v>
      </c>
      <c r="AE116" s="167"/>
      <c r="AF116" s="167">
        <f>MAX(AF102:AF114)</f>
        <v>685</v>
      </c>
      <c r="AG116" s="167"/>
      <c r="AH116" s="167"/>
      <c r="AI116" s="167">
        <f>MAX(AI102:AI114)</f>
        <v>761.11111111111109</v>
      </c>
      <c r="AJ116" s="167"/>
      <c r="AK116" s="167"/>
      <c r="AL116" s="262"/>
      <c r="AM116" s="277"/>
    </row>
    <row r="117" spans="1:39" x14ac:dyDescent="0.2">
      <c r="A117" s="165"/>
      <c r="B117" s="229">
        <v>42256</v>
      </c>
      <c r="C117" s="170">
        <v>27</v>
      </c>
      <c r="D117"/>
      <c r="E117" s="171">
        <v>0.8</v>
      </c>
      <c r="F117" s="172">
        <f t="shared" ref="F117:F124" si="31">C117/E117</f>
        <v>33.75</v>
      </c>
      <c r="G117"/>
      <c r="H117" s="172">
        <f t="shared" ref="H117:H125" si="32">(B117-B116)*(C117+C116)</f>
        <v>216</v>
      </c>
      <c r="I117"/>
      <c r="J117" s="172">
        <f t="shared" ref="J117:J125" si="33">(B117-B116)*(F117+F116)</f>
        <v>270</v>
      </c>
      <c r="AD117" s="275" t="s">
        <v>130</v>
      </c>
      <c r="AE117" s="167"/>
      <c r="AF117" s="263">
        <v>30</v>
      </c>
      <c r="AG117" s="167"/>
      <c r="AH117" s="262"/>
      <c r="AI117" s="263">
        <v>30</v>
      </c>
      <c r="AJ117" s="266"/>
      <c r="AK117" s="266"/>
      <c r="AL117" s="262"/>
      <c r="AM117" s="277"/>
    </row>
    <row r="118" spans="1:39" x14ac:dyDescent="0.2">
      <c r="A118" s="165"/>
      <c r="B118" s="229">
        <v>42263</v>
      </c>
      <c r="C118" s="170">
        <v>325</v>
      </c>
      <c r="D118"/>
      <c r="E118" s="171">
        <v>0.9</v>
      </c>
      <c r="F118" s="172">
        <f t="shared" si="31"/>
        <v>361.11111111111109</v>
      </c>
      <c r="G118"/>
      <c r="H118" s="172">
        <f t="shared" si="32"/>
        <v>2464</v>
      </c>
      <c r="I118"/>
      <c r="J118" s="172">
        <f t="shared" si="33"/>
        <v>2764.0277777777774</v>
      </c>
      <c r="AD118" s="275" t="s">
        <v>131</v>
      </c>
      <c r="AE118" s="167"/>
      <c r="AF118" s="267">
        <f>(0.5*SUM(AK103:AK114))/AF117</f>
        <v>1121.9333333333334</v>
      </c>
      <c r="AG118" s="167"/>
      <c r="AH118" s="262"/>
      <c r="AI118" s="267">
        <f>(0.5*SUM(AM103:AM114))/AI117</f>
        <v>1309.5300925925926</v>
      </c>
      <c r="AJ118" s="266"/>
      <c r="AK118" s="266"/>
      <c r="AL118" s="262"/>
      <c r="AM118" s="277"/>
    </row>
    <row r="119" spans="1:39" ht="13.5" thickBot="1" x14ac:dyDescent="0.25">
      <c r="A119" s="173"/>
      <c r="B119" s="229">
        <v>42276</v>
      </c>
      <c r="C119" s="170">
        <v>1304</v>
      </c>
      <c r="D119"/>
      <c r="E119" s="171">
        <v>0.9</v>
      </c>
      <c r="F119" s="172">
        <f t="shared" si="31"/>
        <v>1448.8888888888889</v>
      </c>
      <c r="G119"/>
      <c r="H119" s="172">
        <f t="shared" si="32"/>
        <v>21177</v>
      </c>
      <c r="I119"/>
      <c r="J119" s="172">
        <f t="shared" si="33"/>
        <v>23530</v>
      </c>
      <c r="AD119" s="291"/>
      <c r="AE119" s="286"/>
      <c r="AF119" s="286"/>
      <c r="AG119" s="286"/>
      <c r="AH119" s="286"/>
      <c r="AI119" s="286"/>
      <c r="AJ119" s="286"/>
      <c r="AK119" s="286"/>
      <c r="AL119" s="286"/>
      <c r="AM119" s="288"/>
    </row>
    <row r="120" spans="1:39" x14ac:dyDescent="0.2">
      <c r="A120"/>
      <c r="B120" s="229">
        <v>42292</v>
      </c>
      <c r="C120" s="170">
        <v>2612</v>
      </c>
      <c r="D120"/>
      <c r="E120" s="171">
        <v>0.9</v>
      </c>
      <c r="F120" s="172">
        <f t="shared" si="31"/>
        <v>2902.2222222222222</v>
      </c>
      <c r="G120"/>
      <c r="H120" s="172">
        <f t="shared" si="32"/>
        <v>62656</v>
      </c>
      <c r="I120"/>
      <c r="J120" s="172">
        <f t="shared" si="33"/>
        <v>69617.777777777781</v>
      </c>
    </row>
    <row r="121" spans="1:39" ht="13.5" thickBot="1" x14ac:dyDescent="0.25">
      <c r="A121"/>
      <c r="B121" s="229">
        <v>42299</v>
      </c>
      <c r="C121" s="170">
        <v>1232</v>
      </c>
      <c r="D121"/>
      <c r="E121" s="171">
        <v>0.8</v>
      </c>
      <c r="F121" s="172">
        <f t="shared" si="31"/>
        <v>1540</v>
      </c>
      <c r="G121"/>
      <c r="H121" s="172">
        <f t="shared" si="32"/>
        <v>26908</v>
      </c>
      <c r="I121"/>
      <c r="J121" s="172">
        <f t="shared" si="33"/>
        <v>31095.555555555558</v>
      </c>
    </row>
    <row r="122" spans="1:39" ht="15" x14ac:dyDescent="0.25">
      <c r="A122"/>
      <c r="B122" s="229">
        <v>42310</v>
      </c>
      <c r="C122" s="170">
        <v>5</v>
      </c>
      <c r="D122"/>
      <c r="E122" s="171">
        <v>0.8</v>
      </c>
      <c r="F122" s="172">
        <f t="shared" si="31"/>
        <v>6.25</v>
      </c>
      <c r="G122"/>
      <c r="H122" s="172">
        <f t="shared" si="32"/>
        <v>13607</v>
      </c>
      <c r="I122"/>
      <c r="J122" s="172">
        <f t="shared" si="33"/>
        <v>17008.75</v>
      </c>
      <c r="AD122" s="269" t="s">
        <v>117</v>
      </c>
      <c r="AE122" s="270" t="s">
        <v>118</v>
      </c>
      <c r="AF122" s="271" t="s">
        <v>119</v>
      </c>
      <c r="AG122" s="272"/>
      <c r="AH122" s="271" t="s">
        <v>120</v>
      </c>
      <c r="AI122" s="271"/>
      <c r="AJ122" s="272"/>
      <c r="AK122" s="273" t="s">
        <v>121</v>
      </c>
      <c r="AL122" s="272"/>
      <c r="AM122" s="274" t="s">
        <v>122</v>
      </c>
    </row>
    <row r="123" spans="1:39" x14ac:dyDescent="0.2">
      <c r="A123"/>
      <c r="B123" s="229">
        <v>42317</v>
      </c>
      <c r="C123" s="170">
        <v>4</v>
      </c>
      <c r="D123"/>
      <c r="E123" s="171">
        <v>0.9</v>
      </c>
      <c r="F123" s="172">
        <f t="shared" si="31"/>
        <v>4.4444444444444446</v>
      </c>
      <c r="G123"/>
      <c r="H123" s="172">
        <f t="shared" si="32"/>
        <v>63</v>
      </c>
      <c r="I123"/>
      <c r="J123" s="172">
        <f t="shared" si="33"/>
        <v>74.861111111111114</v>
      </c>
      <c r="AD123" s="275" t="s">
        <v>540</v>
      </c>
      <c r="AE123" s="830" t="s">
        <v>484</v>
      </c>
      <c r="AF123" s="830" t="s">
        <v>146</v>
      </c>
      <c r="AG123" s="262"/>
      <c r="AH123" s="163" t="s">
        <v>148</v>
      </c>
      <c r="AI123" s="163" t="s">
        <v>147</v>
      </c>
      <c r="AJ123" s="262"/>
      <c r="AK123" s="164"/>
      <c r="AL123" s="262"/>
      <c r="AM123" s="276"/>
    </row>
    <row r="124" spans="1:39" x14ac:dyDescent="0.2">
      <c r="A124"/>
      <c r="B124" s="229">
        <v>42323</v>
      </c>
      <c r="C124" s="170">
        <v>0</v>
      </c>
      <c r="D124"/>
      <c r="E124" s="171">
        <v>0.9</v>
      </c>
      <c r="F124" s="172">
        <f t="shared" si="31"/>
        <v>0</v>
      </c>
      <c r="G124"/>
      <c r="H124" s="172">
        <f t="shared" si="32"/>
        <v>24</v>
      </c>
      <c r="I124"/>
      <c r="J124" s="172">
        <f t="shared" si="33"/>
        <v>26.666666666666668</v>
      </c>
      <c r="AD124" s="275" t="s">
        <v>127</v>
      </c>
      <c r="AE124" s="229">
        <v>44440</v>
      </c>
      <c r="AF124" s="167"/>
      <c r="AG124" s="262"/>
      <c r="AH124" s="262"/>
      <c r="AI124" s="263">
        <v>0</v>
      </c>
      <c r="AJ124" s="262"/>
      <c r="AK124" s="262"/>
      <c r="AL124" s="262"/>
      <c r="AM124" s="277"/>
    </row>
    <row r="125" spans="1:39" x14ac:dyDescent="0.2">
      <c r="A125" s="165" t="s">
        <v>128</v>
      </c>
      <c r="B125" s="229"/>
      <c r="C125" s="176"/>
      <c r="D125"/>
      <c r="E125" s="177"/>
      <c r="F125" s="178">
        <v>0</v>
      </c>
      <c r="G125" s="179"/>
      <c r="H125" s="172">
        <f t="shared" si="32"/>
        <v>0</v>
      </c>
      <c r="I125"/>
      <c r="J125" s="172">
        <f t="shared" si="33"/>
        <v>0</v>
      </c>
      <c r="AD125" s="275"/>
      <c r="AE125" s="229">
        <v>44453</v>
      </c>
      <c r="AF125" s="263">
        <f>AT82+AT91</f>
        <v>39</v>
      </c>
      <c r="AG125" s="262"/>
      <c r="AH125" s="264">
        <v>0.9</v>
      </c>
      <c r="AI125" s="265">
        <f t="shared" ref="AI125:AI132" si="34">AF125/AH125</f>
        <v>43.333333333333336</v>
      </c>
      <c r="AJ125" s="262"/>
      <c r="AK125" s="265">
        <f>(AE125-AE124)*(AF125+AF124)</f>
        <v>507</v>
      </c>
      <c r="AL125" s="262"/>
      <c r="AM125" s="278">
        <f>(AE125-AE124)*(AI125+AI124)</f>
        <v>563.33333333333337</v>
      </c>
    </row>
    <row r="126" spans="1:39" x14ac:dyDescent="0.2">
      <c r="A126" s="165" t="s">
        <v>2</v>
      </c>
      <c r="B126" s="167">
        <v>7</v>
      </c>
      <c r="C126" s="167"/>
      <c r="D126" s="167"/>
      <c r="E126"/>
      <c r="F126"/>
      <c r="G126"/>
      <c r="H126"/>
      <c r="I126"/>
      <c r="J126"/>
      <c r="AD126" s="275"/>
      <c r="AE126" s="229">
        <v>44462</v>
      </c>
      <c r="AF126" s="263">
        <f>AT83+AT92</f>
        <v>334</v>
      </c>
      <c r="AG126" s="262"/>
      <c r="AH126" s="264">
        <v>0.9</v>
      </c>
      <c r="AI126" s="265">
        <f t="shared" si="34"/>
        <v>371.11111111111109</v>
      </c>
      <c r="AJ126" s="262"/>
      <c r="AK126" s="265">
        <f t="shared" ref="AK126:AK134" si="35">(AE126-AE125)*(AF126+AF125)</f>
        <v>3357</v>
      </c>
      <c r="AL126" s="262"/>
      <c r="AM126" s="278">
        <f t="shared" ref="AM126:AM134" si="36">(AE126-AE125)*(AI126+AI125)</f>
        <v>3729.9999999999995</v>
      </c>
    </row>
    <row r="127" spans="1:39" x14ac:dyDescent="0.2">
      <c r="A127" s="165" t="s">
        <v>129</v>
      </c>
      <c r="B127" s="167"/>
      <c r="C127" s="167">
        <f>MAX(C116:C125)</f>
        <v>2612</v>
      </c>
      <c r="D127" s="167"/>
      <c r="E127" s="167"/>
      <c r="F127" s="167">
        <f>MAX(F116:F125)</f>
        <v>2902.2222222222222</v>
      </c>
      <c r="G127" s="167"/>
      <c r="H127" s="167"/>
      <c r="I127"/>
      <c r="J127"/>
      <c r="AD127" s="279"/>
      <c r="AE127" s="229">
        <v>44468</v>
      </c>
      <c r="AF127" s="263">
        <f>AT84+AT93</f>
        <v>752</v>
      </c>
      <c r="AG127" s="262"/>
      <c r="AH127" s="264">
        <v>0.9</v>
      </c>
      <c r="AI127" s="265">
        <f t="shared" si="34"/>
        <v>835.55555555555554</v>
      </c>
      <c r="AJ127" s="262"/>
      <c r="AK127" s="265">
        <f t="shared" si="35"/>
        <v>6516</v>
      </c>
      <c r="AL127" s="262"/>
      <c r="AM127" s="278">
        <f t="shared" si="36"/>
        <v>7239.9999999999991</v>
      </c>
    </row>
    <row r="128" spans="1:39" x14ac:dyDescent="0.2">
      <c r="A128" s="165" t="s">
        <v>130</v>
      </c>
      <c r="B128" s="167"/>
      <c r="C128" s="169">
        <v>15</v>
      </c>
      <c r="D128" s="167"/>
      <c r="E128"/>
      <c r="F128" s="169">
        <v>17</v>
      </c>
      <c r="G128" s="8"/>
      <c r="H128" s="8"/>
      <c r="I128"/>
      <c r="J128"/>
      <c r="AD128" s="280"/>
      <c r="AE128" s="229">
        <v>44474</v>
      </c>
      <c r="AF128" s="263">
        <f>AT85+AT94</f>
        <v>1175</v>
      </c>
      <c r="AG128" s="262"/>
      <c r="AH128" s="264">
        <v>0.9</v>
      </c>
      <c r="AI128" s="265">
        <f t="shared" si="34"/>
        <v>1305.5555555555554</v>
      </c>
      <c r="AJ128" s="262"/>
      <c r="AK128" s="265">
        <f t="shared" si="35"/>
        <v>11562</v>
      </c>
      <c r="AL128" s="262"/>
      <c r="AM128" s="278">
        <f t="shared" si="36"/>
        <v>12846.666666666664</v>
      </c>
    </row>
    <row r="129" spans="1:50" x14ac:dyDescent="0.2">
      <c r="A129" s="165" t="s">
        <v>131</v>
      </c>
      <c r="B129" s="167"/>
      <c r="C129" s="230">
        <f>(0.5*SUM(H117:H125))/C128</f>
        <v>4237.166666666667</v>
      </c>
      <c r="D129" s="167"/>
      <c r="E129"/>
      <c r="F129" s="230">
        <f>(0.5*SUM(J117:J125))/F128</f>
        <v>4246.6952614379088</v>
      </c>
      <c r="G129" s="8"/>
      <c r="H129" s="8"/>
      <c r="I129"/>
      <c r="J129"/>
      <c r="AD129" s="280"/>
      <c r="AE129" s="229">
        <v>44502</v>
      </c>
      <c r="AF129" s="263">
        <f>AT86+AT96</f>
        <v>298</v>
      </c>
      <c r="AG129" s="262"/>
      <c r="AH129" s="264">
        <v>0.8</v>
      </c>
      <c r="AI129" s="265">
        <f t="shared" si="34"/>
        <v>372.5</v>
      </c>
      <c r="AJ129" s="262"/>
      <c r="AK129" s="265">
        <f t="shared" si="35"/>
        <v>41244</v>
      </c>
      <c r="AL129" s="262"/>
      <c r="AM129" s="278">
        <f t="shared" si="36"/>
        <v>46985.555555555555</v>
      </c>
    </row>
    <row r="130" spans="1:50" x14ac:dyDescent="0.2">
      <c r="A130"/>
      <c r="B130"/>
      <c r="C130"/>
      <c r="D130"/>
      <c r="E130"/>
      <c r="F130"/>
      <c r="G130"/>
      <c r="H130"/>
      <c r="I130"/>
      <c r="J130"/>
      <c r="AD130" s="280"/>
      <c r="AE130" s="229">
        <v>44531</v>
      </c>
      <c r="AF130" s="263">
        <v>0</v>
      </c>
      <c r="AG130" s="262"/>
      <c r="AH130" s="264">
        <v>0.9</v>
      </c>
      <c r="AI130" s="265">
        <f t="shared" si="34"/>
        <v>0</v>
      </c>
      <c r="AJ130" s="262"/>
      <c r="AK130" s="265">
        <f t="shared" si="35"/>
        <v>8642</v>
      </c>
      <c r="AL130" s="262"/>
      <c r="AM130" s="278">
        <f t="shared" si="36"/>
        <v>10802.5</v>
      </c>
    </row>
    <row r="131" spans="1:50" ht="25.5" x14ac:dyDescent="0.25">
      <c r="A131" s="222" t="s">
        <v>117</v>
      </c>
      <c r="B131" s="222" t="s">
        <v>118</v>
      </c>
      <c r="C131" s="157" t="s">
        <v>119</v>
      </c>
      <c r="D131"/>
      <c r="E131" s="157" t="s">
        <v>120</v>
      </c>
      <c r="F131" s="157"/>
      <c r="G131"/>
      <c r="H131" s="160" t="s">
        <v>121</v>
      </c>
      <c r="I131"/>
      <c r="J131" s="161" t="s">
        <v>122</v>
      </c>
      <c r="AD131" s="280"/>
      <c r="AE131" s="229">
        <v>44532</v>
      </c>
      <c r="AF131" s="263">
        <v>0</v>
      </c>
      <c r="AG131" s="262"/>
      <c r="AH131" s="264">
        <v>0.9</v>
      </c>
      <c r="AI131" s="265">
        <f t="shared" si="34"/>
        <v>0</v>
      </c>
      <c r="AJ131" s="262"/>
      <c r="AK131" s="265">
        <f t="shared" si="35"/>
        <v>0</v>
      </c>
      <c r="AL131" s="262"/>
      <c r="AM131" s="278">
        <f t="shared" si="36"/>
        <v>0</v>
      </c>
    </row>
    <row r="132" spans="1:50" x14ac:dyDescent="0.2">
      <c r="A132" s="162"/>
      <c r="B132" s="162"/>
      <c r="C132" s="162" t="s">
        <v>146</v>
      </c>
      <c r="D132"/>
      <c r="E132" s="163" t="s">
        <v>148</v>
      </c>
      <c r="F132" s="163" t="s">
        <v>147</v>
      </c>
      <c r="G132"/>
      <c r="H132" s="164"/>
      <c r="I132"/>
      <c r="J132" s="164"/>
      <c r="AD132" s="280"/>
      <c r="AE132" s="229">
        <v>44533</v>
      </c>
      <c r="AF132" s="263">
        <v>0</v>
      </c>
      <c r="AG132" s="262"/>
      <c r="AH132" s="264">
        <v>0.9</v>
      </c>
      <c r="AI132" s="265">
        <f t="shared" si="34"/>
        <v>0</v>
      </c>
      <c r="AJ132" s="262"/>
      <c r="AK132" s="265">
        <f t="shared" si="35"/>
        <v>0</v>
      </c>
      <c r="AL132" s="262"/>
      <c r="AM132" s="278">
        <f t="shared" si="36"/>
        <v>0</v>
      </c>
    </row>
    <row r="133" spans="1:50" x14ac:dyDescent="0.2">
      <c r="A133" s="165"/>
      <c r="B133" s="166"/>
      <c r="C133" s="167"/>
      <c r="D133"/>
      <c r="E133"/>
      <c r="F133"/>
      <c r="G133"/>
      <c r="H133"/>
      <c r="I133"/>
      <c r="J133"/>
      <c r="AD133" s="290"/>
      <c r="AE133" s="229">
        <v>44534</v>
      </c>
      <c r="AF133" s="55"/>
      <c r="AG133" s="55"/>
      <c r="AH133" s="55"/>
      <c r="AI133" s="263">
        <v>0</v>
      </c>
      <c r="AJ133" s="55"/>
      <c r="AK133" s="265">
        <f t="shared" si="35"/>
        <v>0</v>
      </c>
      <c r="AL133" s="262"/>
      <c r="AM133" s="278">
        <f t="shared" si="36"/>
        <v>0</v>
      </c>
    </row>
    <row r="134" spans="1:50" x14ac:dyDescent="0.2">
      <c r="A134" s="165" t="s">
        <v>168</v>
      </c>
      <c r="B134" s="166"/>
      <c r="C134" s="167"/>
      <c r="D134"/>
      <c r="E134"/>
      <c r="F134"/>
      <c r="G134"/>
      <c r="H134"/>
      <c r="I134"/>
      <c r="J134"/>
      <c r="AD134" s="275" t="s">
        <v>128</v>
      </c>
      <c r="AE134" s="229"/>
      <c r="AF134" s="176"/>
      <c r="AG134" s="262"/>
      <c r="AH134" s="177"/>
      <c r="AI134" s="178">
        <v>0</v>
      </c>
      <c r="AJ134" s="179"/>
      <c r="AK134" s="265">
        <f t="shared" si="35"/>
        <v>0</v>
      </c>
      <c r="AL134" s="262"/>
      <c r="AM134" s="278">
        <f t="shared" si="36"/>
        <v>0</v>
      </c>
    </row>
    <row r="135" spans="1:50" x14ac:dyDescent="0.2">
      <c r="A135" s="165" t="s">
        <v>127</v>
      </c>
      <c r="B135" s="229">
        <v>42248</v>
      </c>
      <c r="C135" s="167"/>
      <c r="D135"/>
      <c r="E135"/>
      <c r="F135" s="169">
        <v>0</v>
      </c>
      <c r="G135"/>
      <c r="H135"/>
      <c r="I135"/>
      <c r="J135"/>
      <c r="AD135" s="275" t="s">
        <v>2</v>
      </c>
      <c r="AE135" s="167">
        <v>7</v>
      </c>
      <c r="AF135" s="167"/>
      <c r="AG135" s="167"/>
      <c r="AH135" s="262"/>
      <c r="AI135" s="262"/>
      <c r="AJ135" s="262"/>
      <c r="AK135" s="262"/>
      <c r="AL135" s="262"/>
      <c r="AM135" s="277"/>
    </row>
    <row r="136" spans="1:50" x14ac:dyDescent="0.2">
      <c r="A136" s="165"/>
      <c r="B136" s="229">
        <v>42256</v>
      </c>
      <c r="C136" s="170">
        <v>35</v>
      </c>
      <c r="D136"/>
      <c r="E136" s="171">
        <v>0.8</v>
      </c>
      <c r="F136" s="172">
        <f t="shared" ref="F136:F143" si="37">C136/E136</f>
        <v>43.75</v>
      </c>
      <c r="G136"/>
      <c r="H136" s="172">
        <f t="shared" ref="H136:H144" si="38">(B136-B135)*(C136+C135)</f>
        <v>280</v>
      </c>
      <c r="I136"/>
      <c r="J136" s="172">
        <f t="shared" ref="J136:J144" si="39">(B136-B135)*(F136+F135)</f>
        <v>350</v>
      </c>
      <c r="AD136" s="275" t="s">
        <v>129</v>
      </c>
      <c r="AE136" s="167"/>
      <c r="AF136" s="167">
        <f>MAX(AF124:AF134)</f>
        <v>1175</v>
      </c>
      <c r="AG136" s="167"/>
      <c r="AH136" s="167"/>
      <c r="AI136" s="167">
        <f>MAX(AI124:AI134)</f>
        <v>1305.5555555555554</v>
      </c>
      <c r="AJ136" s="167"/>
      <c r="AK136" s="167"/>
      <c r="AL136" s="262"/>
      <c r="AM136" s="277"/>
    </row>
    <row r="137" spans="1:50" x14ac:dyDescent="0.2">
      <c r="A137" s="165"/>
      <c r="B137" s="229">
        <v>42263</v>
      </c>
      <c r="C137" s="170">
        <v>406</v>
      </c>
      <c r="D137"/>
      <c r="E137" s="171">
        <v>0.9</v>
      </c>
      <c r="F137" s="172">
        <f t="shared" si="37"/>
        <v>451.11111111111109</v>
      </c>
      <c r="G137"/>
      <c r="H137" s="172">
        <f t="shared" si="38"/>
        <v>3087</v>
      </c>
      <c r="I137"/>
      <c r="J137" s="172">
        <f t="shared" si="39"/>
        <v>3464.0277777777774</v>
      </c>
      <c r="AD137" s="275" t="s">
        <v>130</v>
      </c>
      <c r="AE137" s="167"/>
      <c r="AF137" s="263">
        <v>15</v>
      </c>
      <c r="AG137" s="167"/>
      <c r="AH137" s="262"/>
      <c r="AI137" s="263">
        <v>15</v>
      </c>
      <c r="AJ137" s="266"/>
      <c r="AK137" s="266"/>
      <c r="AL137" s="262"/>
      <c r="AM137" s="277"/>
    </row>
    <row r="138" spans="1:50" x14ac:dyDescent="0.2">
      <c r="A138" s="173"/>
      <c r="B138" s="229">
        <v>42276</v>
      </c>
      <c r="C138" s="170">
        <v>1111</v>
      </c>
      <c r="D138"/>
      <c r="E138" s="171">
        <v>0.9</v>
      </c>
      <c r="F138" s="172">
        <f t="shared" si="37"/>
        <v>1234.4444444444443</v>
      </c>
      <c r="G138"/>
      <c r="H138" s="172">
        <f t="shared" si="38"/>
        <v>19721</v>
      </c>
      <c r="I138"/>
      <c r="J138" s="172">
        <f t="shared" si="39"/>
        <v>21912.222222222219</v>
      </c>
      <c r="AD138" s="275" t="s">
        <v>131</v>
      </c>
      <c r="AE138" s="167"/>
      <c r="AF138" s="267">
        <f>(0.5*SUM(AK125:AK134))/AF137</f>
        <v>2394.2666666666669</v>
      </c>
      <c r="AG138" s="167"/>
      <c r="AH138" s="262"/>
      <c r="AI138" s="267">
        <f>(0.5*SUM(AM125:AM134))/AI137</f>
        <v>2738.9351851851848</v>
      </c>
      <c r="AJ138" s="266"/>
      <c r="AK138" s="266"/>
      <c r="AL138" s="262"/>
      <c r="AM138" s="277"/>
    </row>
    <row r="139" spans="1:50" ht="13.5" thickBot="1" x14ac:dyDescent="0.25">
      <c r="A139"/>
      <c r="B139" s="229">
        <v>42292</v>
      </c>
      <c r="C139" s="170">
        <v>1661</v>
      </c>
      <c r="D139"/>
      <c r="E139" s="171">
        <v>0.9</v>
      </c>
      <c r="F139" s="172">
        <f t="shared" si="37"/>
        <v>1845.5555555555554</v>
      </c>
      <c r="G139"/>
      <c r="H139" s="172">
        <f t="shared" si="38"/>
        <v>44352</v>
      </c>
      <c r="I139"/>
      <c r="J139" s="172">
        <f t="shared" si="39"/>
        <v>49280</v>
      </c>
      <c r="AD139" s="291"/>
      <c r="AE139" s="286"/>
      <c r="AF139" s="286"/>
      <c r="AG139" s="286"/>
      <c r="AH139" s="286"/>
      <c r="AI139" s="286"/>
      <c r="AJ139" s="286"/>
      <c r="AK139" s="286"/>
      <c r="AL139" s="286"/>
      <c r="AM139" s="288"/>
    </row>
    <row r="140" spans="1:50" x14ac:dyDescent="0.2">
      <c r="A140"/>
      <c r="B140" s="229">
        <v>42299</v>
      </c>
      <c r="C140" s="170">
        <v>573</v>
      </c>
      <c r="D140"/>
      <c r="E140" s="171">
        <v>0.8</v>
      </c>
      <c r="F140" s="172">
        <f t="shared" si="37"/>
        <v>716.25</v>
      </c>
      <c r="G140"/>
      <c r="H140" s="172">
        <f t="shared" si="38"/>
        <v>15638</v>
      </c>
      <c r="I140"/>
      <c r="J140" s="172">
        <f t="shared" si="39"/>
        <v>17932.638888888891</v>
      </c>
    </row>
    <row r="141" spans="1:50" x14ac:dyDescent="0.2">
      <c r="A141"/>
      <c r="B141" s="229">
        <v>42310</v>
      </c>
      <c r="C141" s="170">
        <v>42</v>
      </c>
      <c r="D141"/>
      <c r="E141" s="171">
        <v>0.9</v>
      </c>
      <c r="F141" s="172">
        <f t="shared" si="37"/>
        <v>46.666666666666664</v>
      </c>
      <c r="G141"/>
      <c r="H141" s="172">
        <f t="shared" si="38"/>
        <v>6765</v>
      </c>
      <c r="I141"/>
      <c r="J141" s="172">
        <f t="shared" si="39"/>
        <v>8392.0833333333321</v>
      </c>
    </row>
    <row r="142" spans="1:50" x14ac:dyDescent="0.2">
      <c r="A142"/>
      <c r="B142" s="229">
        <v>42317</v>
      </c>
      <c r="C142" s="170">
        <v>14</v>
      </c>
      <c r="D142"/>
      <c r="E142" s="171">
        <v>0.9</v>
      </c>
      <c r="F142" s="172">
        <f t="shared" si="37"/>
        <v>15.555555555555555</v>
      </c>
      <c r="G142"/>
      <c r="H142" s="172">
        <f t="shared" si="38"/>
        <v>392</v>
      </c>
      <c r="I142"/>
      <c r="J142" s="172">
        <f t="shared" si="39"/>
        <v>435.55555555555554</v>
      </c>
    </row>
    <row r="143" spans="1:50" ht="13.5" thickBot="1" x14ac:dyDescent="0.25">
      <c r="A143"/>
      <c r="B143" s="229">
        <v>42323</v>
      </c>
      <c r="C143" s="170">
        <v>0</v>
      </c>
      <c r="D143"/>
      <c r="E143" s="171">
        <v>0.9</v>
      </c>
      <c r="F143" s="172">
        <f t="shared" si="37"/>
        <v>0</v>
      </c>
      <c r="G143"/>
      <c r="H143" s="172">
        <f t="shared" si="38"/>
        <v>84</v>
      </c>
      <c r="I143"/>
      <c r="J143" s="172">
        <f t="shared" si="39"/>
        <v>93.333333333333329</v>
      </c>
    </row>
    <row r="144" spans="1:50" ht="15" x14ac:dyDescent="0.25">
      <c r="A144" s="165" t="s">
        <v>128</v>
      </c>
      <c r="B144" s="229"/>
      <c r="C144" s="176"/>
      <c r="D144"/>
      <c r="E144" s="177"/>
      <c r="F144" s="178">
        <v>0</v>
      </c>
      <c r="G144" s="179"/>
      <c r="H144" s="172">
        <f t="shared" si="38"/>
        <v>0</v>
      </c>
      <c r="I144"/>
      <c r="J144" s="172">
        <f t="shared" si="39"/>
        <v>0</v>
      </c>
      <c r="AD144" s="269" t="s">
        <v>117</v>
      </c>
      <c r="AE144" s="270" t="s">
        <v>118</v>
      </c>
      <c r="AF144" s="271" t="s">
        <v>119</v>
      </c>
      <c r="AG144" s="272"/>
      <c r="AH144" s="271" t="s">
        <v>120</v>
      </c>
      <c r="AI144" s="271"/>
      <c r="AJ144" s="272"/>
      <c r="AK144" s="273" t="s">
        <v>121</v>
      </c>
      <c r="AL144" s="272"/>
      <c r="AM144" s="274" t="s">
        <v>122</v>
      </c>
      <c r="AO144" s="269" t="s">
        <v>117</v>
      </c>
      <c r="AP144" s="270" t="s">
        <v>118</v>
      </c>
      <c r="AQ144" s="271" t="s">
        <v>119</v>
      </c>
      <c r="AR144" s="272"/>
      <c r="AS144" s="271" t="s">
        <v>120</v>
      </c>
      <c r="AT144" s="271"/>
      <c r="AU144" s="272"/>
      <c r="AV144" s="273" t="s">
        <v>121</v>
      </c>
      <c r="AW144" s="272"/>
      <c r="AX144" s="274" t="s">
        <v>122</v>
      </c>
    </row>
    <row r="145" spans="1:50" x14ac:dyDescent="0.2">
      <c r="A145" s="165" t="s">
        <v>2</v>
      </c>
      <c r="B145" s="167">
        <v>7</v>
      </c>
      <c r="C145" s="167"/>
      <c r="D145" s="167"/>
      <c r="E145"/>
      <c r="F145"/>
      <c r="G145"/>
      <c r="H145"/>
      <c r="I145"/>
      <c r="J145"/>
      <c r="AD145" s="275" t="s">
        <v>540</v>
      </c>
      <c r="AE145" s="923" t="s">
        <v>326</v>
      </c>
      <c r="AF145" s="923" t="s">
        <v>146</v>
      </c>
      <c r="AG145" s="262"/>
      <c r="AH145" s="163" t="s">
        <v>148</v>
      </c>
      <c r="AI145" s="163" t="s">
        <v>147</v>
      </c>
      <c r="AJ145" s="262"/>
      <c r="AK145" s="164"/>
      <c r="AL145" s="262"/>
      <c r="AM145" s="276"/>
      <c r="AO145" s="275" t="s">
        <v>540</v>
      </c>
      <c r="AP145" s="923" t="s">
        <v>326</v>
      </c>
      <c r="AQ145" s="923" t="s">
        <v>146</v>
      </c>
      <c r="AR145" s="262"/>
      <c r="AS145" s="163" t="s">
        <v>148</v>
      </c>
      <c r="AT145" s="163" t="s">
        <v>147</v>
      </c>
      <c r="AU145" s="262"/>
      <c r="AV145" s="164"/>
      <c r="AW145" s="262"/>
      <c r="AX145" s="276"/>
    </row>
    <row r="146" spans="1:50" x14ac:dyDescent="0.2">
      <c r="A146" s="165" t="s">
        <v>129</v>
      </c>
      <c r="B146" s="167"/>
      <c r="C146" s="167">
        <f>MAX(C135:C144)</f>
        <v>1661</v>
      </c>
      <c r="D146" s="167"/>
      <c r="E146" s="167"/>
      <c r="F146" s="167">
        <f>MAX(F135:F144)</f>
        <v>1845.5555555555554</v>
      </c>
      <c r="G146" s="167"/>
      <c r="H146" s="167"/>
      <c r="I146"/>
      <c r="J146"/>
      <c r="AD146" s="275" t="s">
        <v>127</v>
      </c>
      <c r="AE146" s="229">
        <v>44805</v>
      </c>
      <c r="AF146" s="167"/>
      <c r="AG146" s="262"/>
      <c r="AH146" s="262"/>
      <c r="AI146" s="263">
        <v>0</v>
      </c>
      <c r="AJ146" s="262"/>
      <c r="AK146" s="262"/>
      <c r="AL146" s="262"/>
      <c r="AM146" s="277"/>
      <c r="AO146" s="275" t="s">
        <v>127</v>
      </c>
      <c r="AP146" s="229">
        <v>44805</v>
      </c>
      <c r="AQ146" s="167"/>
      <c r="AR146" s="262"/>
      <c r="AS146" s="262"/>
      <c r="AT146" s="263">
        <v>0</v>
      </c>
      <c r="AU146" s="262"/>
      <c r="AV146" s="262"/>
      <c r="AW146" s="262"/>
      <c r="AX146" s="277"/>
    </row>
    <row r="147" spans="1:50" x14ac:dyDescent="0.2">
      <c r="A147" s="165" t="s">
        <v>130</v>
      </c>
      <c r="B147" s="167"/>
      <c r="C147" s="169">
        <v>15</v>
      </c>
      <c r="D147" s="167"/>
      <c r="E147"/>
      <c r="F147" s="169">
        <v>17</v>
      </c>
      <c r="G147" s="8"/>
      <c r="H147" s="8"/>
      <c r="I147"/>
      <c r="J147"/>
      <c r="AD147" s="275"/>
      <c r="AE147" s="229">
        <v>44813</v>
      </c>
      <c r="AF147" s="263">
        <f>AF168+AF188</f>
        <v>144</v>
      </c>
      <c r="AG147" s="262"/>
      <c r="AH147" s="264">
        <v>0.9</v>
      </c>
      <c r="AI147" s="265">
        <f t="shared" ref="AI147:AI151" si="40">AF147/AH147</f>
        <v>160</v>
      </c>
      <c r="AJ147" s="262"/>
      <c r="AK147" s="265">
        <f>(AE147-AE146)*(AF147+AF146)</f>
        <v>1152</v>
      </c>
      <c r="AL147" s="262"/>
      <c r="AM147" s="278">
        <f>(AE147-AE146)*(AI147+AI146)</f>
        <v>1280</v>
      </c>
      <c r="AO147" s="275"/>
      <c r="AP147" s="229">
        <v>44813</v>
      </c>
      <c r="AQ147" s="263">
        <f>AQ168+AQ188</f>
        <v>144</v>
      </c>
      <c r="AR147" s="262"/>
      <c r="AS147" s="930">
        <f>AQ147/AT147</f>
        <v>0.95441860465116268</v>
      </c>
      <c r="AT147" s="265">
        <f>AT168+AT188</f>
        <v>150.87719298245617</v>
      </c>
      <c r="AU147" s="262"/>
      <c r="AV147" s="265">
        <f>(AP147-AP146)*(AQ147+AQ146)</f>
        <v>1152</v>
      </c>
      <c r="AW147" s="262"/>
      <c r="AX147" s="278">
        <f>(AP147-AP146)*(AT147+AT146)</f>
        <v>1207.0175438596493</v>
      </c>
    </row>
    <row r="148" spans="1:50" x14ac:dyDescent="0.2">
      <c r="A148" s="165" t="s">
        <v>131</v>
      </c>
      <c r="B148" s="167"/>
      <c r="C148" s="230">
        <f>(0.5*SUM(H136:H144))/C147</f>
        <v>3010.6333333333332</v>
      </c>
      <c r="D148" s="167"/>
      <c r="E148"/>
      <c r="F148" s="230">
        <f>(0.5*SUM(J136:J144))/F147</f>
        <v>2995.8782679738561</v>
      </c>
      <c r="G148" s="8"/>
      <c r="H148" s="8"/>
      <c r="I148"/>
      <c r="J148"/>
      <c r="AD148" s="275"/>
      <c r="AE148" s="229">
        <v>44828</v>
      </c>
      <c r="AF148" s="263">
        <f t="shared" ref="AF148:AF155" si="41">AF169+AF189</f>
        <v>269</v>
      </c>
      <c r="AG148" s="262"/>
      <c r="AH148" s="264">
        <v>0.9</v>
      </c>
      <c r="AI148" s="265">
        <f t="shared" si="40"/>
        <v>298.88888888888886</v>
      </c>
      <c r="AJ148" s="262"/>
      <c r="AK148" s="265">
        <f t="shared" ref="AK148:AK151" si="42">(AE148-AE147)*(AF148+AF147)</f>
        <v>6195</v>
      </c>
      <c r="AL148" s="262"/>
      <c r="AM148" s="278">
        <f t="shared" ref="AM148:AM151" si="43">(AE148-AE147)*(AI148+AI147)</f>
        <v>6883.333333333333</v>
      </c>
      <c r="AO148" s="275"/>
      <c r="AP148" s="229">
        <v>44828</v>
      </c>
      <c r="AQ148" s="263">
        <f t="shared" ref="AQ148:AQ155" si="44">AQ169+AQ189</f>
        <v>269</v>
      </c>
      <c r="AR148" s="262"/>
      <c r="AS148" s="930">
        <f t="shared" ref="AS148:AS153" si="45">AQ148/AT148</f>
        <v>0.94999999999999984</v>
      </c>
      <c r="AT148" s="265">
        <f t="shared" ref="AT148:AT155" si="46">AT169+AT189</f>
        <v>283.15789473684214</v>
      </c>
      <c r="AU148" s="262"/>
      <c r="AV148" s="265">
        <f t="shared" ref="AV148:AV157" si="47">(AP148-AP147)*(AQ148+AQ147)</f>
        <v>6195</v>
      </c>
      <c r="AW148" s="262"/>
      <c r="AX148" s="278">
        <f t="shared" ref="AX148:AX157" si="48">(AP148-AP147)*(AT148+AT147)</f>
        <v>6510.5263157894742</v>
      </c>
    </row>
    <row r="149" spans="1:50" x14ac:dyDescent="0.2">
      <c r="AD149" s="279"/>
      <c r="AE149" s="229">
        <v>44840</v>
      </c>
      <c r="AF149" s="263">
        <f t="shared" si="41"/>
        <v>324</v>
      </c>
      <c r="AG149" s="262"/>
      <c r="AH149" s="264">
        <v>0.9</v>
      </c>
      <c r="AI149" s="265">
        <f t="shared" si="40"/>
        <v>360</v>
      </c>
      <c r="AJ149" s="262"/>
      <c r="AK149" s="265">
        <f t="shared" si="42"/>
        <v>7116</v>
      </c>
      <c r="AL149" s="262"/>
      <c r="AM149" s="278">
        <f t="shared" si="43"/>
        <v>7906.666666666667</v>
      </c>
      <c r="AO149" s="279"/>
      <c r="AP149" s="229">
        <v>44840</v>
      </c>
      <c r="AQ149" s="263">
        <f t="shared" si="44"/>
        <v>324</v>
      </c>
      <c r="AR149" s="262"/>
      <c r="AS149" s="930">
        <f t="shared" si="45"/>
        <v>0.95</v>
      </c>
      <c r="AT149" s="265">
        <f t="shared" si="46"/>
        <v>341.0526315789474</v>
      </c>
      <c r="AU149" s="262"/>
      <c r="AV149" s="265">
        <f t="shared" si="47"/>
        <v>7116</v>
      </c>
      <c r="AW149" s="262"/>
      <c r="AX149" s="278">
        <f t="shared" si="48"/>
        <v>7490.5263157894751</v>
      </c>
    </row>
    <row r="150" spans="1:50" x14ac:dyDescent="0.2">
      <c r="F150" s="259">
        <f>F129+F148</f>
        <v>7242.5735294117649</v>
      </c>
      <c r="AD150" s="280"/>
      <c r="AE150" s="229">
        <v>44850</v>
      </c>
      <c r="AF150" s="263">
        <f t="shared" si="41"/>
        <v>337</v>
      </c>
      <c r="AG150" s="262"/>
      <c r="AH150" s="264">
        <v>0.9</v>
      </c>
      <c r="AI150" s="265">
        <f t="shared" si="40"/>
        <v>374.44444444444446</v>
      </c>
      <c r="AJ150" s="262"/>
      <c r="AK150" s="265">
        <f t="shared" si="42"/>
        <v>6610</v>
      </c>
      <c r="AL150" s="262"/>
      <c r="AM150" s="278">
        <f t="shared" si="43"/>
        <v>7344.4444444444443</v>
      </c>
      <c r="AO150" s="280"/>
      <c r="AP150" s="229">
        <v>44850</v>
      </c>
      <c r="AQ150" s="263">
        <f t="shared" si="44"/>
        <v>337</v>
      </c>
      <c r="AR150" s="262"/>
      <c r="AS150" s="930">
        <f t="shared" si="45"/>
        <v>0.95</v>
      </c>
      <c r="AT150" s="265">
        <f t="shared" si="46"/>
        <v>354.73684210526318</v>
      </c>
      <c r="AU150" s="262"/>
      <c r="AV150" s="265">
        <f t="shared" si="47"/>
        <v>6610</v>
      </c>
      <c r="AW150" s="262"/>
      <c r="AX150" s="278">
        <f t="shared" si="48"/>
        <v>6957.8947368421068</v>
      </c>
    </row>
    <row r="151" spans="1:50" x14ac:dyDescent="0.2">
      <c r="AD151" s="280"/>
      <c r="AE151" s="229">
        <v>44868</v>
      </c>
      <c r="AF151" s="263">
        <f t="shared" si="41"/>
        <v>713</v>
      </c>
      <c r="AG151" s="262"/>
      <c r="AH151" s="264">
        <v>0.8</v>
      </c>
      <c r="AI151" s="265">
        <f t="shared" si="40"/>
        <v>891.25</v>
      </c>
      <c r="AJ151" s="262"/>
      <c r="AK151" s="265">
        <f t="shared" si="42"/>
        <v>18900</v>
      </c>
      <c r="AL151" s="262"/>
      <c r="AM151" s="278">
        <f t="shared" si="43"/>
        <v>22782.5</v>
      </c>
      <c r="AO151" s="280"/>
      <c r="AP151" s="229">
        <v>44868</v>
      </c>
      <c r="AQ151" s="263">
        <f t="shared" si="44"/>
        <v>713</v>
      </c>
      <c r="AR151" s="262"/>
      <c r="AS151" s="930">
        <f t="shared" si="45"/>
        <v>0.8161139449920729</v>
      </c>
      <c r="AT151" s="265">
        <f t="shared" si="46"/>
        <v>873.65251430292074</v>
      </c>
      <c r="AU151" s="262"/>
      <c r="AV151" s="265">
        <f t="shared" si="47"/>
        <v>18900</v>
      </c>
      <c r="AW151" s="262"/>
      <c r="AX151" s="278">
        <f t="shared" si="48"/>
        <v>22111.008415347311</v>
      </c>
    </row>
    <row r="152" spans="1:50" x14ac:dyDescent="0.2">
      <c r="AD152" s="880"/>
      <c r="AE152" s="229">
        <v>44875</v>
      </c>
      <c r="AF152" s="263">
        <f t="shared" si="41"/>
        <v>670</v>
      </c>
      <c r="AG152" s="262"/>
      <c r="AH152" s="264">
        <v>0.9</v>
      </c>
      <c r="AI152" s="265">
        <f t="shared" ref="AI152" si="49">AF152/AH152</f>
        <v>744.44444444444446</v>
      </c>
      <c r="AJ152" s="262"/>
      <c r="AK152" s="265">
        <f t="shared" ref="AK152:AK155" si="50">(AE152-AE151)*(AF152+AF151)</f>
        <v>9681</v>
      </c>
      <c r="AL152" s="262"/>
      <c r="AM152" s="278">
        <f t="shared" ref="AM152:AM155" si="51">(AE152-AE151)*(AI152+AI151)</f>
        <v>11449.861111111109</v>
      </c>
      <c r="AO152" s="880"/>
      <c r="AP152" s="229">
        <v>44875</v>
      </c>
      <c r="AQ152" s="263">
        <f t="shared" si="44"/>
        <v>670</v>
      </c>
      <c r="AR152" s="262"/>
      <c r="AS152" s="930">
        <f t="shared" si="45"/>
        <v>0.94007273535764191</v>
      </c>
      <c r="AT152" s="265">
        <f t="shared" si="46"/>
        <v>712.71080928126776</v>
      </c>
      <c r="AU152" s="262"/>
      <c r="AV152" s="265">
        <f t="shared" si="47"/>
        <v>9681</v>
      </c>
      <c r="AW152" s="262"/>
      <c r="AX152" s="278">
        <f t="shared" si="48"/>
        <v>11104.54326508932</v>
      </c>
    </row>
    <row r="153" spans="1:50" x14ac:dyDescent="0.2">
      <c r="AD153" s="280"/>
      <c r="AE153" s="229">
        <v>44882</v>
      </c>
      <c r="AF153" s="263">
        <f t="shared" si="41"/>
        <v>523</v>
      </c>
      <c r="AG153" s="262"/>
      <c r="AH153" s="264">
        <v>0.9</v>
      </c>
      <c r="AI153" s="265">
        <f t="shared" ref="AI153:AI155" si="52">AF153/AH153</f>
        <v>581.11111111111109</v>
      </c>
      <c r="AJ153" s="262"/>
      <c r="AK153" s="265">
        <f t="shared" si="50"/>
        <v>8351</v>
      </c>
      <c r="AL153" s="262"/>
      <c r="AM153" s="278">
        <f t="shared" si="51"/>
        <v>9278.8888888888905</v>
      </c>
      <c r="AO153" s="280"/>
      <c r="AP153" s="229">
        <v>44882</v>
      </c>
      <c r="AQ153" s="263">
        <f t="shared" si="44"/>
        <v>523</v>
      </c>
      <c r="AR153" s="262"/>
      <c r="AS153" s="930">
        <f t="shared" si="45"/>
        <v>0.94450533894191879</v>
      </c>
      <c r="AT153" s="265">
        <f t="shared" si="46"/>
        <v>553.72900335946247</v>
      </c>
      <c r="AU153" s="262"/>
      <c r="AV153" s="265">
        <f t="shared" si="47"/>
        <v>8351</v>
      </c>
      <c r="AW153" s="262"/>
      <c r="AX153" s="278">
        <f t="shared" si="48"/>
        <v>8865.0786884851113</v>
      </c>
    </row>
    <row r="154" spans="1:50" x14ac:dyDescent="0.2">
      <c r="AD154" s="280"/>
      <c r="AE154" s="229">
        <v>44910</v>
      </c>
      <c r="AF154" s="263">
        <f t="shared" si="41"/>
        <v>0</v>
      </c>
      <c r="AG154" s="262"/>
      <c r="AH154" s="264">
        <v>0.9</v>
      </c>
      <c r="AI154" s="265">
        <f t="shared" si="52"/>
        <v>0</v>
      </c>
      <c r="AJ154" s="262"/>
      <c r="AK154" s="265">
        <f t="shared" si="50"/>
        <v>14644</v>
      </c>
      <c r="AL154" s="262"/>
      <c r="AM154" s="278">
        <f t="shared" si="51"/>
        <v>16271.111111111109</v>
      </c>
      <c r="AO154" s="280"/>
      <c r="AP154" s="229">
        <v>44910</v>
      </c>
      <c r="AQ154" s="263">
        <f t="shared" si="44"/>
        <v>0</v>
      </c>
      <c r="AR154" s="262"/>
      <c r="AS154" s="264">
        <v>0.9</v>
      </c>
      <c r="AT154" s="929">
        <f t="shared" si="46"/>
        <v>0</v>
      </c>
      <c r="AU154" s="262"/>
      <c r="AV154" s="265">
        <f t="shared" si="47"/>
        <v>14644</v>
      </c>
      <c r="AW154" s="262"/>
      <c r="AX154" s="278">
        <f t="shared" si="48"/>
        <v>15504.412094064948</v>
      </c>
    </row>
    <row r="155" spans="1:50" x14ac:dyDescent="0.2">
      <c r="AD155" s="280"/>
      <c r="AE155" s="229">
        <v>44911</v>
      </c>
      <c r="AF155" s="263">
        <f t="shared" si="41"/>
        <v>0</v>
      </c>
      <c r="AG155" s="262"/>
      <c r="AH155" s="264">
        <v>0.9</v>
      </c>
      <c r="AI155" s="265">
        <f t="shared" si="52"/>
        <v>0</v>
      </c>
      <c r="AJ155" s="262"/>
      <c r="AK155" s="265">
        <f t="shared" si="50"/>
        <v>0</v>
      </c>
      <c r="AL155" s="262"/>
      <c r="AM155" s="278">
        <f t="shared" si="51"/>
        <v>0</v>
      </c>
      <c r="AO155" s="280"/>
      <c r="AP155" s="229">
        <v>44911</v>
      </c>
      <c r="AQ155" s="263">
        <f t="shared" si="44"/>
        <v>0</v>
      </c>
      <c r="AR155" s="262"/>
      <c r="AS155" s="264">
        <v>0.9</v>
      </c>
      <c r="AT155" s="929">
        <f t="shared" si="46"/>
        <v>0</v>
      </c>
      <c r="AU155" s="262"/>
      <c r="AV155" s="265">
        <f t="shared" si="47"/>
        <v>0</v>
      </c>
      <c r="AW155" s="262"/>
      <c r="AX155" s="278">
        <f t="shared" si="48"/>
        <v>0</v>
      </c>
    </row>
    <row r="156" spans="1:50" x14ac:dyDescent="0.2">
      <c r="AD156" s="290"/>
      <c r="AE156" s="229">
        <v>44912</v>
      </c>
      <c r="AF156" s="55"/>
      <c r="AG156" s="55"/>
      <c r="AH156" s="55"/>
      <c r="AI156" s="263">
        <v>0</v>
      </c>
      <c r="AJ156" s="55"/>
      <c r="AK156" s="265">
        <f t="shared" ref="AK156:AK157" si="53">(AE156-AE155)*(AF156+AF155)</f>
        <v>0</v>
      </c>
      <c r="AL156" s="262"/>
      <c r="AM156" s="278">
        <f t="shared" ref="AM156:AM157" si="54">(AE156-AE155)*(AI156+AI155)</f>
        <v>0</v>
      </c>
      <c r="AO156" s="290"/>
      <c r="AP156" s="229">
        <v>44912</v>
      </c>
      <c r="AQ156" s="55"/>
      <c r="AR156" s="55"/>
      <c r="AS156" s="55"/>
      <c r="AT156" s="263">
        <v>0</v>
      </c>
      <c r="AU156" s="55"/>
      <c r="AV156" s="265">
        <f t="shared" si="47"/>
        <v>0</v>
      </c>
      <c r="AW156" s="262"/>
      <c r="AX156" s="278">
        <f t="shared" si="48"/>
        <v>0</v>
      </c>
    </row>
    <row r="157" spans="1:50" x14ac:dyDescent="0.2">
      <c r="AD157" s="275" t="s">
        <v>128</v>
      </c>
      <c r="AE157" s="229"/>
      <c r="AF157" s="176"/>
      <c r="AG157" s="262"/>
      <c r="AH157" s="177"/>
      <c r="AI157" s="178">
        <v>0</v>
      </c>
      <c r="AJ157" s="179"/>
      <c r="AK157" s="265">
        <f t="shared" si="53"/>
        <v>0</v>
      </c>
      <c r="AL157" s="262"/>
      <c r="AM157" s="278">
        <f t="shared" si="54"/>
        <v>0</v>
      </c>
      <c r="AO157" s="275" t="s">
        <v>128</v>
      </c>
      <c r="AP157" s="229"/>
      <c r="AQ157" s="176"/>
      <c r="AR157" s="262"/>
      <c r="AS157" s="177"/>
      <c r="AT157" s="178">
        <v>0</v>
      </c>
      <c r="AU157" s="179"/>
      <c r="AV157" s="265">
        <f t="shared" si="47"/>
        <v>0</v>
      </c>
      <c r="AW157" s="262"/>
      <c r="AX157" s="278">
        <f t="shared" si="48"/>
        <v>0</v>
      </c>
    </row>
    <row r="158" spans="1:50" x14ac:dyDescent="0.2">
      <c r="AD158" s="275" t="s">
        <v>2</v>
      </c>
      <c r="AE158" s="167">
        <v>7</v>
      </c>
      <c r="AF158" s="167"/>
      <c r="AG158" s="167"/>
      <c r="AH158" s="262"/>
      <c r="AI158" s="262"/>
      <c r="AJ158" s="262"/>
      <c r="AK158" s="262"/>
      <c r="AL158" s="262"/>
      <c r="AM158" s="277"/>
      <c r="AO158" s="275" t="s">
        <v>2</v>
      </c>
      <c r="AP158" s="167">
        <v>7</v>
      </c>
      <c r="AQ158" s="167"/>
      <c r="AR158" s="167"/>
      <c r="AS158" s="262"/>
      <c r="AT158" s="262"/>
      <c r="AU158" s="262"/>
      <c r="AV158" s="262"/>
      <c r="AW158" s="262"/>
      <c r="AX158" s="277"/>
    </row>
    <row r="159" spans="1:50" x14ac:dyDescent="0.2">
      <c r="AD159" s="275" t="s">
        <v>129</v>
      </c>
      <c r="AE159" s="167"/>
      <c r="AF159" s="167">
        <f>MAX(AF146:AF157)</f>
        <v>713</v>
      </c>
      <c r="AG159" s="167"/>
      <c r="AH159" s="167"/>
      <c r="AI159" s="167">
        <f>MAX(AI146:AI157)</f>
        <v>891.25</v>
      </c>
      <c r="AJ159" s="167"/>
      <c r="AK159" s="167"/>
      <c r="AL159" s="262"/>
      <c r="AM159" s="277"/>
      <c r="AO159" s="275" t="s">
        <v>129</v>
      </c>
      <c r="AP159" s="167"/>
      <c r="AQ159" s="167">
        <f>MAX(AQ146:AQ157)</f>
        <v>713</v>
      </c>
      <c r="AR159" s="167"/>
      <c r="AS159" s="167"/>
      <c r="AT159" s="167">
        <f>MAX(AT146:AT157)</f>
        <v>873.65251430292074</v>
      </c>
      <c r="AU159" s="167"/>
      <c r="AV159" s="167"/>
      <c r="AW159" s="262"/>
      <c r="AX159" s="277"/>
    </row>
    <row r="160" spans="1:50" x14ac:dyDescent="0.2">
      <c r="AD160" s="275" t="s">
        <v>130</v>
      </c>
      <c r="AE160" s="167"/>
      <c r="AF160" s="263">
        <v>30</v>
      </c>
      <c r="AG160" s="167"/>
      <c r="AH160" s="262"/>
      <c r="AI160" s="263">
        <v>30</v>
      </c>
      <c r="AJ160" s="266"/>
      <c r="AK160" s="266"/>
      <c r="AL160" s="262"/>
      <c r="AM160" s="277"/>
      <c r="AO160" s="275" t="s">
        <v>130</v>
      </c>
      <c r="AP160" s="167"/>
      <c r="AQ160" s="263">
        <v>30</v>
      </c>
      <c r="AR160" s="167"/>
      <c r="AS160" s="262"/>
      <c r="AT160" s="263">
        <v>30</v>
      </c>
      <c r="AU160" s="266"/>
      <c r="AV160" s="266"/>
      <c r="AW160" s="262"/>
      <c r="AX160" s="277"/>
    </row>
    <row r="161" spans="30:50" x14ac:dyDescent="0.2">
      <c r="AD161" s="275" t="s">
        <v>131</v>
      </c>
      <c r="AE161" s="167"/>
      <c r="AF161" s="267">
        <f>(0.5*SUM(AK147:AK157))/AF160</f>
        <v>1210.8166666666666</v>
      </c>
      <c r="AG161" s="167"/>
      <c r="AH161" s="262"/>
      <c r="AI161" s="267">
        <f>(0.5*SUM(AM147:AM157))/AI160</f>
        <v>1386.6134259259259</v>
      </c>
      <c r="AJ161" s="266"/>
      <c r="AK161" s="266"/>
      <c r="AL161" s="262"/>
      <c r="AM161" s="277"/>
      <c r="AO161" s="275" t="s">
        <v>131</v>
      </c>
      <c r="AP161" s="167"/>
      <c r="AQ161" s="267">
        <f>(0.5*SUM(AV147:AV157))/AQ160</f>
        <v>1210.8166666666666</v>
      </c>
      <c r="AR161" s="167"/>
      <c r="AS161" s="262"/>
      <c r="AT161" s="267">
        <f>(0.5*SUM(AX147:AX157))/AT160</f>
        <v>1329.1834562544566</v>
      </c>
      <c r="AU161" s="266"/>
      <c r="AV161" s="266"/>
      <c r="AW161" s="262"/>
      <c r="AX161" s="277"/>
    </row>
    <row r="162" spans="30:50" ht="13.5" thickBot="1" x14ac:dyDescent="0.25">
      <c r="AD162" s="291"/>
      <c r="AE162" s="286"/>
      <c r="AF162" s="286"/>
      <c r="AG162" s="286"/>
      <c r="AH162" s="286"/>
      <c r="AI162" s="286"/>
      <c r="AJ162" s="286"/>
      <c r="AK162" s="286"/>
      <c r="AL162" s="286"/>
      <c r="AM162" s="288"/>
      <c r="AO162" s="291"/>
      <c r="AP162" s="286"/>
      <c r="AQ162" s="286"/>
      <c r="AR162" s="286"/>
      <c r="AS162" s="286"/>
      <c r="AT162" s="286"/>
      <c r="AU162" s="286"/>
      <c r="AV162" s="286"/>
      <c r="AW162" s="286"/>
      <c r="AX162" s="288"/>
    </row>
    <row r="164" spans="30:50" ht="13.5" thickBot="1" x14ac:dyDescent="0.25"/>
    <row r="165" spans="30:50" ht="15" x14ac:dyDescent="0.25">
      <c r="AD165" s="269" t="s">
        <v>117</v>
      </c>
      <c r="AE165" s="270" t="s">
        <v>118</v>
      </c>
      <c r="AF165" s="271" t="s">
        <v>119</v>
      </c>
      <c r="AG165" s="272"/>
      <c r="AH165" s="271" t="s">
        <v>120</v>
      </c>
      <c r="AI165" s="271"/>
      <c r="AJ165" s="272"/>
      <c r="AK165" s="273" t="s">
        <v>121</v>
      </c>
      <c r="AL165" s="272"/>
      <c r="AM165" s="274" t="s">
        <v>122</v>
      </c>
      <c r="AO165" s="269" t="s">
        <v>117</v>
      </c>
      <c r="AP165" s="270" t="s">
        <v>118</v>
      </c>
      <c r="AQ165" s="271" t="s">
        <v>119</v>
      </c>
      <c r="AR165" s="272"/>
      <c r="AS165" s="271" t="s">
        <v>120</v>
      </c>
      <c r="AT165" s="271"/>
      <c r="AU165" s="272"/>
      <c r="AV165" s="273" t="s">
        <v>121</v>
      </c>
      <c r="AW165" s="272"/>
      <c r="AX165" s="274" t="s">
        <v>122</v>
      </c>
    </row>
    <row r="166" spans="30:50" x14ac:dyDescent="0.2">
      <c r="AD166" s="275" t="s">
        <v>570</v>
      </c>
      <c r="AE166" s="923" t="s">
        <v>326</v>
      </c>
      <c r="AF166" s="923" t="s">
        <v>146</v>
      </c>
      <c r="AG166" s="262"/>
      <c r="AH166" s="163" t="s">
        <v>148</v>
      </c>
      <c r="AI166" s="163" t="s">
        <v>147</v>
      </c>
      <c r="AJ166" s="262"/>
      <c r="AK166" s="164"/>
      <c r="AL166" s="262"/>
      <c r="AM166" s="276"/>
      <c r="AO166" s="275" t="s">
        <v>570</v>
      </c>
      <c r="AP166" s="923" t="s">
        <v>326</v>
      </c>
      <c r="AQ166" s="923" t="s">
        <v>146</v>
      </c>
      <c r="AR166" s="262"/>
      <c r="AS166" s="163" t="s">
        <v>148</v>
      </c>
      <c r="AT166" s="163" t="s">
        <v>147</v>
      </c>
      <c r="AU166" s="262"/>
      <c r="AV166" s="164"/>
      <c r="AW166" s="262"/>
      <c r="AX166" s="276"/>
    </row>
    <row r="167" spans="30:50" x14ac:dyDescent="0.2">
      <c r="AD167" s="275" t="s">
        <v>127</v>
      </c>
      <c r="AE167" s="229">
        <v>44805</v>
      </c>
      <c r="AF167" s="167"/>
      <c r="AG167" s="262"/>
      <c r="AH167" s="262"/>
      <c r="AI167" s="263">
        <v>0</v>
      </c>
      <c r="AJ167" s="262"/>
      <c r="AK167" s="262"/>
      <c r="AL167" s="262"/>
      <c r="AM167" s="277"/>
      <c r="AO167" s="275" t="s">
        <v>127</v>
      </c>
      <c r="AP167" s="229">
        <v>44805</v>
      </c>
      <c r="AQ167" s="167"/>
      <c r="AR167" s="262"/>
      <c r="AS167" s="262"/>
      <c r="AT167" s="263">
        <v>0</v>
      </c>
      <c r="AU167" s="262"/>
      <c r="AV167" s="262"/>
      <c r="AW167" s="262"/>
      <c r="AX167" s="277"/>
    </row>
    <row r="168" spans="30:50" x14ac:dyDescent="0.2">
      <c r="AD168" s="275"/>
      <c r="AE168" s="229">
        <v>44813</v>
      </c>
      <c r="AF168" s="263">
        <v>80</v>
      </c>
      <c r="AG168" s="262"/>
      <c r="AH168" s="264">
        <v>0.9</v>
      </c>
      <c r="AI168" s="265">
        <f t="shared" ref="AI168:AI176" si="55">AF168/AH168</f>
        <v>88.888888888888886</v>
      </c>
      <c r="AJ168" s="262"/>
      <c r="AK168" s="265">
        <f>(AE168-AE167)*(AF168+AF167)</f>
        <v>640</v>
      </c>
      <c r="AL168" s="262"/>
      <c r="AM168" s="278">
        <f>(AE168-AE167)*(AI168+AI167)</f>
        <v>711.11111111111109</v>
      </c>
      <c r="AO168" s="275"/>
      <c r="AP168" s="229">
        <v>44813</v>
      </c>
      <c r="AQ168" s="263">
        <v>80</v>
      </c>
      <c r="AR168" s="262"/>
      <c r="AS168" s="928">
        <v>0.95</v>
      </c>
      <c r="AT168" s="265">
        <f t="shared" ref="AT168:AT176" si="56">AQ168/AS168</f>
        <v>84.21052631578948</v>
      </c>
      <c r="AU168" s="262"/>
      <c r="AV168" s="265">
        <f>(AP168-AP167)*(AQ168+AQ167)</f>
        <v>640</v>
      </c>
      <c r="AW168" s="262"/>
      <c r="AX168" s="278">
        <f>(AP168-AP167)*(AT168+AT167)</f>
        <v>673.68421052631584</v>
      </c>
    </row>
    <row r="169" spans="30:50" x14ac:dyDescent="0.2">
      <c r="AD169" s="275"/>
      <c r="AE169" s="229">
        <v>44828</v>
      </c>
      <c r="AF169" s="263">
        <v>87</v>
      </c>
      <c r="AG169" s="262"/>
      <c r="AH169" s="264">
        <v>0.9</v>
      </c>
      <c r="AI169" s="265">
        <f t="shared" si="55"/>
        <v>96.666666666666657</v>
      </c>
      <c r="AJ169" s="262"/>
      <c r="AK169" s="265">
        <f t="shared" ref="AK169:AK171" si="57">(AE169-AE168)*(AF169+AF168)</f>
        <v>2505</v>
      </c>
      <c r="AL169" s="262"/>
      <c r="AM169" s="278">
        <f t="shared" ref="AM169:AM171" si="58">(AE169-AE168)*(AI169+AI168)</f>
        <v>2783.333333333333</v>
      </c>
      <c r="AO169" s="275"/>
      <c r="AP169" s="229">
        <v>44828</v>
      </c>
      <c r="AQ169" s="263">
        <v>87</v>
      </c>
      <c r="AR169" s="262"/>
      <c r="AS169" s="928">
        <v>0.95</v>
      </c>
      <c r="AT169" s="265">
        <f t="shared" si="56"/>
        <v>91.578947368421055</v>
      </c>
      <c r="AU169" s="262"/>
      <c r="AV169" s="265">
        <f t="shared" ref="AV169:AV178" si="59">(AP169-AP168)*(AQ169+AQ168)</f>
        <v>2505</v>
      </c>
      <c r="AW169" s="262"/>
      <c r="AX169" s="278">
        <f t="shared" ref="AX169:AX178" si="60">(AP169-AP168)*(AT169+AT168)</f>
        <v>2636.8421052631579</v>
      </c>
    </row>
    <row r="170" spans="30:50" x14ac:dyDescent="0.2">
      <c r="AD170" s="279"/>
      <c r="AE170" s="229">
        <v>44840</v>
      </c>
      <c r="AF170" s="263">
        <v>93</v>
      </c>
      <c r="AG170" s="262"/>
      <c r="AH170" s="264">
        <v>0.9</v>
      </c>
      <c r="AI170" s="265">
        <f t="shared" si="55"/>
        <v>103.33333333333333</v>
      </c>
      <c r="AJ170" s="262"/>
      <c r="AK170" s="265">
        <f t="shared" si="57"/>
        <v>2160</v>
      </c>
      <c r="AL170" s="262"/>
      <c r="AM170" s="278">
        <f t="shared" si="58"/>
        <v>2400</v>
      </c>
      <c r="AO170" s="279"/>
      <c r="AP170" s="229">
        <v>44840</v>
      </c>
      <c r="AQ170" s="263">
        <v>93</v>
      </c>
      <c r="AR170" s="262"/>
      <c r="AS170" s="928">
        <v>0.95</v>
      </c>
      <c r="AT170" s="265">
        <f t="shared" si="56"/>
        <v>97.894736842105274</v>
      </c>
      <c r="AU170" s="262"/>
      <c r="AV170" s="265">
        <f t="shared" si="59"/>
        <v>2160</v>
      </c>
      <c r="AW170" s="262"/>
      <c r="AX170" s="278">
        <f t="shared" si="60"/>
        <v>2273.6842105263158</v>
      </c>
    </row>
    <row r="171" spans="30:50" x14ac:dyDescent="0.2">
      <c r="AD171" s="280"/>
      <c r="AE171" s="229">
        <v>44850</v>
      </c>
      <c r="AF171" s="263">
        <v>99</v>
      </c>
      <c r="AG171" s="262"/>
      <c r="AH171" s="264">
        <v>0.9</v>
      </c>
      <c r="AI171" s="265">
        <f t="shared" si="55"/>
        <v>110</v>
      </c>
      <c r="AJ171" s="262"/>
      <c r="AK171" s="265">
        <f t="shared" si="57"/>
        <v>1920</v>
      </c>
      <c r="AL171" s="262"/>
      <c r="AM171" s="278">
        <f t="shared" si="58"/>
        <v>2133.333333333333</v>
      </c>
      <c r="AO171" s="280"/>
      <c r="AP171" s="229">
        <v>44850</v>
      </c>
      <c r="AQ171" s="263">
        <v>99</v>
      </c>
      <c r="AR171" s="262"/>
      <c r="AS171" s="928">
        <v>0.95</v>
      </c>
      <c r="AT171" s="265">
        <f t="shared" si="56"/>
        <v>104.21052631578948</v>
      </c>
      <c r="AU171" s="262"/>
      <c r="AV171" s="265">
        <f t="shared" si="59"/>
        <v>1920</v>
      </c>
      <c r="AW171" s="262"/>
      <c r="AX171" s="278">
        <f t="shared" si="60"/>
        <v>2021.0526315789475</v>
      </c>
    </row>
    <row r="172" spans="30:50" x14ac:dyDescent="0.2">
      <c r="AD172" s="280"/>
      <c r="AE172" s="229">
        <v>44868</v>
      </c>
      <c r="AF172" s="263">
        <v>275</v>
      </c>
      <c r="AG172" s="262"/>
      <c r="AH172" s="264">
        <v>0.8</v>
      </c>
      <c r="AI172" s="265">
        <f t="shared" si="55"/>
        <v>343.75</v>
      </c>
      <c r="AJ172" s="262"/>
      <c r="AK172" s="265">
        <f t="shared" ref="AK172:AK175" si="61">(AE172-AE171)*(AF172+AF171)</f>
        <v>6732</v>
      </c>
      <c r="AL172" s="262"/>
      <c r="AM172" s="278">
        <f t="shared" ref="AM172:AM175" si="62">(AE172-AE171)*(AI172+AI171)</f>
        <v>8167.5</v>
      </c>
      <c r="AO172" s="280"/>
      <c r="AP172" s="229">
        <v>44868</v>
      </c>
      <c r="AQ172" s="263">
        <v>275</v>
      </c>
      <c r="AR172" s="262"/>
      <c r="AS172" s="928">
        <v>0.81</v>
      </c>
      <c r="AT172" s="265">
        <f t="shared" si="56"/>
        <v>339.50617283950618</v>
      </c>
      <c r="AU172" s="262"/>
      <c r="AV172" s="265">
        <f t="shared" si="59"/>
        <v>6732</v>
      </c>
      <c r="AW172" s="262"/>
      <c r="AX172" s="278">
        <f t="shared" si="60"/>
        <v>7986.9005847953222</v>
      </c>
    </row>
    <row r="173" spans="30:50" x14ac:dyDescent="0.2">
      <c r="AD173" s="880"/>
      <c r="AE173" s="229">
        <v>44875</v>
      </c>
      <c r="AF173" s="263">
        <v>341</v>
      </c>
      <c r="AG173" s="262"/>
      <c r="AH173" s="264">
        <v>0.9</v>
      </c>
      <c r="AI173" s="265">
        <f t="shared" si="55"/>
        <v>378.88888888888886</v>
      </c>
      <c r="AJ173" s="262"/>
      <c r="AK173" s="265">
        <f t="shared" si="61"/>
        <v>4312</v>
      </c>
      <c r="AL173" s="262"/>
      <c r="AM173" s="278">
        <f t="shared" si="62"/>
        <v>5058.4722222222226</v>
      </c>
      <c r="AO173" s="880"/>
      <c r="AP173" s="229">
        <v>44875</v>
      </c>
      <c r="AQ173" s="263">
        <v>341</v>
      </c>
      <c r="AR173" s="262"/>
      <c r="AS173" s="928">
        <v>0.95</v>
      </c>
      <c r="AT173" s="265">
        <f t="shared" si="56"/>
        <v>358.94736842105266</v>
      </c>
      <c r="AU173" s="262"/>
      <c r="AV173" s="265">
        <f t="shared" si="59"/>
        <v>4312</v>
      </c>
      <c r="AW173" s="262"/>
      <c r="AX173" s="278">
        <f t="shared" si="60"/>
        <v>4889.1747888239115</v>
      </c>
    </row>
    <row r="174" spans="30:50" x14ac:dyDescent="0.2">
      <c r="AD174" s="280"/>
      <c r="AE174" s="229">
        <v>44882</v>
      </c>
      <c r="AF174" s="263">
        <v>286</v>
      </c>
      <c r="AG174" s="262"/>
      <c r="AH174" s="264">
        <v>0.9</v>
      </c>
      <c r="AI174" s="265">
        <f t="shared" si="55"/>
        <v>317.77777777777777</v>
      </c>
      <c r="AJ174" s="262"/>
      <c r="AK174" s="265">
        <f t="shared" si="61"/>
        <v>4389</v>
      </c>
      <c r="AL174" s="262"/>
      <c r="AM174" s="278">
        <f t="shared" si="62"/>
        <v>4876.6666666666661</v>
      </c>
      <c r="AO174" s="280"/>
      <c r="AP174" s="229">
        <v>44882</v>
      </c>
      <c r="AQ174" s="263">
        <v>286</v>
      </c>
      <c r="AR174" s="262"/>
      <c r="AS174" s="928">
        <v>0.94</v>
      </c>
      <c r="AT174" s="265">
        <f t="shared" si="56"/>
        <v>304.25531914893617</v>
      </c>
      <c r="AU174" s="262"/>
      <c r="AV174" s="265">
        <f t="shared" si="59"/>
        <v>4389</v>
      </c>
      <c r="AW174" s="262"/>
      <c r="AX174" s="278">
        <f t="shared" si="60"/>
        <v>4642.4188129899221</v>
      </c>
    </row>
    <row r="175" spans="30:50" x14ac:dyDescent="0.2">
      <c r="AD175" s="280"/>
      <c r="AE175" s="229">
        <v>44910</v>
      </c>
      <c r="AF175" s="263">
        <v>0</v>
      </c>
      <c r="AG175" s="262"/>
      <c r="AH175" s="264">
        <v>0.9</v>
      </c>
      <c r="AI175" s="265">
        <f t="shared" si="55"/>
        <v>0</v>
      </c>
      <c r="AJ175" s="262"/>
      <c r="AK175" s="265">
        <f t="shared" si="61"/>
        <v>8008</v>
      </c>
      <c r="AL175" s="262"/>
      <c r="AM175" s="278">
        <f t="shared" si="62"/>
        <v>8897.7777777777774</v>
      </c>
      <c r="AO175" s="280"/>
      <c r="AP175" s="229">
        <v>44910</v>
      </c>
      <c r="AQ175" s="263">
        <v>0</v>
      </c>
      <c r="AR175" s="262"/>
      <c r="AS175" s="264">
        <v>0.9</v>
      </c>
      <c r="AT175" s="265">
        <f t="shared" si="56"/>
        <v>0</v>
      </c>
      <c r="AU175" s="262"/>
      <c r="AV175" s="265">
        <f t="shared" si="59"/>
        <v>8008</v>
      </c>
      <c r="AW175" s="262"/>
      <c r="AX175" s="278">
        <f t="shared" si="60"/>
        <v>8519.1489361702133</v>
      </c>
    </row>
    <row r="176" spans="30:50" x14ac:dyDescent="0.2">
      <c r="AD176" s="280"/>
      <c r="AE176" s="229">
        <v>44911</v>
      </c>
      <c r="AF176" s="263">
        <v>0</v>
      </c>
      <c r="AG176" s="262"/>
      <c r="AH176" s="264">
        <v>0.9</v>
      </c>
      <c r="AI176" s="265">
        <f t="shared" si="55"/>
        <v>0</v>
      </c>
      <c r="AJ176" s="262"/>
      <c r="AK176" s="265">
        <f t="shared" ref="AK176:AK178" si="63">(AE176-AE175)*(AF176+AF175)</f>
        <v>0</v>
      </c>
      <c r="AL176" s="262"/>
      <c r="AM176" s="278">
        <f t="shared" ref="AM176:AM178" si="64">(AE176-AE175)*(AI176+AI175)</f>
        <v>0</v>
      </c>
      <c r="AO176" s="280"/>
      <c r="AP176" s="229">
        <v>44911</v>
      </c>
      <c r="AQ176" s="263">
        <v>0</v>
      </c>
      <c r="AR176" s="262"/>
      <c r="AS176" s="264">
        <v>0.9</v>
      </c>
      <c r="AT176" s="265">
        <f t="shared" si="56"/>
        <v>0</v>
      </c>
      <c r="AU176" s="262"/>
      <c r="AV176" s="265">
        <f t="shared" si="59"/>
        <v>0</v>
      </c>
      <c r="AW176" s="262"/>
      <c r="AX176" s="278">
        <f t="shared" si="60"/>
        <v>0</v>
      </c>
    </row>
    <row r="177" spans="30:50" x14ac:dyDescent="0.2">
      <c r="AD177" s="290"/>
      <c r="AE177" s="229">
        <v>44912</v>
      </c>
      <c r="AF177" s="55"/>
      <c r="AG177" s="55"/>
      <c r="AH177" s="55"/>
      <c r="AI177" s="263">
        <v>0</v>
      </c>
      <c r="AJ177" s="55"/>
      <c r="AK177" s="265">
        <f t="shared" si="63"/>
        <v>0</v>
      </c>
      <c r="AL177" s="262"/>
      <c r="AM177" s="278">
        <f t="shared" si="64"/>
        <v>0</v>
      </c>
      <c r="AO177" s="290"/>
      <c r="AP177" s="229">
        <v>44912</v>
      </c>
      <c r="AQ177" s="55"/>
      <c r="AR177" s="55"/>
      <c r="AS177" s="55"/>
      <c r="AT177" s="263">
        <v>0</v>
      </c>
      <c r="AU177" s="55"/>
      <c r="AV177" s="265">
        <f t="shared" si="59"/>
        <v>0</v>
      </c>
      <c r="AW177" s="262"/>
      <c r="AX177" s="278">
        <f t="shared" si="60"/>
        <v>0</v>
      </c>
    </row>
    <row r="178" spans="30:50" x14ac:dyDescent="0.2">
      <c r="AD178" s="275" t="s">
        <v>128</v>
      </c>
      <c r="AE178" s="229"/>
      <c r="AF178" s="176"/>
      <c r="AG178" s="262"/>
      <c r="AH178" s="177"/>
      <c r="AI178" s="178">
        <v>0</v>
      </c>
      <c r="AJ178" s="179"/>
      <c r="AK178" s="265">
        <f t="shared" si="63"/>
        <v>0</v>
      </c>
      <c r="AL178" s="262"/>
      <c r="AM178" s="278">
        <f t="shared" si="64"/>
        <v>0</v>
      </c>
      <c r="AO178" s="275" t="s">
        <v>128</v>
      </c>
      <c r="AP178" s="229"/>
      <c r="AQ178" s="176"/>
      <c r="AR178" s="262"/>
      <c r="AS178" s="177"/>
      <c r="AT178" s="178">
        <v>0</v>
      </c>
      <c r="AU178" s="179"/>
      <c r="AV178" s="265">
        <f t="shared" si="59"/>
        <v>0</v>
      </c>
      <c r="AW178" s="262"/>
      <c r="AX178" s="278">
        <f t="shared" si="60"/>
        <v>0</v>
      </c>
    </row>
    <row r="179" spans="30:50" x14ac:dyDescent="0.2">
      <c r="AD179" s="275" t="s">
        <v>2</v>
      </c>
      <c r="AE179" s="167">
        <v>7</v>
      </c>
      <c r="AF179" s="167"/>
      <c r="AG179" s="167"/>
      <c r="AH179" s="262"/>
      <c r="AI179" s="262"/>
      <c r="AJ179" s="262"/>
      <c r="AK179" s="262"/>
      <c r="AL179" s="262"/>
      <c r="AM179" s="277"/>
      <c r="AO179" s="275" t="s">
        <v>2</v>
      </c>
      <c r="AP179" s="167">
        <v>7</v>
      </c>
      <c r="AQ179" s="167"/>
      <c r="AR179" s="167"/>
      <c r="AS179" s="262"/>
      <c r="AT179" s="262"/>
      <c r="AU179" s="262"/>
      <c r="AV179" s="262"/>
      <c r="AW179" s="262"/>
      <c r="AX179" s="277"/>
    </row>
    <row r="180" spans="30:50" x14ac:dyDescent="0.2">
      <c r="AD180" s="275" t="s">
        <v>129</v>
      </c>
      <c r="AE180" s="167"/>
      <c r="AF180" s="167">
        <f>MAX(AF167:AF178)</f>
        <v>341</v>
      </c>
      <c r="AG180" s="167"/>
      <c r="AH180" s="167"/>
      <c r="AI180" s="167">
        <f>MAX(AI167:AI178)</f>
        <v>378.88888888888886</v>
      </c>
      <c r="AJ180" s="167"/>
      <c r="AK180" s="167"/>
      <c r="AL180" s="262"/>
      <c r="AM180" s="277"/>
      <c r="AO180" s="275" t="s">
        <v>129</v>
      </c>
      <c r="AP180" s="167"/>
      <c r="AQ180" s="167">
        <f>MAX(AQ167:AQ178)</f>
        <v>341</v>
      </c>
      <c r="AR180" s="167"/>
      <c r="AS180" s="167"/>
      <c r="AT180" s="167">
        <f>MAX(AT167:AT178)</f>
        <v>358.94736842105266</v>
      </c>
      <c r="AU180" s="167"/>
      <c r="AV180" s="167"/>
      <c r="AW180" s="262"/>
      <c r="AX180" s="277"/>
    </row>
    <row r="181" spans="30:50" x14ac:dyDescent="0.2">
      <c r="AD181" s="275" t="s">
        <v>130</v>
      </c>
      <c r="AE181" s="167"/>
      <c r="AF181" s="263">
        <v>30</v>
      </c>
      <c r="AG181" s="167"/>
      <c r="AH181" s="262"/>
      <c r="AI181" s="263">
        <v>30</v>
      </c>
      <c r="AJ181" s="266"/>
      <c r="AK181" s="266"/>
      <c r="AL181" s="262"/>
      <c r="AM181" s="277"/>
      <c r="AO181" s="275" t="s">
        <v>130</v>
      </c>
      <c r="AP181" s="167"/>
      <c r="AQ181" s="263">
        <v>30</v>
      </c>
      <c r="AR181" s="167"/>
      <c r="AS181" s="262"/>
      <c r="AT181" s="263">
        <v>30</v>
      </c>
      <c r="AU181" s="266"/>
      <c r="AV181" s="266"/>
      <c r="AW181" s="262"/>
      <c r="AX181" s="277"/>
    </row>
    <row r="182" spans="30:50" x14ac:dyDescent="0.2">
      <c r="AD182" s="275" t="s">
        <v>131</v>
      </c>
      <c r="AE182" s="167"/>
      <c r="AF182" s="267">
        <f>(0.5*SUM(AK168:AK178))/AF181</f>
        <v>511.1</v>
      </c>
      <c r="AG182" s="167"/>
      <c r="AH182" s="262"/>
      <c r="AI182" s="267">
        <f>(0.5*SUM(AM168:AM178))/AI181</f>
        <v>583.80324074074065</v>
      </c>
      <c r="AJ182" s="266"/>
      <c r="AK182" s="266"/>
      <c r="AL182" s="262"/>
      <c r="AM182" s="277"/>
      <c r="AO182" s="275" t="s">
        <v>131</v>
      </c>
      <c r="AP182" s="167"/>
      <c r="AQ182" s="267">
        <f>(0.5*SUM(AV168:AV178))/AQ181</f>
        <v>511.1</v>
      </c>
      <c r="AR182" s="167"/>
      <c r="AS182" s="262"/>
      <c r="AT182" s="267">
        <f>(0.5*SUM(AX168:AX178))/AT181</f>
        <v>560.71510467790176</v>
      </c>
      <c r="AU182" s="266"/>
      <c r="AV182" s="266"/>
      <c r="AW182" s="262"/>
      <c r="AX182" s="277"/>
    </row>
    <row r="183" spans="30:50" ht="13.5" thickBot="1" x14ac:dyDescent="0.25">
      <c r="AD183" s="291"/>
      <c r="AE183" s="286"/>
      <c r="AF183" s="286"/>
      <c r="AG183" s="286"/>
      <c r="AH183" s="286"/>
      <c r="AI183" s="286"/>
      <c r="AJ183" s="286"/>
      <c r="AK183" s="286"/>
      <c r="AL183" s="286"/>
      <c r="AM183" s="288"/>
      <c r="AO183" s="291"/>
      <c r="AP183" s="286"/>
      <c r="AQ183" s="286"/>
      <c r="AR183" s="286"/>
      <c r="AS183" s="286"/>
      <c r="AT183" s="286"/>
      <c r="AU183" s="286"/>
      <c r="AV183" s="286"/>
      <c r="AW183" s="286"/>
      <c r="AX183" s="288"/>
    </row>
    <row r="184" spans="30:50" ht="13.5" thickBot="1" x14ac:dyDescent="0.25"/>
    <row r="185" spans="30:50" ht="15" x14ac:dyDescent="0.25">
      <c r="AD185" s="269" t="s">
        <v>117</v>
      </c>
      <c r="AE185" s="270" t="s">
        <v>118</v>
      </c>
      <c r="AF185" s="271" t="s">
        <v>119</v>
      </c>
      <c r="AG185" s="272"/>
      <c r="AH185" s="271" t="s">
        <v>120</v>
      </c>
      <c r="AI185" s="271"/>
      <c r="AJ185" s="272"/>
      <c r="AK185" s="273" t="s">
        <v>121</v>
      </c>
      <c r="AL185" s="272"/>
      <c r="AM185" s="274" t="s">
        <v>122</v>
      </c>
      <c r="AO185" s="269" t="s">
        <v>117</v>
      </c>
      <c r="AP185" s="270" t="s">
        <v>118</v>
      </c>
      <c r="AQ185" s="271" t="s">
        <v>119</v>
      </c>
      <c r="AR185" s="272"/>
      <c r="AS185" s="271" t="s">
        <v>120</v>
      </c>
      <c r="AT185" s="271"/>
      <c r="AU185" s="272"/>
      <c r="AV185" s="273" t="s">
        <v>121</v>
      </c>
      <c r="AW185" s="272"/>
      <c r="AX185" s="274" t="s">
        <v>122</v>
      </c>
    </row>
    <row r="186" spans="30:50" x14ac:dyDescent="0.2">
      <c r="AD186" s="275" t="s">
        <v>39</v>
      </c>
      <c r="AE186" s="923" t="s">
        <v>326</v>
      </c>
      <c r="AF186" s="923" t="s">
        <v>146</v>
      </c>
      <c r="AG186" s="262"/>
      <c r="AH186" s="163" t="s">
        <v>148</v>
      </c>
      <c r="AI186" s="163" t="s">
        <v>147</v>
      </c>
      <c r="AJ186" s="262"/>
      <c r="AK186" s="164"/>
      <c r="AL186" s="262"/>
      <c r="AM186" s="276"/>
      <c r="AO186" s="275" t="s">
        <v>39</v>
      </c>
      <c r="AP186" s="923" t="s">
        <v>326</v>
      </c>
      <c r="AQ186" s="923" t="s">
        <v>146</v>
      </c>
      <c r="AR186" s="262"/>
      <c r="AS186" s="163" t="s">
        <v>148</v>
      </c>
      <c r="AT186" s="163" t="s">
        <v>147</v>
      </c>
      <c r="AU186" s="262"/>
      <c r="AV186" s="164"/>
      <c r="AW186" s="262"/>
      <c r="AX186" s="276"/>
    </row>
    <row r="187" spans="30:50" x14ac:dyDescent="0.2">
      <c r="AD187" s="275" t="s">
        <v>127</v>
      </c>
      <c r="AE187" s="229">
        <v>44805</v>
      </c>
      <c r="AF187" s="167"/>
      <c r="AG187" s="262"/>
      <c r="AH187" s="262"/>
      <c r="AI187" s="263">
        <v>0</v>
      </c>
      <c r="AJ187" s="262"/>
      <c r="AK187" s="262"/>
      <c r="AL187" s="262"/>
      <c r="AM187" s="277"/>
      <c r="AO187" s="275" t="s">
        <v>127</v>
      </c>
      <c r="AP187" s="229">
        <v>44805</v>
      </c>
      <c r="AQ187" s="167"/>
      <c r="AR187" s="262"/>
      <c r="AS187" s="262"/>
      <c r="AT187" s="263">
        <v>0</v>
      </c>
      <c r="AU187" s="262"/>
      <c r="AV187" s="262"/>
      <c r="AW187" s="262"/>
      <c r="AX187" s="277"/>
    </row>
    <row r="188" spans="30:50" x14ac:dyDescent="0.2">
      <c r="AD188" s="275"/>
      <c r="AE188" s="229">
        <v>44813</v>
      </c>
      <c r="AF188" s="263">
        <v>64</v>
      </c>
      <c r="AG188" s="262"/>
      <c r="AH188" s="264">
        <v>0.9</v>
      </c>
      <c r="AI188" s="265">
        <f t="shared" ref="AI188:AI196" si="65">AF188/AH188</f>
        <v>71.111111111111114</v>
      </c>
      <c r="AJ188" s="262"/>
      <c r="AK188" s="265">
        <f>(AE188-AE187)*(AF188+AF187)</f>
        <v>512</v>
      </c>
      <c r="AL188" s="262"/>
      <c r="AM188" s="278">
        <f>(AE188-AE187)*(AI188+AI187)</f>
        <v>568.88888888888891</v>
      </c>
      <c r="AO188" s="275"/>
      <c r="AP188" s="229">
        <v>44813</v>
      </c>
      <c r="AQ188" s="263">
        <v>64</v>
      </c>
      <c r="AR188" s="262"/>
      <c r="AS188" s="928">
        <v>0.96</v>
      </c>
      <c r="AT188" s="265">
        <f t="shared" ref="AT188:AT196" si="66">AQ188/AS188</f>
        <v>66.666666666666671</v>
      </c>
      <c r="AU188" s="262"/>
      <c r="AV188" s="265">
        <f>(AP188-AP187)*(AQ188+AQ187)</f>
        <v>512</v>
      </c>
      <c r="AW188" s="262"/>
      <c r="AX188" s="278">
        <f>(AP188-AP187)*(AT188+AT187)</f>
        <v>533.33333333333337</v>
      </c>
    </row>
    <row r="189" spans="30:50" x14ac:dyDescent="0.2">
      <c r="AD189" s="275"/>
      <c r="AE189" s="229">
        <v>44828</v>
      </c>
      <c r="AF189" s="263">
        <v>182</v>
      </c>
      <c r="AG189" s="262"/>
      <c r="AH189" s="264">
        <v>0.9</v>
      </c>
      <c r="AI189" s="265">
        <f t="shared" si="65"/>
        <v>202.22222222222223</v>
      </c>
      <c r="AJ189" s="262"/>
      <c r="AK189" s="265">
        <f t="shared" ref="AK189:AK191" si="67">(AE189-AE188)*(AF189+AF188)</f>
        <v>3690</v>
      </c>
      <c r="AL189" s="262"/>
      <c r="AM189" s="278">
        <f t="shared" ref="AM189:AM191" si="68">(AE189-AE188)*(AI189+AI188)</f>
        <v>4100.0000000000009</v>
      </c>
      <c r="AO189" s="275"/>
      <c r="AP189" s="229">
        <v>44828</v>
      </c>
      <c r="AQ189" s="263">
        <v>182</v>
      </c>
      <c r="AR189" s="262"/>
      <c r="AS189" s="928">
        <v>0.95</v>
      </c>
      <c r="AT189" s="265">
        <f t="shared" si="66"/>
        <v>191.57894736842107</v>
      </c>
      <c r="AU189" s="262"/>
      <c r="AV189" s="265">
        <f t="shared" ref="AV189:AV198" si="69">(AP189-AP188)*(AQ189+AQ188)</f>
        <v>3690</v>
      </c>
      <c r="AW189" s="262"/>
      <c r="AX189" s="278">
        <f t="shared" ref="AX189:AX198" si="70">(AP189-AP188)*(AT189+AT188)</f>
        <v>3873.6842105263158</v>
      </c>
    </row>
    <row r="190" spans="30:50" x14ac:dyDescent="0.2">
      <c r="AD190" s="279"/>
      <c r="AE190" s="229">
        <v>44840</v>
      </c>
      <c r="AF190" s="263">
        <v>231</v>
      </c>
      <c r="AG190" s="262"/>
      <c r="AH190" s="264">
        <v>0.9</v>
      </c>
      <c r="AI190" s="265">
        <f t="shared" si="65"/>
        <v>256.66666666666669</v>
      </c>
      <c r="AJ190" s="262"/>
      <c r="AK190" s="265">
        <f t="shared" si="67"/>
        <v>4956</v>
      </c>
      <c r="AL190" s="262"/>
      <c r="AM190" s="278">
        <f t="shared" si="68"/>
        <v>5506.666666666667</v>
      </c>
      <c r="AO190" s="279"/>
      <c r="AP190" s="229">
        <v>44840</v>
      </c>
      <c r="AQ190" s="263">
        <v>231</v>
      </c>
      <c r="AR190" s="262"/>
      <c r="AS190" s="928">
        <v>0.95</v>
      </c>
      <c r="AT190" s="265">
        <f t="shared" si="66"/>
        <v>243.15789473684211</v>
      </c>
      <c r="AU190" s="262"/>
      <c r="AV190" s="265">
        <f t="shared" si="69"/>
        <v>4956</v>
      </c>
      <c r="AW190" s="262"/>
      <c r="AX190" s="278">
        <f t="shared" si="70"/>
        <v>5216.8421052631584</v>
      </c>
    </row>
    <row r="191" spans="30:50" x14ac:dyDescent="0.2">
      <c r="AD191" s="280"/>
      <c r="AE191" s="229">
        <v>44850</v>
      </c>
      <c r="AF191" s="263">
        <v>238</v>
      </c>
      <c r="AG191" s="262"/>
      <c r="AH191" s="264">
        <v>0.9</v>
      </c>
      <c r="AI191" s="265">
        <f t="shared" si="65"/>
        <v>264.44444444444446</v>
      </c>
      <c r="AJ191" s="262"/>
      <c r="AK191" s="265">
        <f t="shared" si="67"/>
        <v>4690</v>
      </c>
      <c r="AL191" s="262"/>
      <c r="AM191" s="278">
        <f t="shared" si="68"/>
        <v>5211.1111111111113</v>
      </c>
      <c r="AO191" s="280"/>
      <c r="AP191" s="229">
        <v>44850</v>
      </c>
      <c r="AQ191" s="263">
        <v>238</v>
      </c>
      <c r="AR191" s="262"/>
      <c r="AS191" s="928">
        <v>0.95</v>
      </c>
      <c r="AT191" s="265">
        <f t="shared" si="66"/>
        <v>250.5263157894737</v>
      </c>
      <c r="AU191" s="262"/>
      <c r="AV191" s="265">
        <f t="shared" si="69"/>
        <v>4690</v>
      </c>
      <c r="AW191" s="262"/>
      <c r="AX191" s="278">
        <f t="shared" si="70"/>
        <v>4936.8421052631584</v>
      </c>
    </row>
    <row r="192" spans="30:50" x14ac:dyDescent="0.2">
      <c r="AD192" s="280"/>
      <c r="AE192" s="229">
        <v>44868</v>
      </c>
      <c r="AF192" s="263">
        <v>438</v>
      </c>
      <c r="AG192" s="262"/>
      <c r="AH192" s="264">
        <v>0.8</v>
      </c>
      <c r="AI192" s="265">
        <f t="shared" si="65"/>
        <v>547.5</v>
      </c>
      <c r="AJ192" s="262"/>
      <c r="AK192" s="265">
        <f t="shared" ref="AK192:AK196" si="71">(AE192-AE191)*(AF192+AF191)</f>
        <v>12168</v>
      </c>
      <c r="AL192" s="262"/>
      <c r="AM192" s="278">
        <f t="shared" ref="AM192:AM196" si="72">(AE192-AE191)*(AI192+AI191)</f>
        <v>14615</v>
      </c>
      <c r="AO192" s="280"/>
      <c r="AP192" s="229">
        <v>44868</v>
      </c>
      <c r="AQ192" s="263">
        <v>438</v>
      </c>
      <c r="AR192" s="262"/>
      <c r="AS192" s="928">
        <v>0.82</v>
      </c>
      <c r="AT192" s="265">
        <f t="shared" si="66"/>
        <v>534.14634146341461</v>
      </c>
      <c r="AU192" s="262"/>
      <c r="AV192" s="265">
        <f t="shared" si="69"/>
        <v>12168</v>
      </c>
      <c r="AW192" s="262"/>
      <c r="AX192" s="278">
        <f t="shared" si="70"/>
        <v>14124.107830551988</v>
      </c>
    </row>
    <row r="193" spans="30:50" x14ac:dyDescent="0.2">
      <c r="AD193" s="880"/>
      <c r="AE193" s="229">
        <v>44875</v>
      </c>
      <c r="AF193" s="263">
        <v>329</v>
      </c>
      <c r="AG193" s="262"/>
      <c r="AH193" s="264">
        <v>0.9</v>
      </c>
      <c r="AI193" s="265">
        <f t="shared" si="65"/>
        <v>365.55555555555554</v>
      </c>
      <c r="AJ193" s="262"/>
      <c r="AK193" s="265">
        <f t="shared" si="71"/>
        <v>5369</v>
      </c>
      <c r="AL193" s="262"/>
      <c r="AM193" s="278">
        <f t="shared" si="72"/>
        <v>6391.3888888888887</v>
      </c>
      <c r="AO193" s="880"/>
      <c r="AP193" s="229">
        <v>44875</v>
      </c>
      <c r="AQ193" s="263">
        <v>329</v>
      </c>
      <c r="AR193" s="262"/>
      <c r="AS193" s="928">
        <v>0.93</v>
      </c>
      <c r="AT193" s="265">
        <f t="shared" si="66"/>
        <v>353.76344086021504</v>
      </c>
      <c r="AU193" s="262"/>
      <c r="AV193" s="265">
        <f t="shared" si="69"/>
        <v>5369</v>
      </c>
      <c r="AW193" s="262"/>
      <c r="AX193" s="278">
        <f t="shared" si="70"/>
        <v>6215.3684762654075</v>
      </c>
    </row>
    <row r="194" spans="30:50" x14ac:dyDescent="0.2">
      <c r="AD194" s="280"/>
      <c r="AE194" s="229">
        <v>44882</v>
      </c>
      <c r="AF194" s="263">
        <v>237</v>
      </c>
      <c r="AG194" s="262"/>
      <c r="AH194" s="264">
        <v>0.9</v>
      </c>
      <c r="AI194" s="265">
        <f t="shared" si="65"/>
        <v>263.33333333333331</v>
      </c>
      <c r="AJ194" s="262"/>
      <c r="AK194" s="265">
        <f t="shared" si="71"/>
        <v>3962</v>
      </c>
      <c r="AL194" s="262"/>
      <c r="AM194" s="278">
        <f t="shared" si="72"/>
        <v>4402.2222222222226</v>
      </c>
      <c r="AO194" s="280"/>
      <c r="AP194" s="229">
        <v>44882</v>
      </c>
      <c r="AQ194" s="263">
        <v>237</v>
      </c>
      <c r="AR194" s="262"/>
      <c r="AS194" s="928">
        <v>0.95</v>
      </c>
      <c r="AT194" s="265">
        <f t="shared" si="66"/>
        <v>249.47368421052633</v>
      </c>
      <c r="AU194" s="262"/>
      <c r="AV194" s="265">
        <f t="shared" si="69"/>
        <v>3962</v>
      </c>
      <c r="AW194" s="262"/>
      <c r="AX194" s="278">
        <f t="shared" si="70"/>
        <v>4222.6598754951901</v>
      </c>
    </row>
    <row r="195" spans="30:50" x14ac:dyDescent="0.2">
      <c r="AD195" s="280"/>
      <c r="AE195" s="229">
        <v>44910</v>
      </c>
      <c r="AF195" s="263">
        <v>0</v>
      </c>
      <c r="AG195" s="262"/>
      <c r="AH195" s="264">
        <v>0.9</v>
      </c>
      <c r="AI195" s="265">
        <f t="shared" si="65"/>
        <v>0</v>
      </c>
      <c r="AJ195" s="262"/>
      <c r="AK195" s="265">
        <f t="shared" si="71"/>
        <v>6636</v>
      </c>
      <c r="AL195" s="262"/>
      <c r="AM195" s="278">
        <f t="shared" si="72"/>
        <v>7373.333333333333</v>
      </c>
      <c r="AO195" s="280"/>
      <c r="AP195" s="229">
        <v>44910</v>
      </c>
      <c r="AQ195" s="263">
        <v>0</v>
      </c>
      <c r="AR195" s="262"/>
      <c r="AS195" s="264">
        <v>0.9</v>
      </c>
      <c r="AT195" s="265">
        <f t="shared" si="66"/>
        <v>0</v>
      </c>
      <c r="AU195" s="262"/>
      <c r="AV195" s="265">
        <f t="shared" si="69"/>
        <v>6636</v>
      </c>
      <c r="AW195" s="262"/>
      <c r="AX195" s="278">
        <f t="shared" si="70"/>
        <v>6985.2631578947376</v>
      </c>
    </row>
    <row r="196" spans="30:50" x14ac:dyDescent="0.2">
      <c r="AD196" s="280"/>
      <c r="AE196" s="229">
        <v>44911</v>
      </c>
      <c r="AF196" s="263">
        <v>0</v>
      </c>
      <c r="AG196" s="262"/>
      <c r="AH196" s="264">
        <v>0.9</v>
      </c>
      <c r="AI196" s="265">
        <f t="shared" si="65"/>
        <v>0</v>
      </c>
      <c r="AJ196" s="262"/>
      <c r="AK196" s="265">
        <f t="shared" si="71"/>
        <v>0</v>
      </c>
      <c r="AL196" s="262"/>
      <c r="AM196" s="278">
        <f t="shared" si="72"/>
        <v>0</v>
      </c>
      <c r="AO196" s="280"/>
      <c r="AP196" s="229">
        <v>44911</v>
      </c>
      <c r="AQ196" s="263">
        <v>0</v>
      </c>
      <c r="AR196" s="262"/>
      <c r="AS196" s="264">
        <v>0.9</v>
      </c>
      <c r="AT196" s="265">
        <f t="shared" si="66"/>
        <v>0</v>
      </c>
      <c r="AU196" s="262"/>
      <c r="AV196" s="265">
        <f t="shared" si="69"/>
        <v>0</v>
      </c>
      <c r="AW196" s="262"/>
      <c r="AX196" s="278">
        <f t="shared" si="70"/>
        <v>0</v>
      </c>
    </row>
    <row r="197" spans="30:50" x14ac:dyDescent="0.2">
      <c r="AD197" s="290"/>
      <c r="AE197" s="229">
        <v>44912</v>
      </c>
      <c r="AF197" s="55"/>
      <c r="AG197" s="55"/>
      <c r="AH197" s="55"/>
      <c r="AI197" s="263">
        <v>0</v>
      </c>
      <c r="AJ197" s="55"/>
      <c r="AK197" s="265">
        <f t="shared" ref="AK197:AK198" si="73">(AE197-AE196)*(AF197+AF196)</f>
        <v>0</v>
      </c>
      <c r="AL197" s="262"/>
      <c r="AM197" s="278">
        <f t="shared" ref="AM197:AM198" si="74">(AE197-AE196)*(AI197+AI196)</f>
        <v>0</v>
      </c>
      <c r="AO197" s="290"/>
      <c r="AP197" s="229">
        <v>44912</v>
      </c>
      <c r="AQ197" s="55"/>
      <c r="AR197" s="55"/>
      <c r="AS197" s="55"/>
      <c r="AT197" s="263">
        <v>0</v>
      </c>
      <c r="AU197" s="55"/>
      <c r="AV197" s="265">
        <f t="shared" si="69"/>
        <v>0</v>
      </c>
      <c r="AW197" s="262"/>
      <c r="AX197" s="278">
        <f t="shared" si="70"/>
        <v>0</v>
      </c>
    </row>
    <row r="198" spans="30:50" x14ac:dyDescent="0.2">
      <c r="AD198" s="275" t="s">
        <v>128</v>
      </c>
      <c r="AE198" s="229"/>
      <c r="AF198" s="176"/>
      <c r="AG198" s="262"/>
      <c r="AH198" s="177"/>
      <c r="AI198" s="178">
        <v>0</v>
      </c>
      <c r="AJ198" s="179"/>
      <c r="AK198" s="265">
        <f t="shared" si="73"/>
        <v>0</v>
      </c>
      <c r="AL198" s="262"/>
      <c r="AM198" s="278">
        <f t="shared" si="74"/>
        <v>0</v>
      </c>
      <c r="AO198" s="275" t="s">
        <v>128</v>
      </c>
      <c r="AP198" s="229"/>
      <c r="AQ198" s="176"/>
      <c r="AR198" s="262"/>
      <c r="AS198" s="177"/>
      <c r="AT198" s="178">
        <v>0</v>
      </c>
      <c r="AU198" s="179"/>
      <c r="AV198" s="265">
        <f t="shared" si="69"/>
        <v>0</v>
      </c>
      <c r="AW198" s="262"/>
      <c r="AX198" s="278">
        <f t="shared" si="70"/>
        <v>0</v>
      </c>
    </row>
    <row r="199" spans="30:50" x14ac:dyDescent="0.2">
      <c r="AD199" s="275" t="s">
        <v>2</v>
      </c>
      <c r="AE199" s="167">
        <v>7</v>
      </c>
      <c r="AF199" s="167"/>
      <c r="AG199" s="167"/>
      <c r="AH199" s="262"/>
      <c r="AI199" s="262"/>
      <c r="AJ199" s="262"/>
      <c r="AK199" s="262"/>
      <c r="AL199" s="262"/>
      <c r="AM199" s="277"/>
      <c r="AO199" s="275" t="s">
        <v>2</v>
      </c>
      <c r="AP199" s="167">
        <v>7</v>
      </c>
      <c r="AQ199" s="167"/>
      <c r="AR199" s="167"/>
      <c r="AS199" s="262"/>
      <c r="AT199" s="262"/>
      <c r="AU199" s="262"/>
      <c r="AV199" s="262"/>
      <c r="AW199" s="262"/>
      <c r="AX199" s="277"/>
    </row>
    <row r="200" spans="30:50" x14ac:dyDescent="0.2">
      <c r="AD200" s="275" t="s">
        <v>129</v>
      </c>
      <c r="AE200" s="167"/>
      <c r="AF200" s="167">
        <f>MAX(AF187:AF198)</f>
        <v>438</v>
      </c>
      <c r="AG200" s="167"/>
      <c r="AH200" s="167"/>
      <c r="AI200" s="167">
        <f>MAX(AI187:AI198)</f>
        <v>547.5</v>
      </c>
      <c r="AJ200" s="167"/>
      <c r="AK200" s="167"/>
      <c r="AL200" s="262"/>
      <c r="AM200" s="277"/>
      <c r="AO200" s="275" t="s">
        <v>129</v>
      </c>
      <c r="AP200" s="167"/>
      <c r="AQ200" s="167">
        <f>MAX(AQ187:AQ198)</f>
        <v>438</v>
      </c>
      <c r="AR200" s="167"/>
      <c r="AS200" s="167"/>
      <c r="AT200" s="167">
        <f>MAX(AT187:AT198)</f>
        <v>534.14634146341461</v>
      </c>
      <c r="AU200" s="167"/>
      <c r="AV200" s="167"/>
      <c r="AW200" s="262"/>
      <c r="AX200" s="277"/>
    </row>
    <row r="201" spans="30:50" x14ac:dyDescent="0.2">
      <c r="AD201" s="275" t="s">
        <v>130</v>
      </c>
      <c r="AE201" s="167"/>
      <c r="AF201" s="263">
        <v>30</v>
      </c>
      <c r="AG201" s="167"/>
      <c r="AH201" s="262"/>
      <c r="AI201" s="263">
        <v>30</v>
      </c>
      <c r="AJ201" s="266"/>
      <c r="AK201" s="266"/>
      <c r="AL201" s="262"/>
      <c r="AM201" s="277"/>
      <c r="AO201" s="275" t="s">
        <v>130</v>
      </c>
      <c r="AP201" s="167"/>
      <c r="AQ201" s="263">
        <v>30</v>
      </c>
      <c r="AR201" s="167"/>
      <c r="AS201" s="262"/>
      <c r="AT201" s="263">
        <v>30</v>
      </c>
      <c r="AU201" s="266"/>
      <c r="AV201" s="266"/>
      <c r="AW201" s="262"/>
      <c r="AX201" s="277"/>
    </row>
    <row r="202" spans="30:50" x14ac:dyDescent="0.2">
      <c r="AD202" s="275" t="s">
        <v>131</v>
      </c>
      <c r="AE202" s="167"/>
      <c r="AF202" s="267">
        <f>(0.5*SUM(AK188:AK198))/AF201</f>
        <v>699.7166666666667</v>
      </c>
      <c r="AG202" s="167"/>
      <c r="AH202" s="262"/>
      <c r="AI202" s="267">
        <f>(0.5*SUM(AM188:AM198))/AI201</f>
        <v>802.81018518518533</v>
      </c>
      <c r="AJ202" s="266"/>
      <c r="AK202" s="266"/>
      <c r="AL202" s="262"/>
      <c r="AM202" s="277"/>
      <c r="AO202" s="275" t="s">
        <v>131</v>
      </c>
      <c r="AP202" s="167"/>
      <c r="AQ202" s="267">
        <f>(0.5*SUM(AV188:AV198))/AQ201</f>
        <v>699.7166666666667</v>
      </c>
      <c r="AR202" s="167"/>
      <c r="AS202" s="262"/>
      <c r="AT202" s="267">
        <f>(0.5*SUM(AX188:AX198))/AT201</f>
        <v>768.46835157655494</v>
      </c>
      <c r="AU202" s="266"/>
      <c r="AV202" s="266"/>
      <c r="AW202" s="262"/>
      <c r="AX202" s="277"/>
    </row>
    <row r="203" spans="30:50" ht="13.5" thickBot="1" x14ac:dyDescent="0.25">
      <c r="AD203" s="291"/>
      <c r="AE203" s="286"/>
      <c r="AF203" s="286"/>
      <c r="AG203" s="286"/>
      <c r="AH203" s="286"/>
      <c r="AI203" s="286"/>
      <c r="AJ203" s="286"/>
      <c r="AK203" s="286"/>
      <c r="AL203" s="286"/>
      <c r="AM203" s="288"/>
      <c r="AO203" s="291"/>
      <c r="AP203" s="286"/>
      <c r="AQ203" s="286"/>
      <c r="AR203" s="286"/>
      <c r="AS203" s="286"/>
      <c r="AT203" s="286"/>
      <c r="AU203" s="286"/>
      <c r="AV203" s="286"/>
      <c r="AW203" s="286"/>
      <c r="AX203" s="288"/>
    </row>
    <row r="207" spans="30:50" x14ac:dyDescent="0.2">
      <c r="AD207" s="2" t="s">
        <v>571</v>
      </c>
      <c r="AO207" s="2" t="s">
        <v>571</v>
      </c>
    </row>
    <row r="208" spans="30:50" x14ac:dyDescent="0.2">
      <c r="AD208" s="275" t="s">
        <v>572</v>
      </c>
      <c r="AF208" s="2" t="s">
        <v>146</v>
      </c>
      <c r="AI208" s="2" t="s">
        <v>147</v>
      </c>
      <c r="AO208" s="275" t="s">
        <v>572</v>
      </c>
      <c r="AQ208" s="2" t="s">
        <v>146</v>
      </c>
      <c r="AT208" s="2" t="s">
        <v>147</v>
      </c>
    </row>
    <row r="209" spans="30:46" x14ac:dyDescent="0.2">
      <c r="AD209" s="275" t="s">
        <v>129</v>
      </c>
      <c r="AE209" s="167"/>
      <c r="AF209" s="167">
        <v>713</v>
      </c>
      <c r="AG209" s="167"/>
      <c r="AH209" s="167"/>
      <c r="AI209" s="167">
        <v>891.25</v>
      </c>
      <c r="AO209" s="275" t="s">
        <v>129</v>
      </c>
      <c r="AP209" s="167"/>
      <c r="AQ209" s="167">
        <v>713</v>
      </c>
      <c r="AR209" s="167"/>
      <c r="AS209" s="167"/>
      <c r="AT209" s="167">
        <v>873.65251430292074</v>
      </c>
    </row>
    <row r="210" spans="30:46" x14ac:dyDescent="0.2">
      <c r="AD210" s="275" t="s">
        <v>130</v>
      </c>
      <c r="AE210" s="167"/>
      <c r="AF210" s="263">
        <v>25</v>
      </c>
      <c r="AG210" s="167"/>
      <c r="AH210" s="262"/>
      <c r="AI210" s="263">
        <v>25</v>
      </c>
      <c r="AO210" s="275" t="s">
        <v>130</v>
      </c>
      <c r="AP210" s="167"/>
      <c r="AQ210" s="263">
        <v>25</v>
      </c>
      <c r="AR210" s="167"/>
      <c r="AS210" s="262"/>
      <c r="AT210" s="263">
        <v>25</v>
      </c>
    </row>
    <row r="211" spans="30:46" x14ac:dyDescent="0.2">
      <c r="AD211" s="275" t="s">
        <v>131</v>
      </c>
      <c r="AE211" s="167"/>
      <c r="AF211" s="267">
        <v>1452.98</v>
      </c>
      <c r="AG211" s="167"/>
      <c r="AH211" s="262"/>
      <c r="AI211" s="267">
        <v>1663.9361111111109</v>
      </c>
      <c r="AO211" s="275" t="s">
        <v>131</v>
      </c>
      <c r="AP211" s="167"/>
      <c r="AQ211" s="267">
        <v>1452.98</v>
      </c>
      <c r="AR211" s="167"/>
      <c r="AS211" s="262"/>
      <c r="AT211" s="267">
        <v>1595.0201475053479</v>
      </c>
    </row>
    <row r="213" spans="30:46" x14ac:dyDescent="0.2">
      <c r="AD213" s="275" t="s">
        <v>570</v>
      </c>
      <c r="AO213" s="275" t="s">
        <v>570</v>
      </c>
    </row>
    <row r="214" spans="30:46" x14ac:dyDescent="0.2">
      <c r="AD214" s="275" t="s">
        <v>129</v>
      </c>
      <c r="AE214" s="167"/>
      <c r="AF214" s="167">
        <v>341</v>
      </c>
      <c r="AG214" s="167"/>
      <c r="AH214" s="167"/>
      <c r="AI214" s="167">
        <v>378.88888888888886</v>
      </c>
      <c r="AO214" s="275" t="s">
        <v>129</v>
      </c>
      <c r="AP214" s="167"/>
      <c r="AQ214" s="167">
        <v>341</v>
      </c>
      <c r="AR214" s="167"/>
      <c r="AS214" s="167"/>
      <c r="AT214" s="167">
        <v>358.94736842105266</v>
      </c>
    </row>
    <row r="215" spans="30:46" x14ac:dyDescent="0.2">
      <c r="AD215" s="275" t="s">
        <v>130</v>
      </c>
      <c r="AE215" s="167"/>
      <c r="AF215" s="263">
        <v>25</v>
      </c>
      <c r="AG215" s="167"/>
      <c r="AH215" s="262"/>
      <c r="AI215" s="263">
        <v>25</v>
      </c>
      <c r="AO215" s="275" t="s">
        <v>130</v>
      </c>
      <c r="AP215" s="167"/>
      <c r="AQ215" s="263">
        <v>25</v>
      </c>
      <c r="AR215" s="167"/>
      <c r="AS215" s="262"/>
      <c r="AT215" s="263">
        <v>25</v>
      </c>
    </row>
    <row r="216" spans="30:46" x14ac:dyDescent="0.2">
      <c r="AD216" s="275" t="s">
        <v>131</v>
      </c>
      <c r="AE216" s="167"/>
      <c r="AF216" s="267">
        <v>613.32000000000005</v>
      </c>
      <c r="AG216" s="167"/>
      <c r="AH216" s="262"/>
      <c r="AI216" s="267">
        <v>700.56388888888875</v>
      </c>
      <c r="AO216" s="275" t="s">
        <v>131</v>
      </c>
      <c r="AP216" s="167"/>
      <c r="AQ216" s="267">
        <v>613.32000000000005</v>
      </c>
      <c r="AR216" s="167"/>
      <c r="AS216" s="262"/>
      <c r="AT216" s="267">
        <v>672.85812561348212</v>
      </c>
    </row>
    <row r="218" spans="30:46" x14ac:dyDescent="0.2">
      <c r="AD218" s="275" t="s">
        <v>39</v>
      </c>
      <c r="AO218" s="275" t="s">
        <v>39</v>
      </c>
    </row>
    <row r="219" spans="30:46" x14ac:dyDescent="0.2">
      <c r="AD219" s="275" t="s">
        <v>129</v>
      </c>
      <c r="AE219" s="167"/>
      <c r="AF219" s="167">
        <v>438</v>
      </c>
      <c r="AG219" s="167"/>
      <c r="AH219" s="167"/>
      <c r="AI219" s="167">
        <v>547.5</v>
      </c>
      <c r="AO219" s="275" t="s">
        <v>129</v>
      </c>
      <c r="AP219" s="167"/>
      <c r="AQ219" s="167">
        <v>438</v>
      </c>
      <c r="AR219" s="167"/>
      <c r="AS219" s="167"/>
      <c r="AT219" s="167">
        <v>534.14634146341461</v>
      </c>
    </row>
    <row r="220" spans="30:46" x14ac:dyDescent="0.2">
      <c r="AD220" s="275" t="s">
        <v>130</v>
      </c>
      <c r="AE220" s="167"/>
      <c r="AF220" s="263">
        <v>25</v>
      </c>
      <c r="AG220" s="167"/>
      <c r="AH220" s="262"/>
      <c r="AI220" s="263">
        <v>25</v>
      </c>
      <c r="AO220" s="275" t="s">
        <v>130</v>
      </c>
      <c r="AP220" s="167"/>
      <c r="AQ220" s="263">
        <v>25</v>
      </c>
      <c r="AR220" s="167"/>
      <c r="AS220" s="262"/>
      <c r="AT220" s="263">
        <v>25</v>
      </c>
    </row>
    <row r="221" spans="30:46" x14ac:dyDescent="0.2">
      <c r="AD221" s="275" t="s">
        <v>131</v>
      </c>
      <c r="AE221" s="167"/>
      <c r="AF221" s="267">
        <v>839.66</v>
      </c>
      <c r="AG221" s="167"/>
      <c r="AH221" s="262"/>
      <c r="AI221" s="267">
        <v>963.37222222222238</v>
      </c>
      <c r="AO221" s="275" t="s">
        <v>131</v>
      </c>
      <c r="AP221" s="167"/>
      <c r="AQ221" s="267">
        <v>839.66</v>
      </c>
      <c r="AR221" s="167"/>
      <c r="AS221" s="262"/>
      <c r="AT221" s="267">
        <v>922.16202189186583</v>
      </c>
    </row>
    <row r="224" spans="30:46" x14ac:dyDescent="0.2">
      <c r="AD224" s="2" t="s">
        <v>573</v>
      </c>
      <c r="AO224" s="2" t="s">
        <v>573</v>
      </c>
    </row>
    <row r="225" spans="30:46" x14ac:dyDescent="0.2">
      <c r="AD225" s="275" t="s">
        <v>572</v>
      </c>
      <c r="AF225" s="2" t="s">
        <v>146</v>
      </c>
      <c r="AI225" s="2" t="s">
        <v>147</v>
      </c>
      <c r="AO225" s="275" t="s">
        <v>572</v>
      </c>
      <c r="AQ225" s="2" t="s">
        <v>146</v>
      </c>
      <c r="AT225" s="2" t="s">
        <v>147</v>
      </c>
    </row>
    <row r="226" spans="30:46" x14ac:dyDescent="0.2">
      <c r="AD226" s="275" t="s">
        <v>129</v>
      </c>
      <c r="AE226" s="167"/>
      <c r="AF226" s="167">
        <v>713</v>
      </c>
      <c r="AG226" s="167"/>
      <c r="AH226" s="167"/>
      <c r="AI226" s="167">
        <v>891.25</v>
      </c>
      <c r="AO226" s="275" t="s">
        <v>129</v>
      </c>
      <c r="AP226" s="167"/>
      <c r="AQ226" s="167">
        <v>713</v>
      </c>
      <c r="AR226" s="167"/>
      <c r="AS226" s="167"/>
      <c r="AT226" s="167">
        <v>869.51219512195132</v>
      </c>
    </row>
    <row r="227" spans="30:46" x14ac:dyDescent="0.2">
      <c r="AD227" s="275" t="s">
        <v>130</v>
      </c>
      <c r="AE227" s="167"/>
      <c r="AF227" s="263">
        <v>25</v>
      </c>
      <c r="AG227" s="167"/>
      <c r="AH227" s="262"/>
      <c r="AI227" s="263">
        <v>25</v>
      </c>
      <c r="AO227" s="275" t="s">
        <v>130</v>
      </c>
      <c r="AP227" s="167"/>
      <c r="AQ227" s="263">
        <v>25</v>
      </c>
      <c r="AR227" s="167"/>
      <c r="AS227" s="262"/>
      <c r="AT227" s="263">
        <v>25</v>
      </c>
    </row>
    <row r="228" spans="30:46" x14ac:dyDescent="0.2">
      <c r="AD228" s="275" t="s">
        <v>131</v>
      </c>
      <c r="AE228" s="167"/>
      <c r="AF228" s="267">
        <v>1487.54</v>
      </c>
      <c r="AG228" s="167"/>
      <c r="AH228" s="262"/>
      <c r="AI228" s="267">
        <v>1702.336111111111</v>
      </c>
      <c r="AO228" s="275" t="s">
        <v>131</v>
      </c>
      <c r="AP228" s="167"/>
      <c r="AQ228" s="267">
        <v>1487.54</v>
      </c>
      <c r="AR228" s="167"/>
      <c r="AS228" s="262"/>
      <c r="AT228" s="267">
        <v>1628.4660013527134</v>
      </c>
    </row>
    <row r="230" spans="30:46" x14ac:dyDescent="0.2">
      <c r="AD230" s="275" t="s">
        <v>570</v>
      </c>
      <c r="AO230" s="275" t="s">
        <v>570</v>
      </c>
    </row>
    <row r="231" spans="30:46" x14ac:dyDescent="0.2">
      <c r="AD231" s="275" t="s">
        <v>129</v>
      </c>
      <c r="AE231" s="167"/>
      <c r="AF231" s="167">
        <v>341</v>
      </c>
      <c r="AG231" s="167"/>
      <c r="AH231" s="167"/>
      <c r="AI231" s="167">
        <v>378.88888888888886</v>
      </c>
      <c r="AO231" s="275" t="s">
        <v>129</v>
      </c>
      <c r="AP231" s="167"/>
      <c r="AQ231" s="167">
        <v>341</v>
      </c>
      <c r="AR231" s="167"/>
      <c r="AS231" s="167"/>
      <c r="AT231" s="167">
        <v>358.94736842105266</v>
      </c>
    </row>
    <row r="232" spans="30:46" x14ac:dyDescent="0.2">
      <c r="AD232" s="275" t="s">
        <v>130</v>
      </c>
      <c r="AE232" s="167"/>
      <c r="AF232" s="263">
        <v>25</v>
      </c>
      <c r="AG232" s="167"/>
      <c r="AH232" s="262"/>
      <c r="AI232" s="263">
        <v>25</v>
      </c>
      <c r="AO232" s="275" t="s">
        <v>130</v>
      </c>
      <c r="AP232" s="167"/>
      <c r="AQ232" s="263">
        <v>25</v>
      </c>
      <c r="AR232" s="167"/>
      <c r="AS232" s="262"/>
      <c r="AT232" s="263">
        <v>25</v>
      </c>
    </row>
    <row r="233" spans="30:46" x14ac:dyDescent="0.2">
      <c r="AD233" s="275" t="s">
        <v>131</v>
      </c>
      <c r="AE233" s="167"/>
      <c r="AF233" s="267">
        <v>632.52</v>
      </c>
      <c r="AG233" s="167"/>
      <c r="AH233" s="262"/>
      <c r="AI233" s="267">
        <v>721.89722222222224</v>
      </c>
      <c r="AO233" s="275" t="s">
        <v>131</v>
      </c>
      <c r="AP233" s="167"/>
      <c r="AQ233" s="267">
        <v>632.52</v>
      </c>
      <c r="AR233" s="167"/>
      <c r="AS233" s="262"/>
      <c r="AT233" s="267">
        <v>693.0686519292716</v>
      </c>
    </row>
    <row r="235" spans="30:46" x14ac:dyDescent="0.2">
      <c r="AD235" s="275" t="s">
        <v>39</v>
      </c>
      <c r="AO235" s="275" t="s">
        <v>39</v>
      </c>
    </row>
    <row r="236" spans="30:46" x14ac:dyDescent="0.2">
      <c r="AD236" s="275" t="s">
        <v>129</v>
      </c>
      <c r="AE236" s="167"/>
      <c r="AF236" s="167">
        <v>438</v>
      </c>
      <c r="AG236" s="167"/>
      <c r="AH236" s="167"/>
      <c r="AI236" s="167">
        <v>547.5</v>
      </c>
      <c r="AO236" s="275" t="s">
        <v>129</v>
      </c>
      <c r="AP236" s="167"/>
      <c r="AQ236" s="167">
        <v>438</v>
      </c>
      <c r="AR236" s="167"/>
      <c r="AS236" s="167"/>
      <c r="AT236" s="167">
        <v>534.14634146341461</v>
      </c>
    </row>
    <row r="237" spans="30:46" x14ac:dyDescent="0.2">
      <c r="AD237" s="275" t="s">
        <v>130</v>
      </c>
      <c r="AE237" s="167"/>
      <c r="AF237" s="263">
        <v>25</v>
      </c>
      <c r="AG237" s="167"/>
      <c r="AH237" s="262"/>
      <c r="AI237" s="263">
        <v>25</v>
      </c>
      <c r="AO237" s="275" t="s">
        <v>130</v>
      </c>
      <c r="AP237" s="167"/>
      <c r="AQ237" s="263">
        <v>25</v>
      </c>
      <c r="AR237" s="167"/>
      <c r="AS237" s="262"/>
      <c r="AT237" s="263">
        <v>25</v>
      </c>
    </row>
    <row r="238" spans="30:46" x14ac:dyDescent="0.2">
      <c r="AD238" s="275" t="s">
        <v>131</v>
      </c>
      <c r="AE238" s="167"/>
      <c r="AF238" s="267">
        <v>855.02</v>
      </c>
      <c r="AG238" s="167"/>
      <c r="AH238" s="262"/>
      <c r="AI238" s="267">
        <v>980.43888888888887</v>
      </c>
      <c r="AO238" s="275" t="s">
        <v>131</v>
      </c>
      <c r="AP238" s="167"/>
      <c r="AQ238" s="267">
        <v>855.02</v>
      </c>
      <c r="AR238" s="167"/>
      <c r="AS238" s="262"/>
      <c r="AT238" s="267">
        <v>938.16202189186583</v>
      </c>
    </row>
  </sheetData>
  <mergeCells count="18">
    <mergeCell ref="A7:I7"/>
    <mergeCell ref="B9:W9"/>
    <mergeCell ref="X9:X10"/>
    <mergeCell ref="A42:I42"/>
    <mergeCell ref="A9:A10"/>
    <mergeCell ref="Z9:Z10"/>
    <mergeCell ref="Y44:Y45"/>
    <mergeCell ref="Z44:Z45"/>
    <mergeCell ref="A44:A45"/>
    <mergeCell ref="B44:W44"/>
    <mergeCell ref="X44:X45"/>
    <mergeCell ref="Y9:Y10"/>
    <mergeCell ref="Z79:Z80"/>
    <mergeCell ref="Y79:Y80"/>
    <mergeCell ref="A77:I77"/>
    <mergeCell ref="A79:A80"/>
    <mergeCell ref="B79:W79"/>
    <mergeCell ref="X79:X80"/>
  </mergeCells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indexed="10"/>
  </sheetPr>
  <dimension ref="A1:BW128"/>
  <sheetViews>
    <sheetView tabSelected="1" topLeftCell="A58" zoomScale="75" workbookViewId="0">
      <selection activeCell="I103" sqref="I103:O103"/>
    </sheetView>
  </sheetViews>
  <sheetFormatPr defaultColWidth="9.140625" defaultRowHeight="12.75" x14ac:dyDescent="0.2"/>
  <cols>
    <col min="1" max="1" width="10.28515625" style="2" customWidth="1"/>
    <col min="2" max="5" width="6.5703125" style="2" customWidth="1"/>
    <col min="6" max="6" width="7.140625" style="2" customWidth="1"/>
    <col min="7" max="7" width="9.42578125" style="2" customWidth="1"/>
    <col min="8" max="8" width="7.140625" style="2" bestFit="1" customWidth="1"/>
    <col min="9" max="9" width="10.7109375" style="2" customWidth="1"/>
    <col min="10" max="10" width="10.140625" style="2" customWidth="1"/>
    <col min="11" max="11" width="10" style="2" customWidth="1"/>
    <col min="12" max="12" width="10.42578125" style="2" customWidth="1"/>
    <col min="13" max="14" width="11" style="2" customWidth="1"/>
    <col min="15" max="15" width="8.7109375" style="2" bestFit="1" customWidth="1"/>
    <col min="16" max="16" width="7.5703125" style="2" bestFit="1" customWidth="1"/>
    <col min="17" max="23" width="6.5703125" style="2" customWidth="1"/>
    <col min="24" max="24" width="12.7109375" style="2" bestFit="1" customWidth="1"/>
    <col min="25" max="25" width="9.140625" style="2"/>
    <col min="26" max="26" width="11.7109375" style="2" customWidth="1"/>
    <col min="27" max="32" width="9.140625" style="2"/>
    <col min="33" max="33" width="13.42578125" style="2" bestFit="1" customWidth="1"/>
    <col min="34" max="34" width="12.85546875" style="2" bestFit="1" customWidth="1"/>
    <col min="35" max="35" width="12.5703125" style="2" customWidth="1"/>
    <col min="36" max="36" width="9.140625" style="2"/>
    <col min="37" max="37" width="22.85546875" style="2" bestFit="1" customWidth="1"/>
    <col min="38" max="46" width="9.140625" style="2"/>
    <col min="47" max="47" width="10.42578125" style="2" bestFit="1" customWidth="1"/>
    <col min="48" max="16384" width="9.140625" style="2"/>
  </cols>
  <sheetData>
    <row r="1" spans="1:48" ht="18" customHeight="1" x14ac:dyDescent="0.2">
      <c r="A1" s="1002" t="s">
        <v>645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8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1:48" ht="18" customHeight="1" thickTop="1" x14ac:dyDescent="0.25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26" t="s">
        <v>151</v>
      </c>
      <c r="Y3" s="1010" t="s">
        <v>3</v>
      </c>
      <c r="Z3" s="1010" t="s">
        <v>4</v>
      </c>
      <c r="AF3" s="1013" t="s">
        <v>117</v>
      </c>
      <c r="AG3" s="1013" t="s">
        <v>118</v>
      </c>
      <c r="AH3" s="900" t="s">
        <v>119</v>
      </c>
      <c r="AI3"/>
      <c r="AJ3" s="1012" t="s">
        <v>120</v>
      </c>
      <c r="AK3" s="1012"/>
      <c r="AL3"/>
      <c r="AM3" s="160" t="s">
        <v>121</v>
      </c>
      <c r="AN3" s="160"/>
      <c r="AO3" s="161" t="s">
        <v>122</v>
      </c>
    </row>
    <row r="4" spans="1:48" ht="18" customHeight="1" x14ac:dyDescent="0.2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11"/>
      <c r="Y4" s="1011"/>
      <c r="Z4" s="1011"/>
      <c r="AA4" s="68" t="s">
        <v>44</v>
      </c>
      <c r="AB4" t="s">
        <v>142</v>
      </c>
      <c r="AF4" s="1014"/>
      <c r="AG4" s="1014"/>
      <c r="AH4" s="901" t="s">
        <v>146</v>
      </c>
      <c r="AI4"/>
      <c r="AJ4" s="163" t="s">
        <v>148</v>
      </c>
      <c r="AK4" s="163" t="s">
        <v>147</v>
      </c>
      <c r="AL4"/>
      <c r="AM4" s="164"/>
      <c r="AN4"/>
      <c r="AO4" s="164"/>
    </row>
    <row r="5" spans="1:48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6">
        <v>16</v>
      </c>
      <c r="I5" s="6">
        <v>5582</v>
      </c>
      <c r="J5" s="6"/>
      <c r="K5" s="6"/>
      <c r="L5" s="6"/>
      <c r="M5" s="6">
        <v>426</v>
      </c>
      <c r="N5" s="6"/>
      <c r="O5" s="6"/>
      <c r="P5" s="6"/>
      <c r="Q5" s="6"/>
      <c r="R5" s="6"/>
      <c r="S5" s="6"/>
      <c r="T5" s="1"/>
      <c r="U5" s="1"/>
      <c r="V5" s="1"/>
      <c r="W5" s="1"/>
      <c r="X5" s="7">
        <v>10538</v>
      </c>
      <c r="Y5" s="7"/>
      <c r="Z5" s="7"/>
      <c r="AB5">
        <f>X5/MAX(B5:W5)</f>
        <v>1.8878538158366176</v>
      </c>
      <c r="AF5" s="165" t="s">
        <v>553</v>
      </c>
      <c r="AG5" s="166"/>
      <c r="AH5" s="167"/>
      <c r="AI5"/>
      <c r="AJ5"/>
      <c r="AK5"/>
      <c r="AL5"/>
      <c r="AM5"/>
      <c r="AN5"/>
      <c r="AO5"/>
    </row>
    <row r="6" spans="1:48" s="8" customFormat="1" ht="18" customHeight="1" x14ac:dyDescent="0.2">
      <c r="A6" s="1">
        <v>1996</v>
      </c>
      <c r="B6" s="6"/>
      <c r="C6" s="6"/>
      <c r="D6" s="6">
        <v>1</v>
      </c>
      <c r="E6" s="6"/>
      <c r="F6" s="6">
        <v>1171</v>
      </c>
      <c r="G6" s="6">
        <v>9919</v>
      </c>
      <c r="H6" s="6">
        <v>6225</v>
      </c>
      <c r="I6" s="6">
        <v>10476</v>
      </c>
      <c r="J6" s="6">
        <v>16377</v>
      </c>
      <c r="K6" s="6">
        <v>4361</v>
      </c>
      <c r="L6" s="6"/>
      <c r="M6" s="6"/>
      <c r="N6" s="6">
        <v>0</v>
      </c>
      <c r="O6" s="6"/>
      <c r="P6" s="6">
        <v>0</v>
      </c>
      <c r="Q6" s="6"/>
      <c r="R6" s="6"/>
      <c r="S6" s="6"/>
      <c r="T6" s="1"/>
      <c r="U6" s="1"/>
      <c r="V6" s="1"/>
      <c r="W6" s="1"/>
      <c r="X6" s="7">
        <v>29809</v>
      </c>
      <c r="Y6" s="7"/>
      <c r="Z6" s="7"/>
      <c r="AB6">
        <f t="shared" ref="AB6:AB29" si="0">X6/MAX(B6:W6)</f>
        <v>1.8201746351590646</v>
      </c>
      <c r="AF6" s="165"/>
      <c r="AG6" s="166"/>
      <c r="AH6" s="167"/>
      <c r="AI6"/>
      <c r="AJ6"/>
      <c r="AK6"/>
      <c r="AL6"/>
      <c r="AM6"/>
      <c r="AN6"/>
      <c r="AO6"/>
      <c r="AQ6" s="8" t="s">
        <v>9</v>
      </c>
    </row>
    <row r="7" spans="1:48" s="8" customFormat="1" ht="18" customHeight="1" x14ac:dyDescent="0.25">
      <c r="A7" s="1">
        <v>1997</v>
      </c>
      <c r="B7" s="6"/>
      <c r="C7" s="6">
        <v>1</v>
      </c>
      <c r="D7" s="6"/>
      <c r="E7" s="6"/>
      <c r="F7" s="6">
        <v>8855</v>
      </c>
      <c r="G7" s="6">
        <v>8842</v>
      </c>
      <c r="H7" s="6">
        <v>879</v>
      </c>
      <c r="I7" s="6">
        <v>12177</v>
      </c>
      <c r="J7" s="6"/>
      <c r="K7" s="6">
        <v>9180</v>
      </c>
      <c r="L7" s="6">
        <v>4113</v>
      </c>
      <c r="M7" s="6">
        <v>986</v>
      </c>
      <c r="N7" s="6">
        <v>112</v>
      </c>
      <c r="O7" s="6"/>
      <c r="P7" s="6">
        <v>0</v>
      </c>
      <c r="Q7" s="6"/>
      <c r="R7" s="6"/>
      <c r="S7" s="6"/>
      <c r="T7" s="1"/>
      <c r="U7" s="1"/>
      <c r="V7" s="1"/>
      <c r="W7" s="1"/>
      <c r="X7" s="7">
        <v>34482</v>
      </c>
      <c r="Y7" s="7"/>
      <c r="Z7" s="27"/>
      <c r="AB7">
        <f t="shared" si="0"/>
        <v>2.8317319536831733</v>
      </c>
      <c r="AF7" s="165" t="s">
        <v>127</v>
      </c>
      <c r="AG7" s="713">
        <v>44803</v>
      </c>
      <c r="AH7" s="715"/>
      <c r="AI7"/>
      <c r="AJ7"/>
      <c r="AK7" s="169">
        <v>0</v>
      </c>
      <c r="AL7"/>
      <c r="AM7"/>
      <c r="AN7"/>
      <c r="AO7"/>
      <c r="AQ7" s="8" t="s">
        <v>555</v>
      </c>
      <c r="AR7" s="8" t="s">
        <v>556</v>
      </c>
    </row>
    <row r="8" spans="1:48" s="8" customFormat="1" ht="18" customHeight="1" x14ac:dyDescent="0.25">
      <c r="A8" s="1">
        <v>1998</v>
      </c>
      <c r="B8" s="6"/>
      <c r="C8" s="6"/>
      <c r="D8" s="6">
        <v>0</v>
      </c>
      <c r="E8" s="6"/>
      <c r="F8" s="6"/>
      <c r="G8" s="6"/>
      <c r="H8" s="6">
        <v>116</v>
      </c>
      <c r="I8" s="6">
        <v>4145</v>
      </c>
      <c r="J8" s="6">
        <v>1938</v>
      </c>
      <c r="K8" s="6">
        <v>16525</v>
      </c>
      <c r="L8" s="6">
        <v>1500</v>
      </c>
      <c r="M8" s="6">
        <v>2084</v>
      </c>
      <c r="N8" s="6">
        <v>450</v>
      </c>
      <c r="O8" s="6">
        <v>27</v>
      </c>
      <c r="P8" s="6"/>
      <c r="Q8" s="6"/>
      <c r="R8" s="6"/>
      <c r="S8" s="6"/>
      <c r="T8" s="1"/>
      <c r="U8" s="1"/>
      <c r="V8" s="1"/>
      <c r="W8" s="1"/>
      <c r="X8" s="7">
        <v>34854</v>
      </c>
      <c r="Y8" s="7"/>
      <c r="Z8" s="27"/>
      <c r="AB8">
        <f t="shared" si="0"/>
        <v>2.1091679273827535</v>
      </c>
      <c r="AF8" s="165"/>
      <c r="AG8" s="713">
        <v>44804</v>
      </c>
      <c r="AH8" s="170">
        <v>216</v>
      </c>
      <c r="AI8"/>
      <c r="AJ8" s="171">
        <v>0.9</v>
      </c>
      <c r="AK8" s="172">
        <f>AH8/AJ8</f>
        <v>240</v>
      </c>
      <c r="AL8"/>
      <c r="AM8" s="172">
        <f>(AG8-AG7)*(AH8+AH7)</f>
        <v>216</v>
      </c>
      <c r="AN8"/>
      <c r="AO8" s="172">
        <f>(AG8-AG7)*(AK8+AK7)</f>
        <v>240</v>
      </c>
      <c r="AQ8" s="8">
        <v>216</v>
      </c>
      <c r="AR8" s="8">
        <v>10</v>
      </c>
    </row>
    <row r="9" spans="1:48" s="8" customFormat="1" ht="18" customHeight="1" x14ac:dyDescent="0.25">
      <c r="A9" s="1">
        <v>1999</v>
      </c>
      <c r="B9" s="6"/>
      <c r="C9" s="6"/>
      <c r="D9" s="6"/>
      <c r="E9" s="6"/>
      <c r="F9" s="6"/>
      <c r="G9" s="6">
        <v>3716</v>
      </c>
      <c r="H9" s="6">
        <v>12436</v>
      </c>
      <c r="I9" s="6">
        <v>13420</v>
      </c>
      <c r="J9" s="6">
        <v>14715</v>
      </c>
      <c r="K9" s="6"/>
      <c r="L9" s="6">
        <v>4976</v>
      </c>
      <c r="M9" s="6"/>
      <c r="N9" s="6">
        <v>120</v>
      </c>
      <c r="O9" s="6">
        <v>1</v>
      </c>
      <c r="P9" s="6"/>
      <c r="Q9" s="6"/>
      <c r="R9" s="6">
        <v>0</v>
      </c>
      <c r="S9" s="6"/>
      <c r="T9" s="1"/>
      <c r="U9" s="1"/>
      <c r="V9" s="1"/>
      <c r="W9" s="1"/>
      <c r="X9" s="9">
        <v>20712</v>
      </c>
      <c r="Y9" s="7"/>
      <c r="Z9" s="28"/>
      <c r="AB9">
        <f t="shared" si="0"/>
        <v>1.4075433231396535</v>
      </c>
      <c r="AF9" s="165"/>
      <c r="AG9" s="713">
        <v>44826</v>
      </c>
      <c r="AH9" s="170">
        <v>5637</v>
      </c>
      <c r="AI9"/>
      <c r="AJ9" s="171">
        <v>0.9</v>
      </c>
      <c r="AK9" s="172">
        <f>AH9/AJ9</f>
        <v>6263.333333333333</v>
      </c>
      <c r="AL9"/>
      <c r="AM9" s="172">
        <f>(AG9-AG8)*(AH9+AH8)</f>
        <v>128766</v>
      </c>
      <c r="AN9"/>
      <c r="AO9" s="172">
        <f>(AG9-AG8)*(AK9+AK8)</f>
        <v>143073.33333333331</v>
      </c>
      <c r="AQ9" s="8">
        <v>5644</v>
      </c>
      <c r="AR9" s="8">
        <v>203</v>
      </c>
      <c r="AT9" s="8" t="s">
        <v>557</v>
      </c>
      <c r="AU9" s="1" t="s">
        <v>559</v>
      </c>
    </row>
    <row r="10" spans="1:48" s="8" customFormat="1" ht="18" customHeight="1" x14ac:dyDescent="0.25">
      <c r="A10" s="1">
        <v>2000</v>
      </c>
      <c r="B10" s="6"/>
      <c r="C10" s="6"/>
      <c r="D10" s="6"/>
      <c r="E10" s="6"/>
      <c r="F10" s="6"/>
      <c r="G10" s="6"/>
      <c r="H10" s="6">
        <v>3</v>
      </c>
      <c r="I10" s="6"/>
      <c r="J10" s="6">
        <v>4642</v>
      </c>
      <c r="K10" s="6">
        <v>4203</v>
      </c>
      <c r="L10" s="6"/>
      <c r="M10" s="6"/>
      <c r="N10" s="6">
        <v>51</v>
      </c>
      <c r="O10" s="6">
        <v>3</v>
      </c>
      <c r="P10" s="6"/>
      <c r="Q10" s="6">
        <v>0</v>
      </c>
      <c r="R10" s="6"/>
      <c r="S10" s="6"/>
      <c r="T10" s="1"/>
      <c r="U10" s="1"/>
      <c r="V10" s="1"/>
      <c r="W10" s="1"/>
      <c r="X10" s="10">
        <v>8685</v>
      </c>
      <c r="Y10" s="7"/>
      <c r="Z10" s="28"/>
      <c r="AB10">
        <f t="shared" si="0"/>
        <v>1.8709607927617407</v>
      </c>
      <c r="AF10" s="173"/>
      <c r="AG10" s="713">
        <v>44854</v>
      </c>
      <c r="AH10" s="170">
        <v>2916</v>
      </c>
      <c r="AI10"/>
      <c r="AJ10" s="171">
        <v>0.8</v>
      </c>
      <c r="AK10" s="172">
        <f>AH10/AJ10</f>
        <v>3645</v>
      </c>
      <c r="AL10"/>
      <c r="AM10" s="172">
        <f>(AG10-AG9)*(AH10+AH9)</f>
        <v>239484</v>
      </c>
      <c r="AN10"/>
      <c r="AO10" s="172">
        <f>(AG10-AG9)*(AK10+AK9)</f>
        <v>277433.33333333331</v>
      </c>
      <c r="AQ10" s="8">
        <v>3287</v>
      </c>
      <c r="AT10" s="903">
        <v>44833</v>
      </c>
      <c r="AU10" s="425">
        <f>175+800+2300+10</f>
        <v>3285</v>
      </c>
      <c r="AV10" s="8" t="s">
        <v>558</v>
      </c>
    </row>
    <row r="11" spans="1:48" s="8" customFormat="1" ht="18" customHeight="1" x14ac:dyDescent="0.25">
      <c r="A11" s="1">
        <v>2001</v>
      </c>
      <c r="B11" s="6"/>
      <c r="C11" s="6"/>
      <c r="D11" s="6"/>
      <c r="E11" s="6">
        <v>412</v>
      </c>
      <c r="F11" s="6"/>
      <c r="G11" s="6"/>
      <c r="H11" s="6">
        <v>11788</v>
      </c>
      <c r="I11" s="6">
        <v>3475</v>
      </c>
      <c r="J11" s="6">
        <v>3100</v>
      </c>
      <c r="K11" s="6"/>
      <c r="L11" s="6">
        <v>498</v>
      </c>
      <c r="M11" s="6"/>
      <c r="N11" s="6"/>
      <c r="O11" s="6">
        <v>0</v>
      </c>
      <c r="P11" s="6"/>
      <c r="Q11" s="6"/>
      <c r="R11" s="6"/>
      <c r="S11" s="6"/>
      <c r="T11" s="1"/>
      <c r="U11" s="1"/>
      <c r="V11" s="1"/>
      <c r="W11" s="1"/>
      <c r="X11" s="7">
        <v>15295</v>
      </c>
      <c r="Y11" s="7"/>
      <c r="Z11" s="28"/>
      <c r="AB11">
        <f t="shared" si="0"/>
        <v>1.2975059382422802</v>
      </c>
      <c r="AF11"/>
      <c r="AG11" s="713">
        <v>44861</v>
      </c>
      <c r="AH11" s="170">
        <v>2428</v>
      </c>
      <c r="AI11"/>
      <c r="AJ11" s="171">
        <v>0.5</v>
      </c>
      <c r="AK11" s="172">
        <f>AH11/AJ11</f>
        <v>4856</v>
      </c>
      <c r="AL11"/>
      <c r="AM11" s="172">
        <f>(AG11-AG10)*(AH11+AH10)</f>
        <v>37408</v>
      </c>
      <c r="AN11"/>
      <c r="AO11" s="172">
        <f>(AG11-AG10)*(AK11+AK10)</f>
        <v>59507</v>
      </c>
      <c r="AQ11" s="8">
        <v>3008</v>
      </c>
      <c r="AR11" s="8">
        <v>9</v>
      </c>
      <c r="AT11" s="903">
        <v>44841</v>
      </c>
      <c r="AU11" s="425">
        <f>9500+750+4000+1+25+130</f>
        <v>14406</v>
      </c>
      <c r="AV11" s="8" t="s">
        <v>560</v>
      </c>
    </row>
    <row r="12" spans="1:48" s="8" customFormat="1" ht="18" customHeight="1" x14ac:dyDescent="0.25">
      <c r="A12" s="1">
        <v>2002</v>
      </c>
      <c r="B12" s="6"/>
      <c r="C12" s="6"/>
      <c r="D12" s="6"/>
      <c r="E12" s="6"/>
      <c r="F12" s="6"/>
      <c r="G12" s="6">
        <v>1131</v>
      </c>
      <c r="H12" s="6">
        <v>4854</v>
      </c>
      <c r="I12" s="6">
        <v>11860</v>
      </c>
      <c r="J12" s="6">
        <v>14172</v>
      </c>
      <c r="K12" s="6">
        <v>13923</v>
      </c>
      <c r="L12" s="6"/>
      <c r="M12" s="6">
        <v>2260</v>
      </c>
      <c r="N12" s="6">
        <v>1</v>
      </c>
      <c r="O12" s="6"/>
      <c r="P12" s="6"/>
      <c r="Q12" s="6"/>
      <c r="R12" s="6">
        <v>0</v>
      </c>
      <c r="S12" s="6"/>
      <c r="T12" s="1"/>
      <c r="U12" s="1"/>
      <c r="V12" s="1"/>
      <c r="W12" s="1"/>
      <c r="X12" s="7">
        <v>20367</v>
      </c>
      <c r="Y12" s="7"/>
      <c r="Z12" s="28"/>
      <c r="AB12">
        <f t="shared" si="0"/>
        <v>1.4371295512277731</v>
      </c>
      <c r="AF12"/>
      <c r="AG12" s="713">
        <v>44867</v>
      </c>
      <c r="AH12" s="170">
        <f>20+212</f>
        <v>232</v>
      </c>
      <c r="AI12"/>
      <c r="AJ12" s="171">
        <v>0.8</v>
      </c>
      <c r="AK12" s="172">
        <f t="shared" ref="AK12:AK19" si="1">AH12/AJ12</f>
        <v>290</v>
      </c>
      <c r="AL12"/>
      <c r="AM12" s="172">
        <f t="shared" ref="AM12:AM20" si="2">(AG12-AG11)*(AH12+AH11)</f>
        <v>15960</v>
      </c>
      <c r="AN12"/>
      <c r="AO12" s="172">
        <f t="shared" ref="AO12:AO20" si="3">(AG12-AG11)*(AK12+AK11)</f>
        <v>30876</v>
      </c>
      <c r="AQ12" s="8">
        <f>20+212+139</f>
        <v>371</v>
      </c>
      <c r="AR12" s="8">
        <v>9</v>
      </c>
    </row>
    <row r="13" spans="1:48" s="8" customFormat="1" ht="18" customHeight="1" x14ac:dyDescent="0.25">
      <c r="A13" s="1">
        <v>2003</v>
      </c>
      <c r="B13" s="6"/>
      <c r="C13" s="6"/>
      <c r="D13" s="6"/>
      <c r="E13" s="6"/>
      <c r="F13" s="6"/>
      <c r="G13" s="6">
        <v>651</v>
      </c>
      <c r="H13" s="6"/>
      <c r="I13" s="6">
        <v>31475</v>
      </c>
      <c r="J13" s="6">
        <v>25800</v>
      </c>
      <c r="K13" s="6"/>
      <c r="L13" s="6">
        <v>1408</v>
      </c>
      <c r="M13" s="6"/>
      <c r="N13" s="6">
        <v>14</v>
      </c>
      <c r="O13" s="6"/>
      <c r="P13" s="6"/>
      <c r="Q13" s="6"/>
      <c r="R13" s="6"/>
      <c r="S13" s="6"/>
      <c r="T13" s="1"/>
      <c r="U13" s="1"/>
      <c r="V13" s="1"/>
      <c r="W13" s="1"/>
      <c r="X13" s="7">
        <v>37235</v>
      </c>
      <c r="Y13" s="7"/>
      <c r="Z13" s="28"/>
      <c r="AB13">
        <f t="shared" si="0"/>
        <v>1.1830023828435265</v>
      </c>
      <c r="AF13"/>
      <c r="AG13" s="713">
        <v>44880</v>
      </c>
      <c r="AH13" s="904">
        <v>0</v>
      </c>
      <c r="AI13"/>
      <c r="AJ13" s="171">
        <v>1</v>
      </c>
      <c r="AK13" s="172">
        <f t="shared" si="1"/>
        <v>0</v>
      </c>
      <c r="AL13"/>
      <c r="AM13" s="172">
        <f t="shared" si="2"/>
        <v>3016</v>
      </c>
      <c r="AN13"/>
      <c r="AO13" s="172">
        <f t="shared" si="3"/>
        <v>3770</v>
      </c>
    </row>
    <row r="14" spans="1:48" s="8" customFormat="1" ht="18" customHeight="1" x14ac:dyDescent="0.25">
      <c r="A14" s="1">
        <v>2004</v>
      </c>
      <c r="B14" s="6"/>
      <c r="C14" s="6"/>
      <c r="D14" s="6"/>
      <c r="E14" s="6"/>
      <c r="F14" s="6"/>
      <c r="G14" s="6"/>
      <c r="H14" s="6"/>
      <c r="I14" s="6">
        <v>4625</v>
      </c>
      <c r="J14" s="6">
        <v>8045</v>
      </c>
      <c r="K14" s="6">
        <v>0</v>
      </c>
      <c r="L14" s="6"/>
      <c r="M14" s="6"/>
      <c r="N14" s="6"/>
      <c r="O14" s="6"/>
      <c r="P14" s="6"/>
      <c r="Q14" s="6"/>
      <c r="R14" s="6"/>
      <c r="S14" s="6"/>
      <c r="T14" s="1"/>
      <c r="U14" s="1"/>
      <c r="V14" s="1"/>
      <c r="W14" s="1"/>
      <c r="X14" s="11">
        <v>18790</v>
      </c>
      <c r="Y14" s="7"/>
      <c r="Z14" s="28"/>
      <c r="AB14">
        <f t="shared" si="0"/>
        <v>2.3356121814791795</v>
      </c>
      <c r="AF14"/>
      <c r="AG14" s="713">
        <v>44881</v>
      </c>
      <c r="AH14" s="904"/>
      <c r="AI14"/>
      <c r="AJ14" s="171">
        <v>0.9</v>
      </c>
      <c r="AK14" s="172">
        <f t="shared" si="1"/>
        <v>0</v>
      </c>
      <c r="AL14"/>
      <c r="AM14" s="172">
        <f t="shared" si="2"/>
        <v>0</v>
      </c>
      <c r="AN14"/>
      <c r="AO14" s="172">
        <f t="shared" si="3"/>
        <v>0</v>
      </c>
    </row>
    <row r="15" spans="1:48" s="8" customFormat="1" ht="18" customHeight="1" x14ac:dyDescent="0.25">
      <c r="A15" s="1">
        <v>2005</v>
      </c>
      <c r="B15" s="6"/>
      <c r="C15" s="6"/>
      <c r="D15" s="6"/>
      <c r="E15" s="6"/>
      <c r="F15" s="6"/>
      <c r="G15" s="6"/>
      <c r="H15" s="6"/>
      <c r="I15" s="6">
        <v>8984</v>
      </c>
      <c r="J15" s="6"/>
      <c r="K15" s="6">
        <v>4701</v>
      </c>
      <c r="L15" s="6"/>
      <c r="M15" s="6"/>
      <c r="N15" s="6"/>
      <c r="O15" s="6"/>
      <c r="P15" s="6"/>
      <c r="Q15" s="6"/>
      <c r="R15" s="6"/>
      <c r="S15" s="6"/>
      <c r="T15" s="1"/>
      <c r="U15" s="1"/>
      <c r="V15" s="1"/>
      <c r="W15" s="1"/>
      <c r="X15" s="11">
        <v>15962</v>
      </c>
      <c r="Y15" s="7"/>
      <c r="AB15">
        <f t="shared" si="0"/>
        <v>1.7767141585040072</v>
      </c>
      <c r="AF15"/>
      <c r="AG15" s="713">
        <v>44882</v>
      </c>
      <c r="AH15" s="904"/>
      <c r="AI15"/>
      <c r="AJ15" s="171">
        <v>1</v>
      </c>
      <c r="AK15" s="172">
        <f t="shared" si="1"/>
        <v>0</v>
      </c>
      <c r="AL15"/>
      <c r="AM15" s="172">
        <f t="shared" si="2"/>
        <v>0</v>
      </c>
      <c r="AN15"/>
      <c r="AO15" s="172">
        <f t="shared" si="3"/>
        <v>0</v>
      </c>
    </row>
    <row r="16" spans="1:48" s="8" customFormat="1" ht="18" customHeight="1" x14ac:dyDescent="0.25">
      <c r="A16" s="1">
        <v>2006</v>
      </c>
      <c r="B16" s="6"/>
      <c r="C16" s="6"/>
      <c r="D16" s="6"/>
      <c r="E16" s="6"/>
      <c r="F16" s="6"/>
      <c r="G16" s="6"/>
      <c r="H16" s="6">
        <v>8086</v>
      </c>
      <c r="I16" s="6">
        <v>6067</v>
      </c>
      <c r="J16" s="6"/>
      <c r="K16" s="6">
        <v>842</v>
      </c>
      <c r="L16" s="6"/>
      <c r="M16" s="6">
        <v>0</v>
      </c>
      <c r="N16" s="6"/>
      <c r="O16" s="6"/>
      <c r="P16" s="6"/>
      <c r="Q16" s="6"/>
      <c r="R16" s="6"/>
      <c r="S16" s="6"/>
      <c r="T16" s="1"/>
      <c r="U16" s="1"/>
      <c r="V16" s="1"/>
      <c r="W16" s="1"/>
      <c r="X16" s="12">
        <v>14285</v>
      </c>
      <c r="Y16" s="7"/>
      <c r="Z16" s="1"/>
      <c r="AB16">
        <f t="shared" si="0"/>
        <v>1.7666336878555529</v>
      </c>
      <c r="AF16"/>
      <c r="AG16" s="713">
        <v>44883</v>
      </c>
      <c r="AH16" s="904"/>
      <c r="AI16"/>
      <c r="AJ16" s="171">
        <v>0.9</v>
      </c>
      <c r="AK16" s="172">
        <f t="shared" si="1"/>
        <v>0</v>
      </c>
      <c r="AL16"/>
      <c r="AM16" s="172">
        <f t="shared" si="2"/>
        <v>0</v>
      </c>
      <c r="AN16"/>
      <c r="AO16" s="172">
        <f t="shared" si="3"/>
        <v>0</v>
      </c>
    </row>
    <row r="17" spans="1:41" s="8" customFormat="1" ht="18" customHeight="1" x14ac:dyDescent="0.25">
      <c r="A17" s="1">
        <v>2007</v>
      </c>
      <c r="B17" s="6"/>
      <c r="C17" s="6"/>
      <c r="D17" s="6"/>
      <c r="E17" s="6"/>
      <c r="F17" s="6"/>
      <c r="G17" s="6"/>
      <c r="H17" s="6">
        <v>6186</v>
      </c>
      <c r="I17" s="6"/>
      <c r="J17" s="6"/>
      <c r="K17" s="6"/>
      <c r="L17" s="6">
        <v>0</v>
      </c>
      <c r="M17" s="6">
        <v>0</v>
      </c>
      <c r="N17" s="6"/>
      <c r="O17" s="6"/>
      <c r="P17" s="6"/>
      <c r="Q17" s="6"/>
      <c r="R17" s="6"/>
      <c r="S17" s="6"/>
      <c r="T17" s="1"/>
      <c r="U17" s="1"/>
      <c r="V17" s="1"/>
      <c r="W17" s="1"/>
      <c r="X17" s="12">
        <v>7391</v>
      </c>
      <c r="Y17" s="7"/>
      <c r="Z17" s="1"/>
      <c r="AB17">
        <f t="shared" si="0"/>
        <v>1.1947946977044941</v>
      </c>
      <c r="AF17"/>
      <c r="AG17" s="713">
        <v>44884</v>
      </c>
      <c r="AH17" s="904"/>
      <c r="AI17"/>
      <c r="AJ17" s="171">
        <v>0.9</v>
      </c>
      <c r="AK17" s="172">
        <f t="shared" si="1"/>
        <v>0</v>
      </c>
      <c r="AL17"/>
      <c r="AM17" s="172">
        <f t="shared" si="2"/>
        <v>0</v>
      </c>
      <c r="AN17"/>
      <c r="AO17" s="172">
        <f t="shared" si="3"/>
        <v>0</v>
      </c>
    </row>
    <row r="18" spans="1:41" s="8" customFormat="1" ht="18" customHeight="1" x14ac:dyDescent="0.25">
      <c r="A18" s="1">
        <v>2008</v>
      </c>
      <c r="B18" s="1"/>
      <c r="C18" s="1"/>
      <c r="D18" s="1"/>
      <c r="E18" s="1"/>
      <c r="F18" s="1"/>
      <c r="G18" s="1">
        <v>1301</v>
      </c>
      <c r="H18" s="1"/>
      <c r="I18" s="1">
        <v>4154</v>
      </c>
      <c r="J18" s="1">
        <v>8098</v>
      </c>
      <c r="K18" s="1"/>
      <c r="L18" s="1">
        <v>3240</v>
      </c>
      <c r="M18" s="1">
        <v>93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>
        <v>11806</v>
      </c>
      <c r="Y18" s="7"/>
      <c r="Z18" s="28"/>
      <c r="AB18">
        <f t="shared" si="0"/>
        <v>1.4578908372437638</v>
      </c>
      <c r="AF18"/>
      <c r="AG18" s="713">
        <v>44885</v>
      </c>
      <c r="AH18" s="904"/>
      <c r="AI18"/>
      <c r="AJ18" s="171">
        <v>0.9</v>
      </c>
      <c r="AK18" s="172">
        <f t="shared" si="1"/>
        <v>0</v>
      </c>
      <c r="AL18"/>
      <c r="AM18" s="172">
        <f t="shared" si="2"/>
        <v>0</v>
      </c>
      <c r="AN18"/>
      <c r="AO18" s="172">
        <f t="shared" si="3"/>
        <v>0</v>
      </c>
    </row>
    <row r="19" spans="1:41" s="8" customFormat="1" ht="18" customHeight="1" x14ac:dyDescent="0.25">
      <c r="A19" s="1">
        <v>2009</v>
      </c>
      <c r="B19" s="1"/>
      <c r="C19" s="1"/>
      <c r="D19" s="1"/>
      <c r="E19" s="1"/>
      <c r="F19" s="1"/>
      <c r="G19" s="1">
        <v>4567</v>
      </c>
      <c r="H19" s="1"/>
      <c r="I19" s="1"/>
      <c r="J19" s="1">
        <v>3632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>
        <v>7500</v>
      </c>
      <c r="Y19" s="7"/>
      <c r="Z19" s="28"/>
      <c r="AB19">
        <f t="shared" si="0"/>
        <v>1.6422158966498797</v>
      </c>
      <c r="AF19" s="165" t="s">
        <v>128</v>
      </c>
      <c r="AG19" s="713">
        <v>44886</v>
      </c>
      <c r="AH19" s="904"/>
      <c r="AI19"/>
      <c r="AJ19" s="171">
        <v>0.9</v>
      </c>
      <c r="AK19" s="172">
        <f t="shared" si="1"/>
        <v>0</v>
      </c>
      <c r="AL19"/>
      <c r="AM19" s="172">
        <f t="shared" si="2"/>
        <v>0</v>
      </c>
      <c r="AN19"/>
      <c r="AO19" s="172">
        <f t="shared" si="3"/>
        <v>0</v>
      </c>
    </row>
    <row r="20" spans="1:41" s="8" customFormat="1" ht="18" customHeight="1" x14ac:dyDescent="0.2">
      <c r="A20" s="1">
        <v>2010</v>
      </c>
      <c r="B20" s="1"/>
      <c r="C20" s="1"/>
      <c r="D20" s="1"/>
      <c r="E20" s="1"/>
      <c r="F20" s="1"/>
      <c r="G20" s="1">
        <v>4567</v>
      </c>
      <c r="H20" s="1"/>
      <c r="I20" s="1"/>
      <c r="J20" s="1">
        <v>1107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>
        <v>7508</v>
      </c>
      <c r="Y20" s="7"/>
      <c r="Z20" s="28"/>
      <c r="AA20" s="8">
        <v>2</v>
      </c>
      <c r="AB20">
        <f t="shared" si="0"/>
        <v>1.6439675936063061</v>
      </c>
      <c r="AF20"/>
      <c r="AG20" s="229"/>
      <c r="AH20" s="176"/>
      <c r="AI20"/>
      <c r="AJ20" s="171"/>
      <c r="AK20" s="172">
        <v>0</v>
      </c>
      <c r="AL20"/>
      <c r="AM20" s="172">
        <f t="shared" si="2"/>
        <v>0</v>
      </c>
      <c r="AN20"/>
      <c r="AO20" s="172">
        <f t="shared" si="3"/>
        <v>0</v>
      </c>
    </row>
    <row r="21" spans="1:41" s="8" customFormat="1" ht="18" customHeight="1" x14ac:dyDescent="0.2">
      <c r="A21" s="1">
        <v>2011</v>
      </c>
      <c r="B21" s="1"/>
      <c r="C21" s="1"/>
      <c r="D21" s="1"/>
      <c r="E21" s="1"/>
      <c r="F21" s="1"/>
      <c r="G21" s="1"/>
      <c r="H21" s="1">
        <v>8000</v>
      </c>
      <c r="I21" s="1"/>
      <c r="J21" s="1">
        <v>10000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>
        <v>10000</v>
      </c>
      <c r="Y21" s="7"/>
      <c r="Z21" s="28"/>
      <c r="AB21">
        <f t="shared" si="0"/>
        <v>1</v>
      </c>
      <c r="AF21" s="165" t="s">
        <v>2</v>
      </c>
      <c r="AG21" s="167">
        <v>7</v>
      </c>
      <c r="AH21" s="167"/>
      <c r="AI21" s="167"/>
      <c r="AJ21"/>
      <c r="AK21"/>
      <c r="AL21"/>
      <c r="AM21"/>
      <c r="AN21"/>
      <c r="AO21"/>
    </row>
    <row r="22" spans="1:41" s="8" customFormat="1" ht="18" customHeight="1" x14ac:dyDescent="0.2">
      <c r="A22" s="1">
        <v>2012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7832</v>
      </c>
      <c r="Y22" s="7"/>
      <c r="Z22" s="28"/>
      <c r="AB22" t="e">
        <f t="shared" si="0"/>
        <v>#DIV/0!</v>
      </c>
      <c r="AF22" s="165" t="s">
        <v>129</v>
      </c>
      <c r="AG22" s="167"/>
      <c r="AH22" s="167">
        <f>MAX(AH7:AH20)</f>
        <v>5637</v>
      </c>
      <c r="AI22" s="167"/>
      <c r="AJ22" s="167"/>
      <c r="AK22" s="167">
        <f>MAX(AK7:AK20)</f>
        <v>6263.333333333333</v>
      </c>
      <c r="AL22" s="167"/>
      <c r="AM22" s="167"/>
      <c r="AN22" s="180"/>
      <c r="AO22"/>
    </row>
    <row r="23" spans="1:41" s="8" customFormat="1" ht="18" customHeight="1" x14ac:dyDescent="0.2">
      <c r="A23" s="1">
        <v>2013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>
        <v>12606</v>
      </c>
      <c r="Y23" s="7"/>
      <c r="Z23" s="28"/>
      <c r="AB23" t="e">
        <f t="shared" si="0"/>
        <v>#DIV/0!</v>
      </c>
      <c r="AF23" s="165" t="s">
        <v>130</v>
      </c>
      <c r="AG23" s="167"/>
      <c r="AH23" s="169">
        <v>20</v>
      </c>
      <c r="AI23" s="167"/>
      <c r="AJ23"/>
      <c r="AK23" s="169">
        <v>25</v>
      </c>
    </row>
    <row r="24" spans="1:41" s="8" customFormat="1" ht="18" customHeight="1" x14ac:dyDescent="0.2">
      <c r="A24" s="1">
        <v>2014</v>
      </c>
      <c r="B24" s="1"/>
      <c r="C24" s="1"/>
      <c r="D24" s="1"/>
      <c r="E24" s="1"/>
      <c r="F24" s="1"/>
      <c r="G24" s="152" t="s">
        <v>116</v>
      </c>
      <c r="H24" s="1"/>
      <c r="I24" s="1"/>
      <c r="J24" s="153">
        <v>5371</v>
      </c>
      <c r="K24" s="193">
        <v>8000</v>
      </c>
      <c r="L24" s="1"/>
      <c r="M24" s="1"/>
      <c r="N24" s="1"/>
      <c r="O24" s="1"/>
      <c r="P24" s="1"/>
      <c r="Q24" s="194">
        <v>11</v>
      </c>
      <c r="R24" s="1"/>
      <c r="S24" s="1"/>
      <c r="T24" s="1"/>
      <c r="U24" s="1"/>
      <c r="V24" s="1"/>
      <c r="W24" s="1"/>
      <c r="X24" s="1">
        <v>32439</v>
      </c>
      <c r="Y24" s="7"/>
      <c r="Z24" s="28"/>
      <c r="AB24">
        <f t="shared" si="0"/>
        <v>4.054875</v>
      </c>
      <c r="AF24" s="165" t="s">
        <v>131</v>
      </c>
      <c r="AG24" s="167"/>
      <c r="AH24" s="230">
        <f>(0.5*SUM(AM8:AM20))/AH23</f>
        <v>10621.25</v>
      </c>
      <c r="AI24" s="167"/>
      <c r="AJ24"/>
      <c r="AK24" s="230">
        <f>(0.5*SUM(AO8:AO20))/AK23</f>
        <v>10297.993333333332</v>
      </c>
    </row>
    <row r="25" spans="1:41" s="8" customFormat="1" ht="18" customHeight="1" x14ac:dyDescent="0.2">
      <c r="A25" s="1">
        <v>2015</v>
      </c>
      <c r="B25" s="1"/>
      <c r="C25" s="1"/>
      <c r="D25" s="1"/>
      <c r="E25" s="1"/>
      <c r="F25" s="1"/>
      <c r="G25" s="1"/>
      <c r="H25" s="194">
        <v>7986</v>
      </c>
      <c r="I25" s="1"/>
      <c r="J25" s="1"/>
      <c r="K25" s="194">
        <v>6936</v>
      </c>
      <c r="L25" s="193">
        <v>10000</v>
      </c>
      <c r="M25" s="194">
        <v>443</v>
      </c>
      <c r="N25" s="1"/>
      <c r="O25" s="194">
        <v>0</v>
      </c>
      <c r="P25" s="1"/>
      <c r="Q25" s="1"/>
      <c r="R25" s="1"/>
      <c r="S25" s="1"/>
      <c r="T25" s="1"/>
      <c r="U25" s="1"/>
      <c r="V25" s="1"/>
      <c r="W25" s="1"/>
      <c r="X25" s="1">
        <v>20464</v>
      </c>
      <c r="Y25" s="7" t="s">
        <v>5</v>
      </c>
      <c r="Z25" s="28">
        <v>15</v>
      </c>
      <c r="AB25">
        <f t="shared" si="0"/>
        <v>2.0464000000000002</v>
      </c>
      <c r="AF25" s="299" t="s">
        <v>561</v>
      </c>
      <c r="AG25"/>
      <c r="AH25" s="426">
        <f>(0.5*SUM(AM8:AM20))</f>
        <v>212425</v>
      </c>
      <c r="AI25"/>
      <c r="AJ25"/>
      <c r="AK25"/>
      <c r="AL25"/>
      <c r="AM25"/>
      <c r="AN25"/>
      <c r="AO25"/>
    </row>
    <row r="26" spans="1:41" s="8" customFormat="1" ht="18" customHeight="1" x14ac:dyDescent="0.2">
      <c r="A26" s="1">
        <v>2016</v>
      </c>
      <c r="B26" s="1"/>
      <c r="C26" s="1"/>
      <c r="D26" s="1"/>
      <c r="E26" s="1"/>
      <c r="F26" s="1"/>
      <c r="G26" s="1"/>
      <c r="H26" s="488">
        <f>14+5976</f>
        <v>5990</v>
      </c>
      <c r="I26" s="1"/>
      <c r="J26" s="1"/>
      <c r="K26" s="479">
        <f>173+3205</f>
        <v>3378</v>
      </c>
      <c r="L26" s="479">
        <v>1788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>
        <v>10000</v>
      </c>
      <c r="Y26" s="7" t="s">
        <v>5</v>
      </c>
      <c r="Z26" s="28">
        <v>20</v>
      </c>
      <c r="AB26">
        <f t="shared" si="0"/>
        <v>1.669449081803005</v>
      </c>
      <c r="AF26" s="299" t="s">
        <v>9</v>
      </c>
      <c r="AG26"/>
      <c r="AH26" s="249">
        <f>MAX(AQ8:AQ19)</f>
        <v>5644</v>
      </c>
      <c r="AI26"/>
      <c r="AJ26"/>
      <c r="AK26" s="249">
        <f>AH26/AJ9</f>
        <v>6271.1111111111113</v>
      </c>
      <c r="AL26"/>
      <c r="AM26"/>
      <c r="AN26"/>
      <c r="AO26"/>
    </row>
    <row r="27" spans="1:41" s="8" customFormat="1" ht="18" customHeight="1" x14ac:dyDescent="0.2">
      <c r="A27" s="1">
        <v>2017</v>
      </c>
      <c r="B27" s="1"/>
      <c r="C27" s="1"/>
      <c r="D27" s="1"/>
      <c r="E27" s="1"/>
      <c r="F27" s="1"/>
      <c r="G27" s="152">
        <v>900</v>
      </c>
      <c r="H27" s="1"/>
      <c r="I27" s="194">
        <v>5673</v>
      </c>
      <c r="J27" s="194">
        <v>13748</v>
      </c>
      <c r="K27" s="1"/>
      <c r="L27" s="1"/>
      <c r="M27" s="479">
        <v>386</v>
      </c>
      <c r="N27" s="479">
        <v>134</v>
      </c>
      <c r="O27" s="1"/>
      <c r="P27" s="1"/>
      <c r="Q27" s="1"/>
      <c r="R27" s="1"/>
      <c r="S27" s="1"/>
      <c r="T27" s="1"/>
      <c r="U27" s="1"/>
      <c r="V27" s="1"/>
      <c r="W27" s="1"/>
      <c r="X27" s="1">
        <v>16265</v>
      </c>
      <c r="Y27" s="7"/>
      <c r="Z27" s="28">
        <v>25</v>
      </c>
      <c r="AB27">
        <f t="shared" si="0"/>
        <v>1.1830811754437009</v>
      </c>
      <c r="AF27" s="299" t="s">
        <v>250</v>
      </c>
      <c r="AG27"/>
      <c r="AH27" s="370">
        <v>36</v>
      </c>
      <c r="AI27"/>
      <c r="AJ27"/>
      <c r="AK27" s="370">
        <v>40</v>
      </c>
      <c r="AL27"/>
      <c r="AM27"/>
      <c r="AN27"/>
      <c r="AO27"/>
    </row>
    <row r="28" spans="1:41" s="8" customFormat="1" ht="18" customHeight="1" x14ac:dyDescent="0.2">
      <c r="A28" s="1">
        <v>2018</v>
      </c>
      <c r="B28" s="1"/>
      <c r="C28" s="1"/>
      <c r="D28" s="1"/>
      <c r="E28" s="1"/>
      <c r="G28" s="1"/>
      <c r="H28" s="1"/>
      <c r="I28" s="532">
        <v>21959</v>
      </c>
      <c r="J28" s="479">
        <v>11984</v>
      </c>
      <c r="K28" s="1"/>
      <c r="L28" s="479">
        <v>1540</v>
      </c>
      <c r="M28" s="1"/>
      <c r="N28" s="1"/>
      <c r="O28" s="479">
        <v>10</v>
      </c>
      <c r="P28" s="1"/>
      <c r="Q28" s="1"/>
      <c r="R28" s="1"/>
      <c r="S28" s="1"/>
      <c r="T28" s="1"/>
      <c r="U28" s="1"/>
      <c r="V28" s="1"/>
      <c r="W28" s="1"/>
      <c r="X28" s="1">
        <f>22059+7509</f>
        <v>29568</v>
      </c>
      <c r="Y28" s="7"/>
      <c r="Z28" s="28"/>
      <c r="AB28">
        <f t="shared" si="0"/>
        <v>1.3465094038890659</v>
      </c>
    </row>
    <row r="29" spans="1:41" s="8" customFormat="1" ht="18" customHeight="1" x14ac:dyDescent="0.2">
      <c r="A29" s="1">
        <v>2019</v>
      </c>
      <c r="B29" s="1"/>
      <c r="C29" s="1"/>
      <c r="D29" s="1"/>
      <c r="E29" s="1"/>
      <c r="F29" s="602">
        <v>2418</v>
      </c>
      <c r="G29" s="1"/>
      <c r="H29" s="602">
        <v>6320</v>
      </c>
      <c r="I29" s="603">
        <v>4382</v>
      </c>
      <c r="J29" s="156">
        <v>12627</v>
      </c>
      <c r="K29" s="603">
        <f>354+1829</f>
        <v>2183</v>
      </c>
      <c r="L29" s="1"/>
      <c r="M29" s="156">
        <f>46+68</f>
        <v>114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>
        <f>16890+7817</f>
        <v>24707</v>
      </c>
      <c r="Y29" s="7"/>
      <c r="Z29" s="28">
        <v>17.5</v>
      </c>
      <c r="AB29">
        <f t="shared" si="0"/>
        <v>1.9566801298804151</v>
      </c>
      <c r="AJ29" s="8" t="s">
        <v>97</v>
      </c>
      <c r="AK29" s="8" t="s">
        <v>488</v>
      </c>
    </row>
    <row r="30" spans="1:41" s="8" customFormat="1" ht="18" customHeight="1" x14ac:dyDescent="0.2">
      <c r="A30" s="1">
        <v>2020</v>
      </c>
      <c r="B30" s="1"/>
      <c r="C30" s="1"/>
      <c r="D30" s="1"/>
      <c r="E30" s="106">
        <v>438</v>
      </c>
      <c r="F30" s="1"/>
      <c r="G30" s="106">
        <v>4994</v>
      </c>
      <c r="H30" s="106">
        <v>8348</v>
      </c>
      <c r="I30" s="1"/>
      <c r="J30" s="536">
        <v>8871</v>
      </c>
      <c r="K30" s="1"/>
      <c r="L30" s="193">
        <v>1000</v>
      </c>
      <c r="M30" s="156">
        <v>1011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7"/>
      <c r="Z30" s="28"/>
      <c r="AB30"/>
      <c r="AJ30" s="8">
        <v>15</v>
      </c>
      <c r="AK30" s="905">
        <v>17163</v>
      </c>
    </row>
    <row r="31" spans="1:41" s="94" customFormat="1" ht="18" customHeight="1" x14ac:dyDescent="0.2">
      <c r="A31" s="227">
        <v>2021</v>
      </c>
      <c r="B31" s="227"/>
      <c r="C31" s="227"/>
      <c r="D31" s="227"/>
      <c r="E31" s="227"/>
      <c r="F31" s="227"/>
      <c r="G31" s="227"/>
      <c r="H31" s="106">
        <v>4200</v>
      </c>
      <c r="I31" s="536">
        <v>8959</v>
      </c>
      <c r="J31" s="733"/>
      <c r="K31" s="772">
        <v>2903</v>
      </c>
      <c r="L31" s="864">
        <f>469+4205</f>
        <v>4674</v>
      </c>
      <c r="M31" s="864">
        <v>233</v>
      </c>
      <c r="N31" s="227"/>
      <c r="O31" s="106">
        <v>0</v>
      </c>
      <c r="P31" s="585">
        <v>0</v>
      </c>
      <c r="Q31" s="227"/>
      <c r="R31" s="227"/>
      <c r="S31" s="227"/>
      <c r="T31" s="227"/>
      <c r="U31" s="227"/>
      <c r="V31" s="227"/>
      <c r="W31" s="227"/>
      <c r="X31" s="227"/>
      <c r="Y31" s="11"/>
      <c r="Z31" s="758"/>
      <c r="AB31" s="151"/>
      <c r="AJ31" s="94">
        <v>20</v>
      </c>
      <c r="AK31" s="906">
        <v>12872</v>
      </c>
    </row>
    <row r="32" spans="1:41" s="94" customFormat="1" ht="18" customHeight="1" x14ac:dyDescent="0.2">
      <c r="A32" s="227">
        <v>2022</v>
      </c>
      <c r="B32" s="227"/>
      <c r="C32" s="227"/>
      <c r="D32" s="227"/>
      <c r="E32" s="227"/>
      <c r="F32" s="106">
        <v>216</v>
      </c>
      <c r="G32" s="227"/>
      <c r="H32" s="106">
        <v>3672</v>
      </c>
      <c r="I32" s="240">
        <v>5637</v>
      </c>
      <c r="J32" s="733"/>
      <c r="K32" s="902"/>
      <c r="L32" s="884"/>
      <c r="M32" s="712">
        <v>2916</v>
      </c>
      <c r="N32" s="772">
        <v>2771</v>
      </c>
      <c r="O32" s="156">
        <f>20+212</f>
        <v>232</v>
      </c>
      <c r="P32" s="872"/>
      <c r="Q32" s="227"/>
      <c r="R32" s="227"/>
      <c r="S32" s="227"/>
      <c r="T32" s="227"/>
      <c r="U32" s="227"/>
      <c r="V32" s="227"/>
      <c r="W32" s="227"/>
      <c r="X32" s="227">
        <f>11752+2699</f>
        <v>14451</v>
      </c>
      <c r="Y32" s="11" t="s">
        <v>5</v>
      </c>
      <c r="Z32" s="758">
        <v>22.5</v>
      </c>
      <c r="AB32" s="151"/>
      <c r="AJ32" s="94">
        <v>25</v>
      </c>
      <c r="AK32" s="906">
        <v>10298</v>
      </c>
    </row>
    <row r="33" spans="1:40" s="94" customFormat="1" ht="18" customHeight="1" x14ac:dyDescent="0.2">
      <c r="A33" s="227">
        <v>2023</v>
      </c>
      <c r="B33" s="227"/>
      <c r="C33" s="227"/>
      <c r="D33" s="227"/>
      <c r="E33" s="106">
        <v>13</v>
      </c>
      <c r="F33" s="106">
        <v>213</v>
      </c>
      <c r="G33" s="227"/>
      <c r="H33" s="106">
        <v>2003</v>
      </c>
      <c r="I33" s="427">
        <v>15565</v>
      </c>
      <c r="J33" s="536">
        <v>6879</v>
      </c>
      <c r="K33" s="988">
        <v>8580</v>
      </c>
      <c r="L33" s="227"/>
      <c r="M33" s="240">
        <v>269</v>
      </c>
      <c r="N33" s="227"/>
      <c r="O33" s="712">
        <v>0</v>
      </c>
      <c r="P33" s="227"/>
      <c r="Q33" s="227"/>
      <c r="R33" s="227"/>
      <c r="S33" s="227"/>
      <c r="T33" s="227"/>
      <c r="U33" s="227"/>
      <c r="V33" s="227"/>
      <c r="W33" s="227"/>
      <c r="X33" s="227"/>
      <c r="Y33" s="11"/>
      <c r="Z33" s="758"/>
      <c r="AB33" s="151"/>
      <c r="AK33" s="906"/>
    </row>
    <row r="34" spans="1:40" s="8" customFormat="1" ht="18" customHeight="1" x14ac:dyDescent="0.2">
      <c r="A34" s="22"/>
      <c r="B34" s="23"/>
      <c r="C34" s="23"/>
      <c r="D34" s="23"/>
      <c r="E34" s="23"/>
      <c r="F34" s="23"/>
      <c r="G34" s="23"/>
      <c r="H34" s="23"/>
      <c r="I34" s="15"/>
      <c r="J34" s="15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020" t="s">
        <v>17</v>
      </c>
      <c r="V34" s="1021"/>
      <c r="W34" s="1021"/>
      <c r="X34" s="16">
        <f>AVERAGE(X5:X29)</f>
        <v>18364</v>
      </c>
      <c r="Y34" s="17"/>
      <c r="Z34" s="15" t="e">
        <f>AVERAGE(Z5:Z18)</f>
        <v>#DIV/0!</v>
      </c>
    </row>
    <row r="35" spans="1:40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40" ht="18" customHeight="1" x14ac:dyDescent="0.2">
      <c r="A36" s="1002" t="s">
        <v>646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 t="s">
        <v>564</v>
      </c>
      <c r="X36" s="1">
        <v>10000</v>
      </c>
    </row>
    <row r="37" spans="1:40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 t="s">
        <v>565</v>
      </c>
      <c r="X37" s="1">
        <v>13000</v>
      </c>
    </row>
    <row r="38" spans="1:40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26" t="s">
        <v>151</v>
      </c>
      <c r="Y38" s="1010" t="s">
        <v>3</v>
      </c>
      <c r="Z38" s="1010" t="s">
        <v>4</v>
      </c>
      <c r="AA38" s="1016" t="s">
        <v>228</v>
      </c>
      <c r="AB38" s="1016"/>
    </row>
    <row r="39" spans="1:40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11"/>
      <c r="Y39" s="1011"/>
      <c r="Z39" s="1011"/>
      <c r="AA39" s="2" t="s">
        <v>233</v>
      </c>
      <c r="AB39" s="2" t="s">
        <v>234</v>
      </c>
      <c r="AC39" t="s">
        <v>142</v>
      </c>
    </row>
    <row r="40" spans="1:40" ht="18" customHeight="1" x14ac:dyDescent="0.2">
      <c r="A40" s="1">
        <v>1995</v>
      </c>
      <c r="B40" s="6"/>
      <c r="C40" s="6"/>
      <c r="D40" s="6"/>
      <c r="E40" s="6"/>
      <c r="F40" s="6"/>
      <c r="G40" s="6"/>
      <c r="H40" s="6">
        <v>41</v>
      </c>
      <c r="I40" s="6">
        <v>19</v>
      </c>
      <c r="J40" s="6"/>
      <c r="K40" s="6"/>
      <c r="L40" s="6"/>
      <c r="M40" s="6">
        <v>1229</v>
      </c>
      <c r="N40" s="6"/>
      <c r="O40" s="6"/>
      <c r="P40" s="6"/>
      <c r="Q40" s="6"/>
      <c r="R40" s="6"/>
      <c r="S40" s="6"/>
      <c r="T40" s="13"/>
      <c r="U40" s="13"/>
      <c r="V40" s="13"/>
      <c r="W40" s="13"/>
      <c r="X40" s="13">
        <v>4853</v>
      </c>
      <c r="Y40" s="7"/>
      <c r="Z40" s="13"/>
      <c r="AC40">
        <f t="shared" ref="AC40:AC63" si="4">X40/MAX(B40:W40)</f>
        <v>3.9487388120423108</v>
      </c>
    </row>
    <row r="41" spans="1:40" ht="18" customHeight="1" x14ac:dyDescent="0.2">
      <c r="A41" s="1">
        <v>1996</v>
      </c>
      <c r="B41" s="6"/>
      <c r="C41" s="6"/>
      <c r="D41" s="6">
        <v>0</v>
      </c>
      <c r="E41" s="6"/>
      <c r="F41" s="6">
        <v>0</v>
      </c>
      <c r="G41" s="6">
        <v>0</v>
      </c>
      <c r="H41" s="6">
        <v>22</v>
      </c>
      <c r="I41" s="6">
        <v>15</v>
      </c>
      <c r="J41" s="6">
        <v>37</v>
      </c>
      <c r="K41" s="6">
        <v>51</v>
      </c>
      <c r="L41" s="6"/>
      <c r="M41" s="6"/>
      <c r="N41" s="6">
        <v>0</v>
      </c>
      <c r="O41" s="6"/>
      <c r="P41" s="6">
        <v>9</v>
      </c>
      <c r="Q41" s="6"/>
      <c r="R41" s="6"/>
      <c r="S41" s="6"/>
      <c r="T41" s="13"/>
      <c r="U41" s="13"/>
      <c r="V41" s="13"/>
      <c r="W41" s="13"/>
      <c r="X41" s="13">
        <v>1452</v>
      </c>
      <c r="Y41" s="7"/>
      <c r="Z41" s="25"/>
      <c r="AC41">
        <f t="shared" si="4"/>
        <v>28.470588235294116</v>
      </c>
    </row>
    <row r="42" spans="1:40" ht="18" customHeight="1" x14ac:dyDescent="0.2">
      <c r="A42" s="1">
        <v>1997</v>
      </c>
      <c r="B42" s="6"/>
      <c r="C42" s="6">
        <v>0</v>
      </c>
      <c r="D42" s="6"/>
      <c r="E42" s="6"/>
      <c r="F42" s="6">
        <v>3</v>
      </c>
      <c r="G42" s="6">
        <v>21</v>
      </c>
      <c r="H42" s="6">
        <v>33</v>
      </c>
      <c r="I42" s="6">
        <v>52</v>
      </c>
      <c r="J42" s="6"/>
      <c r="K42" s="6">
        <v>15</v>
      </c>
      <c r="L42" s="6">
        <v>48</v>
      </c>
      <c r="M42" s="6">
        <v>633</v>
      </c>
      <c r="N42" s="6">
        <v>0</v>
      </c>
      <c r="O42" s="6"/>
      <c r="P42" s="6">
        <v>537</v>
      </c>
      <c r="Q42" s="6"/>
      <c r="R42" s="6"/>
      <c r="S42" s="6"/>
      <c r="T42" s="13"/>
      <c r="U42" s="13"/>
      <c r="V42" s="13"/>
      <c r="W42" s="13"/>
      <c r="X42" s="13">
        <v>1500</v>
      </c>
      <c r="Y42" s="7"/>
      <c r="Z42" s="13"/>
      <c r="AC42">
        <f t="shared" si="4"/>
        <v>2.3696682464454977</v>
      </c>
      <c r="AE42" s="2" t="s">
        <v>253</v>
      </c>
      <c r="AG42" s="374" t="s">
        <v>254</v>
      </c>
      <c r="AH42" s="374" t="s">
        <v>255</v>
      </c>
      <c r="AI42" s="374" t="s">
        <v>256</v>
      </c>
      <c r="AJ42" s="374" t="s">
        <v>257</v>
      </c>
      <c r="AK42" s="374" t="s">
        <v>258</v>
      </c>
      <c r="AL42" s="374" t="s">
        <v>259</v>
      </c>
      <c r="AM42" s="374" t="s">
        <v>260</v>
      </c>
      <c r="AN42" s="374" t="s">
        <v>261</v>
      </c>
    </row>
    <row r="43" spans="1:40" ht="18" customHeight="1" x14ac:dyDescent="0.2">
      <c r="A43" s="1">
        <v>1998</v>
      </c>
      <c r="B43" s="6"/>
      <c r="C43" s="6"/>
      <c r="D43" s="6">
        <v>0</v>
      </c>
      <c r="E43" s="6"/>
      <c r="F43" s="6"/>
      <c r="G43" s="6"/>
      <c r="H43" s="6">
        <v>24</v>
      </c>
      <c r="I43" s="6">
        <v>25</v>
      </c>
      <c r="J43" s="6">
        <v>57</v>
      </c>
      <c r="K43" s="6">
        <v>833</v>
      </c>
      <c r="L43" s="6"/>
      <c r="M43" s="6">
        <v>2014</v>
      </c>
      <c r="N43" s="6">
        <v>950</v>
      </c>
      <c r="O43" s="6">
        <v>2682</v>
      </c>
      <c r="P43" s="6"/>
      <c r="Q43" s="6"/>
      <c r="R43" s="6"/>
      <c r="S43" s="6"/>
      <c r="T43" s="13"/>
      <c r="U43" s="13"/>
      <c r="V43" s="13"/>
      <c r="W43" s="13"/>
      <c r="X43" s="13">
        <v>7221</v>
      </c>
      <c r="Y43" s="7"/>
      <c r="Z43" s="13"/>
      <c r="AC43">
        <f t="shared" si="4"/>
        <v>2.6923937360178969</v>
      </c>
      <c r="AD43">
        <v>2014</v>
      </c>
      <c r="AE43" s="2">
        <v>7500</v>
      </c>
      <c r="AF43" s="2" t="s">
        <v>6</v>
      </c>
      <c r="AG43" s="375">
        <v>672</v>
      </c>
      <c r="AH43" s="375">
        <v>747</v>
      </c>
      <c r="AI43" s="376">
        <v>30</v>
      </c>
      <c r="AJ43" s="376">
        <v>40</v>
      </c>
      <c r="AK43" s="375">
        <v>1084</v>
      </c>
      <c r="AL43" s="375">
        <v>1445</v>
      </c>
      <c r="AM43" s="375">
        <v>1391</v>
      </c>
      <c r="AN43" s="375">
        <v>1854</v>
      </c>
    </row>
    <row r="44" spans="1:40" ht="18" customHeight="1" x14ac:dyDescent="0.2">
      <c r="A44" s="1">
        <v>1999</v>
      </c>
      <c r="B44" s="6"/>
      <c r="C44" s="6"/>
      <c r="D44" s="6"/>
      <c r="E44" s="6"/>
      <c r="F44" s="6"/>
      <c r="G44" s="6">
        <v>7</v>
      </c>
      <c r="H44" s="6">
        <v>156</v>
      </c>
      <c r="I44" s="6">
        <v>649</v>
      </c>
      <c r="J44" s="6">
        <v>707</v>
      </c>
      <c r="K44" s="6"/>
      <c r="L44" s="6">
        <v>1525</v>
      </c>
      <c r="M44" s="6"/>
      <c r="N44" s="6">
        <v>2055</v>
      </c>
      <c r="O44" s="6">
        <v>1321</v>
      </c>
      <c r="P44" s="6"/>
      <c r="Q44" s="6"/>
      <c r="R44" s="6">
        <v>0</v>
      </c>
      <c r="S44" s="6"/>
      <c r="T44" s="13"/>
      <c r="U44" s="13"/>
      <c r="V44" s="13"/>
      <c r="W44" s="13"/>
      <c r="X44" s="13">
        <v>4418</v>
      </c>
      <c r="Y44" s="7"/>
      <c r="Z44" s="13"/>
      <c r="AC44">
        <f t="shared" si="4"/>
        <v>2.1498783454987835</v>
      </c>
      <c r="AD44">
        <v>2015</v>
      </c>
      <c r="AE44" s="2">
        <v>1320</v>
      </c>
      <c r="AF44" s="2" t="s">
        <v>5</v>
      </c>
      <c r="AG44" s="375">
        <v>992</v>
      </c>
      <c r="AH44" s="375">
        <v>1153</v>
      </c>
      <c r="AI44" s="376">
        <v>25</v>
      </c>
      <c r="AJ44" s="376">
        <v>35</v>
      </c>
      <c r="AK44" s="375">
        <v>964</v>
      </c>
      <c r="AL44" s="375">
        <v>1350</v>
      </c>
      <c r="AM44" s="375">
        <v>1131</v>
      </c>
      <c r="AN44" s="375">
        <v>1584</v>
      </c>
    </row>
    <row r="45" spans="1:40" ht="18" customHeight="1" x14ac:dyDescent="0.2">
      <c r="A45" s="1">
        <v>2000</v>
      </c>
      <c r="B45" s="6"/>
      <c r="C45" s="6"/>
      <c r="D45" s="6"/>
      <c r="E45" s="6"/>
      <c r="F45" s="6"/>
      <c r="G45" s="6"/>
      <c r="H45" s="6">
        <v>0</v>
      </c>
      <c r="I45" s="6"/>
      <c r="J45" s="6">
        <v>707</v>
      </c>
      <c r="K45" s="6">
        <v>851</v>
      </c>
      <c r="L45" s="6"/>
      <c r="M45" s="6"/>
      <c r="N45" s="6">
        <v>426</v>
      </c>
      <c r="O45" s="6">
        <v>1560</v>
      </c>
      <c r="P45" s="6"/>
      <c r="Q45" s="6">
        <v>473</v>
      </c>
      <c r="R45" s="6"/>
      <c r="S45" s="6"/>
      <c r="T45" s="13">
        <v>591</v>
      </c>
      <c r="U45" s="13"/>
      <c r="V45" s="13"/>
      <c r="W45" s="13"/>
      <c r="X45" s="13">
        <v>8279</v>
      </c>
      <c r="Y45" s="7"/>
      <c r="Z45" s="13"/>
      <c r="AC45">
        <f t="shared" si="4"/>
        <v>5.3070512820512823</v>
      </c>
      <c r="AD45">
        <v>2012</v>
      </c>
      <c r="AE45" s="2">
        <v>4915</v>
      </c>
      <c r="AF45" s="2" t="s">
        <v>6</v>
      </c>
      <c r="AG45" s="375">
        <v>5000</v>
      </c>
      <c r="AH45" s="375">
        <v>5000</v>
      </c>
      <c r="AI45" s="376">
        <v>15</v>
      </c>
      <c r="AJ45" s="376">
        <v>25</v>
      </c>
      <c r="AK45" s="375">
        <v>7500</v>
      </c>
      <c r="AL45" s="375">
        <v>12500</v>
      </c>
      <c r="AM45" s="375">
        <v>7500</v>
      </c>
      <c r="AN45" s="375">
        <v>12500</v>
      </c>
    </row>
    <row r="46" spans="1:40" ht="18" customHeight="1" x14ac:dyDescent="0.2">
      <c r="A46" s="1">
        <v>2001</v>
      </c>
      <c r="B46" s="6"/>
      <c r="C46" s="6"/>
      <c r="D46" s="6"/>
      <c r="E46" s="6">
        <v>12</v>
      </c>
      <c r="F46" s="6"/>
      <c r="G46" s="6"/>
      <c r="H46" s="6">
        <v>3125</v>
      </c>
      <c r="I46" s="6">
        <v>1925</v>
      </c>
      <c r="J46" s="6">
        <v>4060</v>
      </c>
      <c r="K46" s="6"/>
      <c r="L46" s="6">
        <v>4285</v>
      </c>
      <c r="M46" s="6"/>
      <c r="N46" s="6">
        <v>1500</v>
      </c>
      <c r="O46" s="6">
        <v>4550</v>
      </c>
      <c r="P46" s="6"/>
      <c r="Q46" s="6"/>
      <c r="R46" s="6">
        <v>2186</v>
      </c>
      <c r="S46" s="6"/>
      <c r="T46" s="13"/>
      <c r="U46" s="13"/>
      <c r="V46" s="13"/>
      <c r="W46" s="13"/>
      <c r="X46" s="13">
        <v>31749</v>
      </c>
      <c r="Y46" s="7"/>
      <c r="Z46" s="13"/>
      <c r="AC46">
        <f t="shared" si="4"/>
        <v>6.9778021978021982</v>
      </c>
      <c r="AD46">
        <v>2011</v>
      </c>
      <c r="AE46" s="2">
        <v>5000</v>
      </c>
      <c r="AF46" s="2" t="s">
        <v>6</v>
      </c>
      <c r="AG46" s="375">
        <v>85</v>
      </c>
      <c r="AH46" s="375">
        <v>278</v>
      </c>
      <c r="AI46" s="376">
        <v>30</v>
      </c>
      <c r="AJ46" s="376">
        <v>40</v>
      </c>
      <c r="AK46" s="375">
        <v>80</v>
      </c>
      <c r="AL46" s="375">
        <v>106</v>
      </c>
      <c r="AM46" s="375">
        <v>261</v>
      </c>
      <c r="AN46" s="375">
        <v>347</v>
      </c>
    </row>
    <row r="47" spans="1:40" ht="18" customHeight="1" x14ac:dyDescent="0.2">
      <c r="A47" s="1">
        <v>2002</v>
      </c>
      <c r="B47" s="6"/>
      <c r="C47" s="6"/>
      <c r="D47" s="6"/>
      <c r="E47" s="6"/>
      <c r="F47" s="6"/>
      <c r="G47" s="6">
        <v>115</v>
      </c>
      <c r="H47" s="6">
        <v>609</v>
      </c>
      <c r="I47" s="6">
        <v>1747</v>
      </c>
      <c r="J47" s="6">
        <v>2260</v>
      </c>
      <c r="K47" s="6">
        <v>998</v>
      </c>
      <c r="L47" s="6"/>
      <c r="M47" s="6">
        <v>131</v>
      </c>
      <c r="N47" s="6">
        <v>1213</v>
      </c>
      <c r="O47" s="6"/>
      <c r="P47" s="6"/>
      <c r="Q47" s="6"/>
      <c r="R47" s="6">
        <v>540</v>
      </c>
      <c r="S47" s="6"/>
      <c r="T47" s="13"/>
      <c r="U47" s="13"/>
      <c r="V47" s="13"/>
      <c r="W47" s="13"/>
      <c r="X47" s="13">
        <v>21928</v>
      </c>
      <c r="Y47" s="7"/>
      <c r="Z47" s="25"/>
      <c r="AC47">
        <f t="shared" si="4"/>
        <v>9.7026548672566371</v>
      </c>
      <c r="AD47">
        <v>2008</v>
      </c>
      <c r="AE47" s="2">
        <v>1621</v>
      </c>
      <c r="AF47" s="2" t="s">
        <v>5</v>
      </c>
      <c r="AG47" s="375">
        <v>1428</v>
      </c>
      <c r="AH47" s="375">
        <v>1428</v>
      </c>
      <c r="AI47" s="376">
        <v>30</v>
      </c>
      <c r="AJ47" s="376">
        <v>45</v>
      </c>
      <c r="AK47" s="375">
        <v>1351</v>
      </c>
      <c r="AL47" s="375">
        <v>2027</v>
      </c>
      <c r="AM47" s="375">
        <v>1549</v>
      </c>
      <c r="AN47" s="375">
        <v>2324</v>
      </c>
    </row>
    <row r="48" spans="1:40" ht="18" customHeight="1" x14ac:dyDescent="0.2">
      <c r="A48" s="1">
        <v>2003</v>
      </c>
      <c r="B48" s="6"/>
      <c r="C48" s="6"/>
      <c r="D48" s="6"/>
      <c r="E48" s="6"/>
      <c r="F48" s="6"/>
      <c r="G48" s="6">
        <v>20</v>
      </c>
      <c r="H48" s="6"/>
      <c r="I48" s="6">
        <v>720</v>
      </c>
      <c r="J48" s="6">
        <v>720</v>
      </c>
      <c r="K48" s="6"/>
      <c r="L48" s="6">
        <v>72</v>
      </c>
      <c r="M48" s="6"/>
      <c r="N48" s="6"/>
      <c r="O48" s="6"/>
      <c r="P48" s="6"/>
      <c r="Q48" s="6"/>
      <c r="R48" s="6"/>
      <c r="S48" s="6"/>
      <c r="T48" s="13"/>
      <c r="U48" s="13"/>
      <c r="V48" s="13"/>
      <c r="W48" s="13"/>
      <c r="X48" s="13">
        <v>20000</v>
      </c>
      <c r="Y48" s="7" t="s">
        <v>6</v>
      </c>
      <c r="Z48" s="13"/>
      <c r="AC48">
        <f t="shared" si="4"/>
        <v>27.777777777777779</v>
      </c>
      <c r="AD48">
        <v>2007</v>
      </c>
      <c r="AE48" s="2">
        <v>2700</v>
      </c>
      <c r="AF48" s="2" t="s">
        <v>6</v>
      </c>
      <c r="AG48" s="375">
        <v>58</v>
      </c>
      <c r="AH48" s="375">
        <v>58</v>
      </c>
      <c r="AI48" s="376">
        <v>15</v>
      </c>
      <c r="AJ48" s="376">
        <v>25</v>
      </c>
      <c r="AK48" s="375">
        <v>52</v>
      </c>
      <c r="AL48" s="375">
        <v>87</v>
      </c>
      <c r="AM48" s="375">
        <v>52</v>
      </c>
      <c r="AN48" s="375">
        <v>87</v>
      </c>
    </row>
    <row r="49" spans="1:40" ht="18" customHeight="1" x14ac:dyDescent="0.2">
      <c r="A49" s="1">
        <v>2004</v>
      </c>
      <c r="B49" s="6"/>
      <c r="C49" s="6"/>
      <c r="D49" s="6"/>
      <c r="E49" s="6"/>
      <c r="F49" s="6"/>
      <c r="G49" s="6"/>
      <c r="H49" s="6"/>
      <c r="I49" s="6">
        <v>172</v>
      </c>
      <c r="J49" s="6">
        <v>438</v>
      </c>
      <c r="K49" s="6">
        <v>0</v>
      </c>
      <c r="L49" s="6"/>
      <c r="M49" s="6"/>
      <c r="N49" s="6"/>
      <c r="O49" s="6"/>
      <c r="P49" s="6"/>
      <c r="Q49" s="6"/>
      <c r="R49" s="6"/>
      <c r="S49" s="6"/>
      <c r="T49" s="13"/>
      <c r="U49" s="13"/>
      <c r="V49" s="13"/>
      <c r="W49" s="13"/>
      <c r="X49" s="21">
        <v>20673</v>
      </c>
      <c r="Y49" s="7" t="s">
        <v>6</v>
      </c>
      <c r="Z49" s="21"/>
      <c r="AC49">
        <f t="shared" si="4"/>
        <v>47.198630136986303</v>
      </c>
      <c r="AD49">
        <v>2005</v>
      </c>
      <c r="AE49" s="2">
        <v>10000</v>
      </c>
      <c r="AF49" s="2" t="s">
        <v>6</v>
      </c>
      <c r="AG49" s="375">
        <v>192</v>
      </c>
      <c r="AH49" s="375">
        <v>213</v>
      </c>
      <c r="AI49" s="376">
        <v>30</v>
      </c>
      <c r="AJ49" s="376">
        <v>45</v>
      </c>
      <c r="AK49" s="375">
        <v>135</v>
      </c>
      <c r="AL49" s="375">
        <v>202</v>
      </c>
      <c r="AM49" s="375">
        <v>147</v>
      </c>
      <c r="AN49" s="375">
        <v>221</v>
      </c>
    </row>
    <row r="50" spans="1:40" ht="18" customHeight="1" x14ac:dyDescent="0.2">
      <c r="A50" s="1">
        <v>2005</v>
      </c>
      <c r="B50" s="6"/>
      <c r="C50" s="6"/>
      <c r="D50" s="6"/>
      <c r="E50" s="6"/>
      <c r="F50" s="6"/>
      <c r="G50" s="6"/>
      <c r="H50" s="6"/>
      <c r="I50" s="6">
        <v>62</v>
      </c>
      <c r="J50" s="6"/>
      <c r="K50" s="6">
        <v>190</v>
      </c>
      <c r="L50" s="6"/>
      <c r="M50" s="6"/>
      <c r="N50" s="6"/>
      <c r="O50" s="6"/>
      <c r="P50" s="6"/>
      <c r="Q50" s="6"/>
      <c r="R50" s="6"/>
      <c r="S50" s="6"/>
      <c r="T50" s="13"/>
      <c r="U50" s="13"/>
      <c r="V50" s="13"/>
      <c r="W50" s="13"/>
      <c r="X50" s="13">
        <v>15928</v>
      </c>
      <c r="Y50" s="7" t="s">
        <v>6</v>
      </c>
      <c r="Z50" s="25"/>
      <c r="AC50">
        <f t="shared" si="4"/>
        <v>83.831578947368428</v>
      </c>
      <c r="AD50">
        <v>2004</v>
      </c>
      <c r="AE50" s="2">
        <v>10000</v>
      </c>
      <c r="AF50" s="2" t="s">
        <v>6</v>
      </c>
      <c r="AG50" s="375">
        <v>438</v>
      </c>
      <c r="AH50" s="375">
        <v>447</v>
      </c>
      <c r="AI50" s="376">
        <v>15</v>
      </c>
      <c r="AJ50" s="376">
        <v>25</v>
      </c>
      <c r="AK50" s="375">
        <v>186</v>
      </c>
      <c r="AL50" s="375">
        <v>310</v>
      </c>
      <c r="AM50" s="375">
        <v>192</v>
      </c>
      <c r="AN50" s="375">
        <v>321</v>
      </c>
    </row>
    <row r="51" spans="1:40" ht="18" customHeight="1" x14ac:dyDescent="0.2">
      <c r="A51" s="1">
        <v>2006</v>
      </c>
      <c r="B51" s="6"/>
      <c r="C51" s="6"/>
      <c r="D51" s="6"/>
      <c r="E51" s="6"/>
      <c r="F51" s="6"/>
      <c r="G51" s="6"/>
      <c r="H51" s="6">
        <v>122</v>
      </c>
      <c r="I51" s="6">
        <v>708</v>
      </c>
      <c r="J51" s="6"/>
      <c r="K51" s="6">
        <v>85</v>
      </c>
      <c r="L51" s="6"/>
      <c r="M51" s="6">
        <v>0</v>
      </c>
      <c r="N51" s="6"/>
      <c r="O51" s="6"/>
      <c r="P51" s="6"/>
      <c r="Q51" s="6"/>
      <c r="R51" s="6"/>
      <c r="S51" s="6"/>
      <c r="T51" s="13"/>
      <c r="U51" s="13"/>
      <c r="V51" s="13"/>
      <c r="W51" s="13"/>
      <c r="X51" s="12">
        <v>2186</v>
      </c>
      <c r="Y51" s="7"/>
      <c r="Z51" s="25"/>
      <c r="AC51">
        <f t="shared" si="4"/>
        <v>3.0875706214689265</v>
      </c>
      <c r="AD51">
        <v>2003</v>
      </c>
      <c r="AE51" s="2">
        <v>11287</v>
      </c>
      <c r="AF51" s="2" t="s">
        <v>6</v>
      </c>
      <c r="AG51" s="375">
        <v>720</v>
      </c>
      <c r="AH51" s="375">
        <v>758</v>
      </c>
      <c r="AI51" s="376">
        <v>30</v>
      </c>
      <c r="AJ51" s="376">
        <v>40</v>
      </c>
      <c r="AK51" s="375">
        <v>444</v>
      </c>
      <c r="AL51" s="375">
        <v>593</v>
      </c>
      <c r="AM51" s="375">
        <v>477</v>
      </c>
      <c r="AN51" s="375">
        <v>636</v>
      </c>
    </row>
    <row r="52" spans="1:40" ht="18" customHeight="1" x14ac:dyDescent="0.2">
      <c r="A52" s="1">
        <v>2007</v>
      </c>
      <c r="B52" s="6"/>
      <c r="C52" s="6"/>
      <c r="D52" s="6"/>
      <c r="E52" s="6"/>
      <c r="F52" s="6"/>
      <c r="G52" s="6"/>
      <c r="H52" s="6">
        <v>58</v>
      </c>
      <c r="I52" s="6"/>
      <c r="J52" s="6"/>
      <c r="K52" s="6"/>
      <c r="L52" s="6">
        <v>0</v>
      </c>
      <c r="M52" s="6">
        <v>0</v>
      </c>
      <c r="N52" s="6"/>
      <c r="O52" s="6"/>
      <c r="P52" s="6"/>
      <c r="Q52" s="6"/>
      <c r="R52" s="6"/>
      <c r="S52" s="6"/>
      <c r="T52" s="13"/>
      <c r="U52" s="13"/>
      <c r="V52" s="13"/>
      <c r="W52" s="13"/>
      <c r="X52" s="12">
        <v>4900</v>
      </c>
      <c r="Y52" s="7" t="s">
        <v>6</v>
      </c>
      <c r="Z52" s="25"/>
      <c r="AC52">
        <f t="shared" si="4"/>
        <v>84.482758620689651</v>
      </c>
    </row>
    <row r="53" spans="1:40" ht="18" customHeight="1" x14ac:dyDescent="0.2">
      <c r="A53" s="13">
        <v>2008</v>
      </c>
      <c r="B53" s="13"/>
      <c r="C53" s="13"/>
      <c r="D53" s="13"/>
      <c r="E53" s="13"/>
      <c r="F53" s="13"/>
      <c r="G53" s="13">
        <v>25</v>
      </c>
      <c r="H53" s="13"/>
      <c r="I53" s="13">
        <v>1</v>
      </c>
      <c r="J53" s="13">
        <v>1246</v>
      </c>
      <c r="K53" s="13"/>
      <c r="L53" s="13">
        <v>1428</v>
      </c>
      <c r="M53" s="13">
        <v>869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>
        <v>2396</v>
      </c>
      <c r="Y53" s="7" t="s">
        <v>5</v>
      </c>
      <c r="Z53" s="13"/>
      <c r="AC53">
        <f t="shared" si="4"/>
        <v>1.6778711484593838</v>
      </c>
    </row>
    <row r="54" spans="1:40" ht="18" customHeight="1" x14ac:dyDescent="0.2">
      <c r="A54" s="1">
        <v>2009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>
        <v>3300</v>
      </c>
      <c r="Y54" s="7"/>
      <c r="Z54" s="13"/>
      <c r="AC54" t="e">
        <f t="shared" si="4"/>
        <v>#DIV/0!</v>
      </c>
    </row>
    <row r="55" spans="1:40" ht="18" customHeight="1" x14ac:dyDescent="0.2">
      <c r="A55" s="1">
        <v>2010</v>
      </c>
      <c r="B55" s="13"/>
      <c r="C55" s="13"/>
      <c r="D55" s="13"/>
      <c r="E55" s="13"/>
      <c r="F55" s="13"/>
      <c r="G55" s="13">
        <v>26</v>
      </c>
      <c r="H55" s="13"/>
      <c r="I55" s="13"/>
      <c r="J55" s="13">
        <v>397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>
        <v>4225</v>
      </c>
      <c r="Y55" s="7"/>
      <c r="Z55" s="13"/>
      <c r="AC55">
        <f t="shared" si="4"/>
        <v>10.642317380352646</v>
      </c>
    </row>
    <row r="56" spans="1:40" ht="18" customHeight="1" x14ac:dyDescent="0.2">
      <c r="A56" s="13">
        <v>2011</v>
      </c>
      <c r="B56" s="13"/>
      <c r="C56" s="13"/>
      <c r="D56" s="13"/>
      <c r="E56" s="13"/>
      <c r="F56" s="13"/>
      <c r="G56" s="13"/>
      <c r="H56" s="13"/>
      <c r="I56" s="13"/>
      <c r="J56" s="13">
        <v>2000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>
        <v>5000</v>
      </c>
      <c r="Y56" s="7" t="s">
        <v>6</v>
      </c>
      <c r="Z56" s="13"/>
      <c r="AA56" s="2">
        <v>3057</v>
      </c>
      <c r="AC56">
        <f t="shared" si="4"/>
        <v>2.5</v>
      </c>
    </row>
    <row r="57" spans="1:40" ht="18" customHeight="1" x14ac:dyDescent="0.2">
      <c r="A57" s="13">
        <v>2012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>
        <v>5462</v>
      </c>
      <c r="Y57" s="7" t="s">
        <v>6</v>
      </c>
      <c r="Z57" s="13"/>
      <c r="AC57" t="e">
        <f t="shared" si="4"/>
        <v>#DIV/0!</v>
      </c>
    </row>
    <row r="58" spans="1:40" ht="18" customHeight="1" x14ac:dyDescent="0.2">
      <c r="A58" s="13">
        <v>2013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>
        <v>5536</v>
      </c>
      <c r="Y58" s="7" t="s">
        <v>6</v>
      </c>
      <c r="Z58" s="13"/>
      <c r="AA58" s="2">
        <v>1728</v>
      </c>
      <c r="AC58" t="e">
        <f t="shared" si="4"/>
        <v>#DIV/0!</v>
      </c>
    </row>
    <row r="59" spans="1:40" ht="18" customHeight="1" x14ac:dyDescent="0.2">
      <c r="A59" s="13">
        <v>2014</v>
      </c>
      <c r="B59" s="13"/>
      <c r="C59" s="13"/>
      <c r="D59" s="13"/>
      <c r="E59" s="13"/>
      <c r="F59" s="13"/>
      <c r="G59" s="13"/>
      <c r="H59" s="13"/>
      <c r="I59" s="13"/>
      <c r="J59" s="13">
        <v>670</v>
      </c>
      <c r="K59" s="13"/>
      <c r="L59" s="13"/>
      <c r="M59" s="13"/>
      <c r="N59" s="13"/>
      <c r="O59" s="13"/>
      <c r="P59" s="13">
        <v>466</v>
      </c>
      <c r="Q59" s="13"/>
      <c r="R59" s="13"/>
      <c r="S59" s="13"/>
      <c r="T59" s="13"/>
      <c r="U59" s="13"/>
      <c r="V59" s="13"/>
      <c r="W59" s="13"/>
      <c r="X59" s="13">
        <v>10434</v>
      </c>
      <c r="Y59" s="7" t="s">
        <v>6</v>
      </c>
      <c r="Z59" s="13"/>
      <c r="AA59" s="2">
        <v>2742</v>
      </c>
      <c r="AC59">
        <f t="shared" si="4"/>
        <v>15.57313432835821</v>
      </c>
    </row>
    <row r="60" spans="1:40" ht="18" customHeight="1" x14ac:dyDescent="0.2">
      <c r="A60" s="13">
        <v>2015</v>
      </c>
      <c r="B60" s="13"/>
      <c r="C60" s="13"/>
      <c r="D60" s="13"/>
      <c r="E60" s="13"/>
      <c r="F60" s="13"/>
      <c r="G60" s="1"/>
      <c r="H60" s="194">
        <v>272</v>
      </c>
      <c r="I60" s="1"/>
      <c r="J60" s="1"/>
      <c r="K60" s="194">
        <f>158+80</f>
        <v>238</v>
      </c>
      <c r="L60" s="193"/>
      <c r="M60" s="194">
        <v>992</v>
      </c>
      <c r="N60" s="1"/>
      <c r="O60" s="194">
        <v>651</v>
      </c>
      <c r="P60" s="13"/>
      <c r="Q60" s="13"/>
      <c r="R60" s="13"/>
      <c r="S60" s="13"/>
      <c r="T60" s="13"/>
      <c r="U60" s="13"/>
      <c r="V60" s="13"/>
      <c r="W60" s="13"/>
      <c r="X60" s="13">
        <f>1320+1429</f>
        <v>2749</v>
      </c>
      <c r="Y60" s="7" t="s">
        <v>5</v>
      </c>
      <c r="Z60" s="13">
        <v>30</v>
      </c>
      <c r="AA60" s="2">
        <v>1100</v>
      </c>
      <c r="AC60">
        <f t="shared" si="4"/>
        <v>2.7711693548387095</v>
      </c>
    </row>
    <row r="61" spans="1:40" ht="18" customHeight="1" x14ac:dyDescent="0.2">
      <c r="A61" s="13">
        <v>2016</v>
      </c>
      <c r="B61" s="13"/>
      <c r="C61" s="13"/>
      <c r="D61" s="13"/>
      <c r="E61" s="13"/>
      <c r="F61" s="13"/>
      <c r="G61" s="1"/>
      <c r="H61" s="194">
        <v>10</v>
      </c>
      <c r="I61" s="1"/>
      <c r="J61" s="1"/>
      <c r="K61" s="489">
        <v>2026</v>
      </c>
      <c r="L61" s="489">
        <v>395</v>
      </c>
      <c r="M61" s="1"/>
      <c r="N61" s="1"/>
      <c r="O61" s="1"/>
      <c r="P61" s="1"/>
      <c r="Q61" s="1"/>
      <c r="R61" s="13"/>
      <c r="S61" s="13"/>
      <c r="T61" s="13"/>
      <c r="U61" s="13"/>
      <c r="V61" s="13"/>
      <c r="W61" s="13"/>
      <c r="X61" s="13">
        <v>2200</v>
      </c>
      <c r="Y61" s="7"/>
      <c r="Z61" s="13"/>
      <c r="AA61" s="2">
        <v>1600</v>
      </c>
      <c r="AC61">
        <f t="shared" si="4"/>
        <v>1.0858835143139192</v>
      </c>
    </row>
    <row r="62" spans="1:40" ht="18" customHeight="1" x14ac:dyDescent="0.2">
      <c r="A62" s="13">
        <v>2017</v>
      </c>
      <c r="B62" s="13"/>
      <c r="C62" s="13"/>
      <c r="D62" s="13"/>
      <c r="E62" s="13"/>
      <c r="F62" s="13"/>
      <c r="G62" s="152"/>
      <c r="H62" s="1"/>
      <c r="I62" s="194">
        <v>0</v>
      </c>
      <c r="J62" s="194">
        <v>1030</v>
      </c>
      <c r="K62" s="1"/>
      <c r="L62" s="1"/>
      <c r="M62" s="194">
        <v>1373</v>
      </c>
      <c r="N62" s="194">
        <v>2201</v>
      </c>
      <c r="O62" s="1"/>
      <c r="P62" s="1"/>
      <c r="Q62" s="1"/>
      <c r="R62" s="13"/>
      <c r="S62" s="13"/>
      <c r="T62" s="13"/>
      <c r="U62" s="13"/>
      <c r="V62" s="13"/>
      <c r="W62" s="13"/>
      <c r="X62" s="13">
        <v>3386</v>
      </c>
      <c r="Y62" s="7" t="s">
        <v>9</v>
      </c>
      <c r="Z62" s="13"/>
      <c r="AA62" s="2">
        <v>1114</v>
      </c>
      <c r="AB62" s="2">
        <v>383</v>
      </c>
      <c r="AC62">
        <f t="shared" si="4"/>
        <v>1.538391640163562</v>
      </c>
    </row>
    <row r="63" spans="1:40" ht="18" customHeight="1" x14ac:dyDescent="0.2">
      <c r="A63" s="13">
        <v>2018</v>
      </c>
      <c r="B63" s="13"/>
      <c r="C63" s="13"/>
      <c r="D63" s="13"/>
      <c r="E63" s="13"/>
      <c r="F63" s="13"/>
      <c r="G63" s="13"/>
      <c r="H63" s="13"/>
      <c r="I63" s="533">
        <v>8534</v>
      </c>
      <c r="J63" s="194">
        <v>8326</v>
      </c>
      <c r="K63" s="13"/>
      <c r="L63" s="194">
        <v>2938</v>
      </c>
      <c r="M63" s="13"/>
      <c r="N63" s="13"/>
      <c r="O63" s="489">
        <v>159</v>
      </c>
      <c r="P63" s="13"/>
      <c r="Q63" s="13"/>
      <c r="R63" s="13"/>
      <c r="S63" s="13"/>
      <c r="T63" s="13"/>
      <c r="U63" s="13"/>
      <c r="V63" s="13"/>
      <c r="W63" s="13"/>
      <c r="X63" s="13">
        <v>10303</v>
      </c>
      <c r="Y63" s="7"/>
      <c r="Z63" s="13">
        <v>35</v>
      </c>
      <c r="AA63" s="2">
        <v>1528</v>
      </c>
      <c r="AB63" s="2">
        <v>141</v>
      </c>
      <c r="AC63">
        <f t="shared" si="4"/>
        <v>1.2072884930864776</v>
      </c>
    </row>
    <row r="64" spans="1:40" ht="18" customHeight="1" x14ac:dyDescent="0.2">
      <c r="A64" s="13">
        <v>2019</v>
      </c>
      <c r="B64" s="13"/>
      <c r="C64" s="13"/>
      <c r="D64" s="13"/>
      <c r="E64" s="13"/>
      <c r="F64" s="602">
        <v>0</v>
      </c>
      <c r="G64" s="13"/>
      <c r="H64" s="604">
        <v>128</v>
      </c>
      <c r="I64" s="604">
        <v>384</v>
      </c>
      <c r="J64" s="109">
        <v>511</v>
      </c>
      <c r="K64" s="604">
        <f>73+45</f>
        <v>118</v>
      </c>
      <c r="L64" s="109">
        <v>329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>
        <v>967</v>
      </c>
      <c r="Y64" s="7"/>
      <c r="Z64" s="13"/>
      <c r="AA64" s="2">
        <v>300</v>
      </c>
      <c r="AB64" s="2">
        <v>153</v>
      </c>
      <c r="AC64">
        <f>X64/MAX(B64:W64)</f>
        <v>1.8923679060665362</v>
      </c>
    </row>
    <row r="65" spans="1:75" ht="18" customHeight="1" x14ac:dyDescent="0.2">
      <c r="A65" s="13">
        <v>2020</v>
      </c>
      <c r="B65" s="13"/>
      <c r="C65" s="13"/>
      <c r="D65" s="13"/>
      <c r="E65" s="109">
        <v>0</v>
      </c>
      <c r="F65" s="13"/>
      <c r="G65" s="109">
        <v>5</v>
      </c>
      <c r="H65" s="109">
        <v>4</v>
      </c>
      <c r="I65" s="13"/>
      <c r="J65" s="109">
        <v>910</v>
      </c>
      <c r="K65" s="13"/>
      <c r="L65" s="99">
        <v>0</v>
      </c>
      <c r="M65" s="590">
        <v>924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7"/>
      <c r="Z65" s="13"/>
      <c r="AA65" s="2">
        <f>239+262</f>
        <v>501</v>
      </c>
      <c r="AB65" s="2">
        <v>884</v>
      </c>
      <c r="AC65"/>
    </row>
    <row r="66" spans="1:75" s="150" customFormat="1" ht="18" customHeight="1" x14ac:dyDescent="0.2">
      <c r="A66" s="89">
        <v>2021</v>
      </c>
      <c r="B66" s="89"/>
      <c r="C66" s="89"/>
      <c r="D66" s="89"/>
      <c r="E66" s="89"/>
      <c r="F66" s="89"/>
      <c r="G66" s="89"/>
      <c r="H66" s="109">
        <v>61</v>
      </c>
      <c r="I66" s="109">
        <v>671</v>
      </c>
      <c r="J66" s="89"/>
      <c r="K66" s="447">
        <v>54</v>
      </c>
      <c r="L66" s="589">
        <v>1688</v>
      </c>
      <c r="M66" s="589">
        <f>158+540</f>
        <v>698</v>
      </c>
      <c r="N66" s="89"/>
      <c r="O66" s="694">
        <v>1082</v>
      </c>
      <c r="P66" s="447">
        <v>0</v>
      </c>
      <c r="Q66" s="89"/>
      <c r="R66" s="89"/>
      <c r="S66" s="89"/>
      <c r="T66" s="89"/>
      <c r="U66" s="89"/>
      <c r="V66" s="89"/>
      <c r="W66" s="89"/>
      <c r="X66" s="89">
        <v>2797</v>
      </c>
      <c r="Y66" s="7" t="s">
        <v>5</v>
      </c>
      <c r="Z66" s="89">
        <v>25</v>
      </c>
      <c r="AA66" s="150">
        <f>434+309</f>
        <v>743</v>
      </c>
      <c r="AB66" s="150">
        <v>16</v>
      </c>
      <c r="AC66" s="151"/>
    </row>
    <row r="67" spans="1:75" s="150" customFormat="1" ht="18" customHeight="1" x14ac:dyDescent="0.2">
      <c r="A67" s="89">
        <v>2022</v>
      </c>
      <c r="B67" s="89"/>
      <c r="C67" s="89"/>
      <c r="D67" s="89"/>
      <c r="E67" s="89"/>
      <c r="F67" s="109">
        <v>0</v>
      </c>
      <c r="G67" s="89"/>
      <c r="H67" s="109">
        <v>20</v>
      </c>
      <c r="I67" s="186">
        <f>50+1</f>
        <v>51</v>
      </c>
      <c r="J67" s="736"/>
      <c r="K67" s="989"/>
      <c r="L67" s="754"/>
      <c r="M67" s="808">
        <v>205</v>
      </c>
      <c r="N67" s="951">
        <v>18</v>
      </c>
      <c r="O67" s="813">
        <f>731+41+1+91</f>
        <v>864</v>
      </c>
      <c r="P67" s="869"/>
      <c r="Q67" s="89"/>
      <c r="R67" s="89"/>
      <c r="S67" s="89"/>
      <c r="T67" s="89"/>
      <c r="U67" s="89"/>
      <c r="V67" s="89"/>
      <c r="W67" s="89"/>
      <c r="X67" s="89">
        <f>1125+278</f>
        <v>1403</v>
      </c>
      <c r="Y67" s="11" t="s">
        <v>9</v>
      </c>
      <c r="Z67" s="89"/>
      <c r="AA67" s="150">
        <v>102</v>
      </c>
      <c r="AB67" s="150">
        <v>7</v>
      </c>
      <c r="AC67" s="151"/>
    </row>
    <row r="68" spans="1:75" s="150" customFormat="1" ht="18" customHeight="1" x14ac:dyDescent="0.2">
      <c r="A68" s="89">
        <v>2023</v>
      </c>
      <c r="B68" s="89"/>
      <c r="C68" s="89"/>
      <c r="D68" s="89"/>
      <c r="E68" s="109">
        <v>0</v>
      </c>
      <c r="F68" s="109">
        <v>1</v>
      </c>
      <c r="G68" s="89"/>
      <c r="H68" s="109">
        <v>0</v>
      </c>
      <c r="I68" s="109">
        <v>314</v>
      </c>
      <c r="J68" s="109">
        <v>136</v>
      </c>
      <c r="K68" s="99"/>
      <c r="L68" s="89"/>
      <c r="M68" s="338">
        <v>1228</v>
      </c>
      <c r="N68" s="89"/>
      <c r="O68" s="687">
        <v>12</v>
      </c>
      <c r="P68" s="869"/>
      <c r="Q68" s="89"/>
      <c r="R68" s="89"/>
      <c r="S68" s="89"/>
      <c r="T68" s="89"/>
      <c r="U68" s="89"/>
      <c r="V68" s="89"/>
      <c r="W68" s="89"/>
      <c r="X68" s="89"/>
      <c r="Y68" s="11"/>
      <c r="Z68" s="89"/>
      <c r="AC68" s="151"/>
    </row>
    <row r="69" spans="1:75" ht="18" customHeight="1" x14ac:dyDescent="0.2">
      <c r="A69" s="22"/>
      <c r="B69" s="23"/>
      <c r="C69" s="23"/>
      <c r="D69" s="23"/>
      <c r="E69" s="23"/>
      <c r="F69" s="23"/>
      <c r="G69" s="23"/>
      <c r="H69" s="23"/>
      <c r="I69" s="23"/>
      <c r="J69" s="15"/>
      <c r="K69" s="15"/>
      <c r="L69" s="15"/>
      <c r="M69" s="23"/>
      <c r="N69" s="23"/>
      <c r="O69" s="23"/>
      <c r="P69" s="23"/>
      <c r="Q69" s="23"/>
      <c r="R69" s="23"/>
      <c r="S69" s="23"/>
      <c r="T69" s="23"/>
      <c r="U69" s="1020" t="s">
        <v>17</v>
      </c>
      <c r="V69" s="1021"/>
      <c r="W69" s="1021"/>
      <c r="X69" s="16">
        <f>AVERAGE(X40:X53)</f>
        <v>10534.5</v>
      </c>
      <c r="Y69" s="17"/>
      <c r="Z69" s="15" t="e">
        <f>AVERAGE(Z40:Z53)</f>
        <v>#DIV/0!</v>
      </c>
    </row>
    <row r="70" spans="1:75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</row>
    <row r="71" spans="1:75" ht="18" customHeight="1" x14ac:dyDescent="0.2">
      <c r="A71" s="1002" t="s">
        <v>520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75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</row>
    <row r="73" spans="1:75" ht="18" customHeight="1" thickTop="1" x14ac:dyDescent="0.25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10" t="s">
        <v>4</v>
      </c>
      <c r="AG73" s="1013" t="s">
        <v>117</v>
      </c>
      <c r="AH73" s="1013" t="s">
        <v>118</v>
      </c>
      <c r="AI73" s="900" t="s">
        <v>119</v>
      </c>
      <c r="AJ73"/>
      <c r="AK73" s="1012" t="s">
        <v>120</v>
      </c>
      <c r="AL73" s="1012"/>
      <c r="AM73"/>
      <c r="AN73" s="160" t="s">
        <v>121</v>
      </c>
      <c r="AO73" s="160"/>
      <c r="AP73" s="161" t="s">
        <v>122</v>
      </c>
      <c r="AQ73" s="161"/>
      <c r="AR73" s="161"/>
      <c r="AS73" s="161"/>
      <c r="AT73" s="1013" t="s">
        <v>117</v>
      </c>
      <c r="AU73" s="1013" t="s">
        <v>118</v>
      </c>
      <c r="AV73" s="718" t="s">
        <v>119</v>
      </c>
      <c r="AW73"/>
      <c r="AX73" s="1012" t="s">
        <v>120</v>
      </c>
      <c r="AY73" s="1012"/>
      <c r="AZ73"/>
      <c r="BA73" s="160" t="s">
        <v>121</v>
      </c>
      <c r="BB73" s="160"/>
      <c r="BC73" s="161" t="s">
        <v>122</v>
      </c>
      <c r="BE73" s="721" t="s">
        <v>0</v>
      </c>
      <c r="BF73" s="721" t="s">
        <v>492</v>
      </c>
      <c r="BG73" s="721" t="s">
        <v>493</v>
      </c>
      <c r="BH73" s="721" t="s">
        <v>106</v>
      </c>
      <c r="BI73" s="721" t="s">
        <v>494</v>
      </c>
      <c r="BJ73" s="721" t="s">
        <v>495</v>
      </c>
      <c r="BK73" s="721" t="s">
        <v>496</v>
      </c>
      <c r="BL73" s="721" t="s">
        <v>497</v>
      </c>
      <c r="BM73" s="721" t="s">
        <v>498</v>
      </c>
      <c r="BN73" s="721" t="s">
        <v>499</v>
      </c>
      <c r="BO73" s="721" t="s">
        <v>500</v>
      </c>
      <c r="BP73" s="721" t="s">
        <v>501</v>
      </c>
      <c r="BQ73" s="721" t="s">
        <v>502</v>
      </c>
      <c r="BR73" s="721" t="s">
        <v>503</v>
      </c>
      <c r="BS73" s="721" t="s">
        <v>504</v>
      </c>
      <c r="BT73" s="721" t="s">
        <v>505</v>
      </c>
      <c r="BU73" s="721" t="s">
        <v>506</v>
      </c>
      <c r="BV73" s="721" t="s">
        <v>507</v>
      </c>
      <c r="BW73" s="721" t="s">
        <v>508</v>
      </c>
    </row>
    <row r="74" spans="1:75" ht="18" customHeight="1" x14ac:dyDescent="0.25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11"/>
      <c r="AB74" t="s">
        <v>142</v>
      </c>
      <c r="AD74" s="2" t="s">
        <v>229</v>
      </c>
      <c r="AG74" s="1014"/>
      <c r="AH74" s="1014"/>
      <c r="AI74" s="901" t="s">
        <v>146</v>
      </c>
      <c r="AJ74"/>
      <c r="AK74" s="163" t="s">
        <v>148</v>
      </c>
      <c r="AL74" s="163" t="s">
        <v>147</v>
      </c>
      <c r="AM74"/>
      <c r="AN74" s="164"/>
      <c r="AO74"/>
      <c r="AP74" s="164"/>
      <c r="AQ74" s="161"/>
      <c r="AR74" s="161"/>
      <c r="AS74" s="161"/>
      <c r="AT74" s="1014"/>
      <c r="AU74" s="1014"/>
      <c r="AV74" s="719" t="s">
        <v>146</v>
      </c>
      <c r="AW74"/>
      <c r="AX74" s="163" t="s">
        <v>148</v>
      </c>
      <c r="AY74" s="163" t="s">
        <v>147</v>
      </c>
      <c r="AZ74"/>
      <c r="BA74" s="164"/>
      <c r="BB74"/>
      <c r="BC74" s="164"/>
      <c r="BE74" s="722">
        <v>2020</v>
      </c>
      <c r="BF74" s="722">
        <v>22</v>
      </c>
      <c r="BG74" s="723" t="s">
        <v>509</v>
      </c>
      <c r="BH74" s="724">
        <v>44068</v>
      </c>
      <c r="BI74" s="723" t="s">
        <v>177</v>
      </c>
      <c r="BJ74" s="722">
        <v>3</v>
      </c>
      <c r="BK74" s="722">
        <v>2</v>
      </c>
      <c r="BL74" s="725"/>
      <c r="BM74" s="722">
        <v>2</v>
      </c>
      <c r="BN74" s="725"/>
      <c r="BO74" s="725"/>
      <c r="BP74" s="722">
        <v>0</v>
      </c>
      <c r="BQ74" s="723" t="s">
        <v>510</v>
      </c>
      <c r="BR74" s="726">
        <v>0.9</v>
      </c>
      <c r="BS74" s="726">
        <v>1</v>
      </c>
      <c r="BT74" s="722">
        <v>2</v>
      </c>
      <c r="BU74" s="725"/>
      <c r="BV74" s="725"/>
      <c r="BW74" s="725"/>
    </row>
    <row r="75" spans="1:75" ht="18" customHeight="1" x14ac:dyDescent="0.25">
      <c r="A75" s="1">
        <v>1995</v>
      </c>
      <c r="B75" s="145"/>
      <c r="C75" s="145"/>
      <c r="D75" s="145"/>
      <c r="E75" s="145"/>
      <c r="F75" s="145"/>
      <c r="G75" s="145"/>
      <c r="H75" s="145">
        <v>1</v>
      </c>
      <c r="I75" s="145">
        <v>15</v>
      </c>
      <c r="J75" s="145"/>
      <c r="K75" s="145"/>
      <c r="L75" s="145"/>
      <c r="M75" s="145">
        <v>17205</v>
      </c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2">
        <v>119319</v>
      </c>
      <c r="Y75" s="7"/>
      <c r="Z75" s="7"/>
      <c r="AB75">
        <f>X75/MAX(B75:W75)</f>
        <v>6.9351351351351349</v>
      </c>
      <c r="AG75" s="165" t="s">
        <v>554</v>
      </c>
      <c r="AH75" s="166"/>
      <c r="AI75" s="167"/>
      <c r="AJ75"/>
      <c r="AK75"/>
      <c r="AL75"/>
      <c r="AM75"/>
      <c r="AN75"/>
      <c r="AO75"/>
      <c r="AP75"/>
      <c r="AT75" s="165"/>
      <c r="AU75" s="166"/>
      <c r="AV75" s="167"/>
      <c r="AW75"/>
      <c r="AX75"/>
      <c r="AY75"/>
      <c r="AZ75"/>
      <c r="BA75"/>
      <c r="BB75"/>
      <c r="BC75"/>
      <c r="BE75" s="722">
        <v>2020</v>
      </c>
      <c r="BF75" s="722">
        <v>22</v>
      </c>
      <c r="BG75" s="723" t="s">
        <v>509</v>
      </c>
      <c r="BH75" s="724">
        <v>44084</v>
      </c>
      <c r="BI75" s="723" t="s">
        <v>177</v>
      </c>
      <c r="BJ75" s="722">
        <v>3</v>
      </c>
      <c r="BK75" s="722">
        <v>40</v>
      </c>
      <c r="BL75" s="725"/>
      <c r="BM75" s="722">
        <v>40</v>
      </c>
      <c r="BN75" s="725"/>
      <c r="BO75" s="725"/>
      <c r="BP75" s="722">
        <v>0</v>
      </c>
      <c r="BQ75" s="723" t="s">
        <v>510</v>
      </c>
      <c r="BR75" s="726">
        <v>0.9</v>
      </c>
      <c r="BS75" s="726">
        <v>0.95238100000000003</v>
      </c>
      <c r="BT75" s="722">
        <v>47</v>
      </c>
      <c r="BU75" s="725"/>
      <c r="BV75" s="725"/>
      <c r="BW75" s="725"/>
    </row>
    <row r="76" spans="1:75" ht="18" customHeight="1" x14ac:dyDescent="0.25">
      <c r="A76" s="1">
        <v>1996</v>
      </c>
      <c r="B76" s="145"/>
      <c r="C76" s="145"/>
      <c r="D76" s="145">
        <v>0</v>
      </c>
      <c r="E76" s="145"/>
      <c r="F76" s="145">
        <v>0</v>
      </c>
      <c r="G76" s="145">
        <v>0</v>
      </c>
      <c r="H76" s="145">
        <v>59</v>
      </c>
      <c r="I76" s="145">
        <v>95</v>
      </c>
      <c r="J76" s="145">
        <v>512</v>
      </c>
      <c r="K76" s="145">
        <v>8525</v>
      </c>
      <c r="L76" s="145"/>
      <c r="M76" s="145"/>
      <c r="N76" s="145">
        <v>2035</v>
      </c>
      <c r="O76" s="145"/>
      <c r="P76" s="145">
        <v>150</v>
      </c>
      <c r="Q76" s="145"/>
      <c r="R76" s="145"/>
      <c r="S76" s="145"/>
      <c r="T76" s="145"/>
      <c r="U76" s="145"/>
      <c r="V76" s="145"/>
      <c r="W76" s="145"/>
      <c r="X76" s="142">
        <v>330000</v>
      </c>
      <c r="Y76" s="7"/>
      <c r="Z76" s="7"/>
      <c r="AB76">
        <f t="shared" ref="AB76:AB100" si="5">X76/MAX(B76:W76)</f>
        <v>38.70967741935484</v>
      </c>
      <c r="AG76" s="165"/>
      <c r="AH76" s="166"/>
      <c r="AI76" s="167"/>
      <c r="AJ76"/>
      <c r="AK76"/>
      <c r="AL76"/>
      <c r="AM76"/>
      <c r="AN76"/>
      <c r="AO76"/>
      <c r="AP76"/>
      <c r="AR76" s="8" t="s">
        <v>9</v>
      </c>
      <c r="AS76" s="8"/>
      <c r="AT76" s="165"/>
      <c r="AU76" s="166"/>
      <c r="AV76" s="167"/>
      <c r="AW76"/>
      <c r="AX76"/>
      <c r="AY76"/>
      <c r="AZ76"/>
      <c r="BA76"/>
      <c r="BB76"/>
      <c r="BC76"/>
      <c r="BE76" s="722">
        <v>2020</v>
      </c>
      <c r="BF76" s="722">
        <v>22</v>
      </c>
      <c r="BG76" s="723" t="s">
        <v>509</v>
      </c>
      <c r="BH76" s="724">
        <v>44092</v>
      </c>
      <c r="BI76" s="723" t="s">
        <v>177</v>
      </c>
      <c r="BJ76" s="722">
        <v>3</v>
      </c>
      <c r="BK76" s="722">
        <v>183</v>
      </c>
      <c r="BL76" s="722">
        <v>3</v>
      </c>
      <c r="BM76" s="722">
        <v>186</v>
      </c>
      <c r="BN76" s="725"/>
      <c r="BO76" s="725"/>
      <c r="BP76" s="722">
        <v>0</v>
      </c>
      <c r="BQ76" s="723" t="s">
        <v>510</v>
      </c>
      <c r="BR76" s="726">
        <v>0.9</v>
      </c>
      <c r="BS76" s="726">
        <v>0.91500000000000004</v>
      </c>
      <c r="BT76" s="722">
        <v>222</v>
      </c>
      <c r="BU76" s="725"/>
      <c r="BV76" s="725"/>
      <c r="BW76" s="725"/>
    </row>
    <row r="77" spans="1:75" ht="18" customHeight="1" x14ac:dyDescent="0.25">
      <c r="A77" s="1">
        <v>1997</v>
      </c>
      <c r="B77" s="145"/>
      <c r="C77" s="145">
        <v>3</v>
      </c>
      <c r="D77" s="145"/>
      <c r="E77" s="145"/>
      <c r="F77" s="145">
        <v>5</v>
      </c>
      <c r="G77" s="145">
        <v>2</v>
      </c>
      <c r="H77" s="145">
        <v>1</v>
      </c>
      <c r="I77" s="145">
        <v>20</v>
      </c>
      <c r="J77" s="145"/>
      <c r="K77" s="145">
        <v>3682</v>
      </c>
      <c r="L77" s="145">
        <v>22865</v>
      </c>
      <c r="M77" s="145">
        <v>75000</v>
      </c>
      <c r="N77" s="145">
        <v>165000</v>
      </c>
      <c r="O77" s="145"/>
      <c r="P77" s="145">
        <v>5482</v>
      </c>
      <c r="Q77" s="145"/>
      <c r="R77" s="145"/>
      <c r="S77" s="145"/>
      <c r="T77" s="145"/>
      <c r="U77" s="145"/>
      <c r="V77" s="145"/>
      <c r="W77" s="145"/>
      <c r="X77" s="142">
        <v>423242</v>
      </c>
      <c r="Y77" s="7"/>
      <c r="Z77" s="7"/>
      <c r="AB77">
        <f t="shared" si="5"/>
        <v>2.5651030303030304</v>
      </c>
      <c r="AG77" s="165" t="s">
        <v>127</v>
      </c>
      <c r="AH77" s="713">
        <v>44803</v>
      </c>
      <c r="AI77" s="715"/>
      <c r="AJ77"/>
      <c r="AK77"/>
      <c r="AL77" s="169">
        <v>0</v>
      </c>
      <c r="AM77"/>
      <c r="AN77"/>
      <c r="AO77"/>
      <c r="AP77"/>
      <c r="AR77" s="8" t="s">
        <v>555</v>
      </c>
      <c r="AS77" s="8"/>
      <c r="AT77" s="165" t="s">
        <v>127</v>
      </c>
      <c r="AU77" s="713">
        <v>44067</v>
      </c>
      <c r="AV77" s="715"/>
      <c r="AW77"/>
      <c r="AX77"/>
      <c r="AY77" s="169">
        <v>0</v>
      </c>
      <c r="AZ77"/>
      <c r="BA77"/>
      <c r="BB77"/>
      <c r="BC77"/>
      <c r="BE77" s="722">
        <v>2020</v>
      </c>
      <c r="BF77" s="722">
        <v>22</v>
      </c>
      <c r="BG77" s="723" t="s">
        <v>509</v>
      </c>
      <c r="BH77" s="724">
        <v>44105</v>
      </c>
      <c r="BI77" s="723" t="s">
        <v>177</v>
      </c>
      <c r="BJ77" s="722">
        <v>3</v>
      </c>
      <c r="BK77" s="722">
        <v>13608</v>
      </c>
      <c r="BL77" s="722">
        <v>10</v>
      </c>
      <c r="BM77" s="722">
        <v>13618</v>
      </c>
      <c r="BN77" s="725"/>
      <c r="BO77" s="725"/>
      <c r="BP77" s="722">
        <v>0</v>
      </c>
      <c r="BQ77" s="723" t="s">
        <v>511</v>
      </c>
      <c r="BR77" s="726">
        <v>0.9</v>
      </c>
      <c r="BS77" s="726">
        <v>0.93122559999999999</v>
      </c>
      <c r="BT77" s="722">
        <v>16237</v>
      </c>
      <c r="BU77" s="725"/>
      <c r="BV77" s="725"/>
      <c r="BW77" s="725"/>
    </row>
    <row r="78" spans="1:75" ht="18" customHeight="1" x14ac:dyDescent="0.25">
      <c r="A78" s="1">
        <v>1998</v>
      </c>
      <c r="B78" s="145"/>
      <c r="C78" s="145"/>
      <c r="D78" s="145">
        <v>0</v>
      </c>
      <c r="E78" s="145"/>
      <c r="F78" s="145"/>
      <c r="G78" s="145"/>
      <c r="H78" s="145">
        <v>0</v>
      </c>
      <c r="I78" s="145">
        <v>1</v>
      </c>
      <c r="J78" s="145">
        <v>0</v>
      </c>
      <c r="K78" s="145">
        <v>1251</v>
      </c>
      <c r="L78" s="145">
        <v>63000</v>
      </c>
      <c r="M78" s="145">
        <v>100258</v>
      </c>
      <c r="N78" s="145">
        <v>35000</v>
      </c>
      <c r="O78" s="145">
        <v>14294</v>
      </c>
      <c r="P78" s="145"/>
      <c r="Q78" s="145"/>
      <c r="R78" s="145"/>
      <c r="S78" s="145"/>
      <c r="T78" s="145"/>
      <c r="U78" s="145"/>
      <c r="V78" s="145"/>
      <c r="W78" s="145"/>
      <c r="X78" s="142">
        <v>179179</v>
      </c>
      <c r="Y78" s="7"/>
      <c r="Z78" s="7"/>
      <c r="AB78">
        <f t="shared" si="5"/>
        <v>1.7871790779788146</v>
      </c>
      <c r="AG78" s="165"/>
      <c r="AH78" s="713">
        <v>44804</v>
      </c>
      <c r="AI78" s="170">
        <v>5</v>
      </c>
      <c r="AJ78"/>
      <c r="AK78" s="171">
        <v>0.9</v>
      </c>
      <c r="AL78" s="172">
        <f>AI78/AK78</f>
        <v>5.5555555555555554</v>
      </c>
      <c r="AM78"/>
      <c r="AN78" s="172">
        <f>(AH78-AH77)*(AI78+AI77)</f>
        <v>5</v>
      </c>
      <c r="AO78"/>
      <c r="AP78" s="172">
        <f>(AH78-AH77)*(AL78+AL77)</f>
        <v>5.5555555555555554</v>
      </c>
      <c r="AQ78" s="161"/>
      <c r="AR78" s="161">
        <v>5</v>
      </c>
      <c r="AS78" s="161"/>
      <c r="AT78" s="165"/>
      <c r="AU78" s="713">
        <v>44068</v>
      </c>
      <c r="AV78" s="170">
        <v>2</v>
      </c>
      <c r="AW78"/>
      <c r="AX78" s="171">
        <v>0.9</v>
      </c>
      <c r="AY78" s="172">
        <f>AV78/AX78</f>
        <v>2.2222222222222223</v>
      </c>
      <c r="AZ78"/>
      <c r="BA78" s="172">
        <f>(AU78-AU77)*(AV78+AV77)</f>
        <v>2</v>
      </c>
      <c r="BB78"/>
      <c r="BC78" s="172">
        <f>(AU78-AU77)*(AY78+AY77)</f>
        <v>2.2222222222222223</v>
      </c>
      <c r="BE78" s="722">
        <v>2020</v>
      </c>
      <c r="BF78" s="722">
        <v>22</v>
      </c>
      <c r="BG78" s="723" t="s">
        <v>509</v>
      </c>
      <c r="BH78" s="724">
        <v>44112</v>
      </c>
      <c r="BI78" s="723" t="s">
        <v>177</v>
      </c>
      <c r="BJ78" s="722">
        <v>3</v>
      </c>
      <c r="BK78" s="722">
        <v>7212</v>
      </c>
      <c r="BL78" s="722">
        <v>491</v>
      </c>
      <c r="BM78" s="722">
        <v>7703</v>
      </c>
      <c r="BN78" s="725"/>
      <c r="BO78" s="725"/>
      <c r="BP78" s="722">
        <v>0</v>
      </c>
      <c r="BQ78" s="723" t="s">
        <v>511</v>
      </c>
      <c r="BR78" s="726">
        <v>0.8</v>
      </c>
      <c r="BS78" s="726">
        <v>0.77059509999999998</v>
      </c>
      <c r="BT78" s="722">
        <v>11699</v>
      </c>
      <c r="BU78" s="725"/>
      <c r="BV78" s="725"/>
      <c r="BW78" s="725"/>
    </row>
    <row r="79" spans="1:75" ht="18" customHeight="1" x14ac:dyDescent="0.25">
      <c r="A79" s="1">
        <v>1999</v>
      </c>
      <c r="B79" s="145"/>
      <c r="C79" s="145"/>
      <c r="D79" s="145"/>
      <c r="E79" s="145"/>
      <c r="F79" s="145"/>
      <c r="G79" s="145">
        <v>5</v>
      </c>
      <c r="H79" s="145">
        <v>0</v>
      </c>
      <c r="I79" s="145">
        <v>0</v>
      </c>
      <c r="J79" s="145">
        <v>440</v>
      </c>
      <c r="K79" s="145"/>
      <c r="L79" s="145">
        <v>27819</v>
      </c>
      <c r="M79" s="145"/>
      <c r="N79" s="145">
        <v>14854</v>
      </c>
      <c r="O79" s="145">
        <v>21827</v>
      </c>
      <c r="P79" s="145"/>
      <c r="Q79" s="145"/>
      <c r="R79" s="145">
        <v>0</v>
      </c>
      <c r="S79" s="145"/>
      <c r="T79" s="145"/>
      <c r="U79" s="145"/>
      <c r="V79" s="145"/>
      <c r="W79" s="145"/>
      <c r="X79" s="142">
        <v>145000</v>
      </c>
      <c r="Y79" s="7"/>
      <c r="Z79" s="25"/>
      <c r="AB79">
        <f t="shared" si="5"/>
        <v>5.2122649987418672</v>
      </c>
      <c r="AG79" s="165"/>
      <c r="AH79" s="713">
        <v>44826</v>
      </c>
      <c r="AI79" s="170">
        <v>181</v>
      </c>
      <c r="AJ79"/>
      <c r="AK79" s="171">
        <v>0.9</v>
      </c>
      <c r="AL79" s="172">
        <f>AI79/AK79</f>
        <v>201.11111111111111</v>
      </c>
      <c r="AM79"/>
      <c r="AN79" s="172">
        <f>(AH79-AH78)*(AI79+AI78)</f>
        <v>4092</v>
      </c>
      <c r="AO79"/>
      <c r="AP79" s="172">
        <f>(AH79-AH78)*(AL79+AL78)</f>
        <v>4546.6666666666661</v>
      </c>
      <c r="AQ79" s="161"/>
      <c r="AR79" s="161">
        <v>181</v>
      </c>
      <c r="AS79" s="161"/>
      <c r="AT79" s="165"/>
      <c r="AU79" s="713">
        <v>44084</v>
      </c>
      <c r="AV79" s="170">
        <v>40</v>
      </c>
      <c r="AW79"/>
      <c r="AX79" s="171">
        <v>0.9</v>
      </c>
      <c r="AY79" s="172">
        <f>AV79/AX79</f>
        <v>44.444444444444443</v>
      </c>
      <c r="AZ79"/>
      <c r="BA79" s="172">
        <f>(AU79-AU78)*(AV79+AV78)</f>
        <v>672</v>
      </c>
      <c r="BB79"/>
      <c r="BC79" s="172">
        <f>(AU79-AU78)*(AY79+AY78)</f>
        <v>746.66666666666663</v>
      </c>
      <c r="BE79" s="722">
        <v>2020</v>
      </c>
      <c r="BF79" s="722">
        <v>22</v>
      </c>
      <c r="BG79" s="723" t="s">
        <v>509</v>
      </c>
      <c r="BH79" s="724">
        <v>44121</v>
      </c>
      <c r="BI79" s="723" t="s">
        <v>177</v>
      </c>
      <c r="BJ79" s="722">
        <v>6</v>
      </c>
      <c r="BK79" s="722">
        <v>60000</v>
      </c>
      <c r="BL79" s="725"/>
      <c r="BM79" s="722">
        <v>60000</v>
      </c>
      <c r="BN79" s="725"/>
      <c r="BO79" s="725"/>
      <c r="BP79" s="722">
        <v>0</v>
      </c>
      <c r="BQ79" s="723" t="s">
        <v>510</v>
      </c>
      <c r="BR79" s="726">
        <v>0.8</v>
      </c>
      <c r="BS79" s="726">
        <v>0.8</v>
      </c>
      <c r="BT79" s="722">
        <v>93750</v>
      </c>
      <c r="BU79" s="725"/>
      <c r="BV79" s="725"/>
      <c r="BW79" s="725"/>
    </row>
    <row r="80" spans="1:75" ht="18" customHeight="1" x14ac:dyDescent="0.25">
      <c r="A80" s="1">
        <v>2000</v>
      </c>
      <c r="B80" s="145"/>
      <c r="C80" s="145"/>
      <c r="D80" s="145"/>
      <c r="E80" s="145"/>
      <c r="F80" s="145"/>
      <c r="G80" s="145"/>
      <c r="H80" s="145">
        <v>0</v>
      </c>
      <c r="I80" s="145"/>
      <c r="J80" s="145">
        <v>14</v>
      </c>
      <c r="K80" s="145">
        <v>2511</v>
      </c>
      <c r="L80" s="145"/>
      <c r="M80" s="145"/>
      <c r="N80" s="145">
        <v>8189</v>
      </c>
      <c r="O80" s="145">
        <v>2333</v>
      </c>
      <c r="P80" s="145"/>
      <c r="Q80" s="145">
        <v>166</v>
      </c>
      <c r="R80" s="145"/>
      <c r="S80" s="145"/>
      <c r="T80" s="145"/>
      <c r="U80" s="145"/>
      <c r="V80" s="145"/>
      <c r="W80" s="145"/>
      <c r="X80" s="142">
        <v>20838</v>
      </c>
      <c r="Y80" s="7"/>
      <c r="Z80" s="25"/>
      <c r="AB80">
        <f t="shared" si="5"/>
        <v>2.5446330443277567</v>
      </c>
      <c r="AG80" s="173"/>
      <c r="AH80" s="713">
        <v>44854</v>
      </c>
      <c r="AI80" s="170">
        <v>1107</v>
      </c>
      <c r="AJ80"/>
      <c r="AK80" s="171">
        <v>0.9</v>
      </c>
      <c r="AL80" s="172">
        <f>AI80/AK80</f>
        <v>1230</v>
      </c>
      <c r="AM80"/>
      <c r="AN80" s="172">
        <f>(AH80-AH79)*(AI80+AI79)</f>
        <v>36064</v>
      </c>
      <c r="AO80"/>
      <c r="AP80" s="172">
        <f>(AH80-AH79)*(AL80+AL79)</f>
        <v>40071.111111111109</v>
      </c>
      <c r="AQ80" s="161"/>
      <c r="AR80" s="161">
        <v>1350</v>
      </c>
      <c r="AS80" s="161"/>
      <c r="AT80" s="173"/>
      <c r="AU80" s="713">
        <v>44092</v>
      </c>
      <c r="AV80" s="170">
        <v>183</v>
      </c>
      <c r="AW80"/>
      <c r="AX80" s="171">
        <v>0.9</v>
      </c>
      <c r="AY80" s="172">
        <f>AV80/AX80</f>
        <v>203.33333333333331</v>
      </c>
      <c r="AZ80"/>
      <c r="BA80" s="172">
        <f>(AU80-AU79)*(AV80+AV79)</f>
        <v>1784</v>
      </c>
      <c r="BB80"/>
      <c r="BC80" s="172">
        <f>(AU80-AU79)*(AY80+AY79)</f>
        <v>1982.2222222222222</v>
      </c>
      <c r="BE80" s="722">
        <v>2020</v>
      </c>
      <c r="BF80" s="722">
        <v>22</v>
      </c>
      <c r="BG80" s="723" t="s">
        <v>509</v>
      </c>
      <c r="BH80" s="724">
        <v>44125</v>
      </c>
      <c r="BI80" s="723" t="s">
        <v>177</v>
      </c>
      <c r="BJ80" s="722">
        <v>3</v>
      </c>
      <c r="BK80" s="722">
        <v>24349</v>
      </c>
      <c r="BL80" s="722">
        <v>2914</v>
      </c>
      <c r="BM80" s="722">
        <v>27263</v>
      </c>
      <c r="BN80" s="725"/>
      <c r="BO80" s="725"/>
      <c r="BP80" s="722">
        <v>0</v>
      </c>
      <c r="BQ80" s="723" t="s">
        <v>510</v>
      </c>
      <c r="BR80" s="726">
        <v>0.9</v>
      </c>
      <c r="BS80" s="726">
        <v>0.85781220000000002</v>
      </c>
      <c r="BT80" s="722">
        <v>31539</v>
      </c>
      <c r="BU80" s="725"/>
      <c r="BV80" s="725"/>
      <c r="BW80" s="725"/>
    </row>
    <row r="81" spans="1:75" ht="18" customHeight="1" x14ac:dyDescent="0.25">
      <c r="A81" s="1">
        <v>2001</v>
      </c>
      <c r="B81" s="145"/>
      <c r="C81" s="145"/>
      <c r="D81" s="145"/>
      <c r="E81" s="145">
        <v>7</v>
      </c>
      <c r="F81" s="145"/>
      <c r="G81" s="145"/>
      <c r="H81" s="145">
        <v>9</v>
      </c>
      <c r="I81" s="145">
        <v>495</v>
      </c>
      <c r="J81" s="145">
        <v>3190</v>
      </c>
      <c r="K81" s="145"/>
      <c r="L81" s="145">
        <v>74000</v>
      </c>
      <c r="M81" s="145"/>
      <c r="N81" s="145">
        <v>69000</v>
      </c>
      <c r="O81" s="145">
        <v>34700</v>
      </c>
      <c r="P81" s="145"/>
      <c r="Q81" s="145"/>
      <c r="R81" s="145">
        <v>4</v>
      </c>
      <c r="S81" s="145"/>
      <c r="T81" s="145"/>
      <c r="U81" s="145"/>
      <c r="V81" s="145"/>
      <c r="W81" s="145"/>
      <c r="X81" s="142">
        <v>300953</v>
      </c>
      <c r="Y81" s="7"/>
      <c r="Z81" s="25"/>
      <c r="AB81">
        <f t="shared" si="5"/>
        <v>4.0669324324324325</v>
      </c>
      <c r="AG81"/>
      <c r="AH81" s="713">
        <v>44861</v>
      </c>
      <c r="AI81" s="170">
        <v>7771</v>
      </c>
      <c r="AJ81"/>
      <c r="AK81" s="171">
        <v>0.8</v>
      </c>
      <c r="AL81" s="172">
        <f>AI81/AK81</f>
        <v>9713.75</v>
      </c>
      <c r="AM81"/>
      <c r="AN81" s="172">
        <f>(AH81-AH80)*(AI81+AI80)</f>
        <v>62146</v>
      </c>
      <c r="AO81"/>
      <c r="AP81" s="172">
        <f>(AH81-AH80)*(AL81+AL80)</f>
        <v>76606.25</v>
      </c>
      <c r="AQ81" s="161"/>
      <c r="AR81" s="161">
        <v>10466</v>
      </c>
      <c r="AS81" s="161"/>
      <c r="AT81"/>
      <c r="AU81" s="713">
        <v>44105</v>
      </c>
      <c r="AV81" s="170">
        <v>13608</v>
      </c>
      <c r="AW81"/>
      <c r="AX81" s="171">
        <v>0.9</v>
      </c>
      <c r="AY81" s="172">
        <f>AV81/AX81</f>
        <v>15120</v>
      </c>
      <c r="AZ81"/>
      <c r="BA81" s="172">
        <f>(AU81-AU80)*(AV81+AV80)</f>
        <v>179283</v>
      </c>
      <c r="BB81"/>
      <c r="BC81" s="172">
        <f>(AU81-AU80)*(AY81+AY80)</f>
        <v>199203.33333333334</v>
      </c>
      <c r="BE81" s="722">
        <v>2020</v>
      </c>
      <c r="BF81" s="722">
        <v>22</v>
      </c>
      <c r="BG81" s="723" t="s">
        <v>509</v>
      </c>
      <c r="BH81" s="724">
        <v>44131</v>
      </c>
      <c r="BI81" s="723" t="s">
        <v>177</v>
      </c>
      <c r="BJ81" s="722">
        <v>6</v>
      </c>
      <c r="BK81" s="722">
        <v>42550</v>
      </c>
      <c r="BL81" s="722">
        <v>15000</v>
      </c>
      <c r="BM81" s="722">
        <v>57550</v>
      </c>
      <c r="BN81" s="725"/>
      <c r="BO81" s="725"/>
      <c r="BP81" s="722">
        <v>0</v>
      </c>
      <c r="BQ81" s="723" t="s">
        <v>510</v>
      </c>
      <c r="BR81" s="726">
        <v>0.8</v>
      </c>
      <c r="BS81" s="726">
        <v>0.7999925</v>
      </c>
      <c r="BT81" s="722">
        <v>66485</v>
      </c>
      <c r="BU81" s="725"/>
      <c r="BV81" s="725"/>
      <c r="BW81" s="725"/>
    </row>
    <row r="82" spans="1:75" ht="18" customHeight="1" x14ac:dyDescent="0.25">
      <c r="A82" s="1">
        <v>2002</v>
      </c>
      <c r="B82" s="145"/>
      <c r="C82" s="145"/>
      <c r="D82" s="145"/>
      <c r="E82" s="145"/>
      <c r="F82" s="145"/>
      <c r="G82" s="145">
        <v>0</v>
      </c>
      <c r="H82" s="145">
        <v>11</v>
      </c>
      <c r="I82" s="145">
        <v>16</v>
      </c>
      <c r="J82" s="145">
        <v>462</v>
      </c>
      <c r="K82" s="145">
        <v>2014</v>
      </c>
      <c r="L82" s="145"/>
      <c r="M82" s="145">
        <v>24906</v>
      </c>
      <c r="N82" s="145">
        <v>12969</v>
      </c>
      <c r="O82" s="145"/>
      <c r="P82" s="145"/>
      <c r="Q82" s="145"/>
      <c r="R82" s="145">
        <v>44</v>
      </c>
      <c r="S82" s="145"/>
      <c r="T82" s="145"/>
      <c r="U82" s="145"/>
      <c r="V82" s="145"/>
      <c r="W82" s="145"/>
      <c r="X82" s="142">
        <v>36231</v>
      </c>
      <c r="Y82" s="7"/>
      <c r="Z82" s="25"/>
      <c r="AB82">
        <f t="shared" si="5"/>
        <v>1.4547097085039749</v>
      </c>
      <c r="AG82"/>
      <c r="AH82" s="713">
        <v>44867</v>
      </c>
      <c r="AI82" s="170">
        <f>916+15118</f>
        <v>16034</v>
      </c>
      <c r="AJ82"/>
      <c r="AK82" s="171">
        <v>0.8</v>
      </c>
      <c r="AL82" s="172">
        <f t="shared" ref="AL82:AL89" si="6">AI82/AK82</f>
        <v>20042.5</v>
      </c>
      <c r="AM82"/>
      <c r="AN82" s="172">
        <f t="shared" ref="AN82:AN90" si="7">(AH82-AH81)*(AI82+AI81)</f>
        <v>142830</v>
      </c>
      <c r="AO82"/>
      <c r="AP82" s="172">
        <f t="shared" ref="AP82:AP90" si="8">(AH82-AH81)*(AL82+AL81)</f>
        <v>178537.5</v>
      </c>
      <c r="AQ82" s="161"/>
      <c r="AR82" s="161">
        <f>916+31+15118+187</f>
        <v>16252</v>
      </c>
      <c r="AS82" s="161"/>
      <c r="AT82"/>
      <c r="AU82" s="713">
        <v>44112</v>
      </c>
      <c r="AV82" s="170">
        <v>7212</v>
      </c>
      <c r="AW82"/>
      <c r="AX82" s="171">
        <v>0.8</v>
      </c>
      <c r="AY82" s="172">
        <f t="shared" ref="AY82:AY89" si="9">AV82/AX82</f>
        <v>9015</v>
      </c>
      <c r="AZ82"/>
      <c r="BA82" s="172">
        <f t="shared" ref="BA82:BA90" si="10">(AU82-AU81)*(AV82+AV81)</f>
        <v>145740</v>
      </c>
      <c r="BB82"/>
      <c r="BC82" s="172">
        <f t="shared" ref="BC82:BC90" si="11">(AU82-AU81)*(AY82+AY81)</f>
        <v>168945</v>
      </c>
      <c r="BE82" s="722">
        <v>2020</v>
      </c>
      <c r="BF82" s="722">
        <v>22</v>
      </c>
      <c r="BG82" s="723" t="s">
        <v>509</v>
      </c>
      <c r="BH82" s="724">
        <v>44144</v>
      </c>
      <c r="BI82" s="723" t="s">
        <v>177</v>
      </c>
      <c r="BJ82" s="722">
        <v>3</v>
      </c>
      <c r="BK82" s="722">
        <v>111</v>
      </c>
      <c r="BL82" s="722">
        <v>5850</v>
      </c>
      <c r="BM82" s="722">
        <v>5961</v>
      </c>
      <c r="BN82" s="725"/>
      <c r="BO82" s="725"/>
      <c r="BP82" s="722">
        <v>0</v>
      </c>
      <c r="BQ82" s="723" t="s">
        <v>510</v>
      </c>
      <c r="BR82" s="726">
        <v>0.9</v>
      </c>
      <c r="BS82" s="726">
        <v>0.85384610000000005</v>
      </c>
      <c r="BT82" s="722">
        <v>144</v>
      </c>
      <c r="BU82" s="725"/>
      <c r="BV82" s="725"/>
      <c r="BW82" s="725"/>
    </row>
    <row r="83" spans="1:75" ht="18" customHeight="1" x14ac:dyDescent="0.25">
      <c r="A83" s="1">
        <v>2003</v>
      </c>
      <c r="B83" s="145"/>
      <c r="C83" s="145"/>
      <c r="D83" s="145"/>
      <c r="E83" s="145"/>
      <c r="F83" s="145"/>
      <c r="G83" s="145">
        <v>2</v>
      </c>
      <c r="H83" s="145"/>
      <c r="I83" s="145">
        <v>170</v>
      </c>
      <c r="J83" s="145">
        <v>277</v>
      </c>
      <c r="K83" s="145"/>
      <c r="L83" s="145">
        <v>15969</v>
      </c>
      <c r="M83" s="145"/>
      <c r="N83" s="145">
        <v>130000</v>
      </c>
      <c r="O83" s="145"/>
      <c r="P83" s="145"/>
      <c r="Q83" s="145"/>
      <c r="R83" s="145"/>
      <c r="S83" s="145"/>
      <c r="T83" s="145"/>
      <c r="U83" s="145"/>
      <c r="V83" s="145"/>
      <c r="W83" s="145"/>
      <c r="X83" s="142">
        <v>235414</v>
      </c>
      <c r="Y83" s="7"/>
      <c r="Z83" s="25">
        <v>10</v>
      </c>
      <c r="AB83">
        <f t="shared" si="5"/>
        <v>1.8108769230769231</v>
      </c>
      <c r="AG83"/>
      <c r="AH83" s="713">
        <v>44880</v>
      </c>
      <c r="AI83" s="369">
        <v>0</v>
      </c>
      <c r="AJ83"/>
      <c r="AK83" s="171">
        <v>1</v>
      </c>
      <c r="AL83" s="172">
        <f t="shared" si="6"/>
        <v>0</v>
      </c>
      <c r="AM83"/>
      <c r="AN83" s="172">
        <f t="shared" si="7"/>
        <v>208442</v>
      </c>
      <c r="AO83"/>
      <c r="AP83" s="172">
        <f t="shared" si="8"/>
        <v>260552.5</v>
      </c>
      <c r="AQ83" s="161"/>
      <c r="AR83" s="161"/>
      <c r="AS83" s="161"/>
      <c r="AT83"/>
      <c r="AU83" s="713">
        <v>44121</v>
      </c>
      <c r="AV83" s="170">
        <v>60000</v>
      </c>
      <c r="AW83"/>
      <c r="AX83" s="171">
        <v>1</v>
      </c>
      <c r="AY83" s="172">
        <f t="shared" si="9"/>
        <v>60000</v>
      </c>
      <c r="AZ83"/>
      <c r="BA83" s="172">
        <f t="shared" si="10"/>
        <v>604908</v>
      </c>
      <c r="BB83"/>
      <c r="BC83" s="172">
        <f t="shared" si="11"/>
        <v>621135</v>
      </c>
    </row>
    <row r="84" spans="1:75" ht="18" customHeight="1" x14ac:dyDescent="0.25">
      <c r="A84" s="1">
        <v>2004</v>
      </c>
      <c r="B84" s="145"/>
      <c r="C84" s="145"/>
      <c r="D84" s="145"/>
      <c r="E84" s="145"/>
      <c r="F84" s="145"/>
      <c r="G84" s="145"/>
      <c r="H84" s="145"/>
      <c r="I84" s="145">
        <v>274</v>
      </c>
      <c r="J84" s="145">
        <v>798</v>
      </c>
      <c r="K84" s="145">
        <v>48300</v>
      </c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2">
        <v>235000</v>
      </c>
      <c r="Y84" s="7"/>
      <c r="Z84" s="25"/>
      <c r="AB84">
        <f t="shared" si="5"/>
        <v>4.8654244306418217</v>
      </c>
      <c r="AG84"/>
      <c r="AH84" s="713">
        <v>44880</v>
      </c>
      <c r="AI84" s="369"/>
      <c r="AJ84"/>
      <c r="AK84" s="171">
        <v>0.9</v>
      </c>
      <c r="AL84" s="172">
        <f t="shared" si="6"/>
        <v>0</v>
      </c>
      <c r="AM84"/>
      <c r="AN84" s="172">
        <f t="shared" si="7"/>
        <v>0</v>
      </c>
      <c r="AO84"/>
      <c r="AP84" s="172">
        <f t="shared" si="8"/>
        <v>0</v>
      </c>
      <c r="AQ84" s="161"/>
      <c r="AR84" s="161"/>
      <c r="AS84" s="161"/>
      <c r="AT84"/>
      <c r="AU84" s="713">
        <v>44125</v>
      </c>
      <c r="AV84" s="170">
        <v>24349</v>
      </c>
      <c r="AW84"/>
      <c r="AX84" s="171">
        <v>0.9</v>
      </c>
      <c r="AY84" s="172">
        <f t="shared" si="9"/>
        <v>27054.444444444445</v>
      </c>
      <c r="AZ84"/>
      <c r="BA84" s="172">
        <f t="shared" si="10"/>
        <v>337396</v>
      </c>
      <c r="BB84"/>
      <c r="BC84" s="172">
        <f t="shared" si="11"/>
        <v>348217.77777777775</v>
      </c>
    </row>
    <row r="85" spans="1:75" ht="18" customHeight="1" x14ac:dyDescent="0.25">
      <c r="A85" s="1">
        <v>2005</v>
      </c>
      <c r="B85" s="145"/>
      <c r="C85" s="145"/>
      <c r="D85" s="145"/>
      <c r="E85" s="145"/>
      <c r="F85" s="145"/>
      <c r="G85" s="145"/>
      <c r="H85" s="145"/>
      <c r="I85" s="145">
        <v>4</v>
      </c>
      <c r="J85" s="145"/>
      <c r="K85" s="145">
        <v>17165</v>
      </c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3">
        <v>300000</v>
      </c>
      <c r="Y85" s="7"/>
      <c r="Z85" s="25"/>
      <c r="AB85">
        <f t="shared" si="5"/>
        <v>17.47742499271774</v>
      </c>
      <c r="AG85"/>
      <c r="AH85" s="713">
        <v>44881</v>
      </c>
      <c r="AI85" s="369"/>
      <c r="AJ85"/>
      <c r="AK85" s="171">
        <v>1</v>
      </c>
      <c r="AL85" s="172">
        <f t="shared" si="6"/>
        <v>0</v>
      </c>
      <c r="AM85"/>
      <c r="AN85" s="172">
        <f t="shared" si="7"/>
        <v>0</v>
      </c>
      <c r="AO85"/>
      <c r="AP85" s="172">
        <f t="shared" si="8"/>
        <v>0</v>
      </c>
      <c r="AQ85" s="161"/>
      <c r="AR85" s="161"/>
      <c r="AS85" s="161"/>
      <c r="AT85"/>
      <c r="AU85" s="713">
        <v>44131</v>
      </c>
      <c r="AV85" s="170">
        <v>42550</v>
      </c>
      <c r="AW85"/>
      <c r="AX85" s="171">
        <v>1</v>
      </c>
      <c r="AY85" s="172">
        <f t="shared" si="9"/>
        <v>42550</v>
      </c>
      <c r="AZ85"/>
      <c r="BA85" s="172">
        <f t="shared" si="10"/>
        <v>401394</v>
      </c>
      <c r="BB85"/>
      <c r="BC85" s="172">
        <f t="shared" si="11"/>
        <v>417626.66666666663</v>
      </c>
    </row>
    <row r="86" spans="1:75" ht="18" customHeight="1" x14ac:dyDescent="0.25">
      <c r="A86" s="1">
        <v>2006</v>
      </c>
      <c r="B86" s="145"/>
      <c r="C86" s="145"/>
      <c r="D86" s="145"/>
      <c r="E86" s="145"/>
      <c r="F86" s="145"/>
      <c r="G86" s="145"/>
      <c r="H86" s="145">
        <v>1393</v>
      </c>
      <c r="I86" s="145">
        <v>2257</v>
      </c>
      <c r="J86" s="145"/>
      <c r="K86" s="145">
        <v>6224</v>
      </c>
      <c r="L86" s="145"/>
      <c r="M86" s="145">
        <v>50000</v>
      </c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4">
        <v>147300</v>
      </c>
      <c r="Y86" s="7"/>
      <c r="Z86" s="25"/>
      <c r="AB86">
        <f t="shared" si="5"/>
        <v>2.9460000000000002</v>
      </c>
      <c r="AG86"/>
      <c r="AH86" s="713">
        <v>44882</v>
      </c>
      <c r="AI86" s="369"/>
      <c r="AJ86"/>
      <c r="AK86" s="171">
        <v>0.9</v>
      </c>
      <c r="AL86" s="172">
        <f t="shared" si="6"/>
        <v>0</v>
      </c>
      <c r="AM86"/>
      <c r="AN86" s="172">
        <f t="shared" si="7"/>
        <v>0</v>
      </c>
      <c r="AO86"/>
      <c r="AP86" s="172">
        <f t="shared" si="8"/>
        <v>0</v>
      </c>
      <c r="AQ86" s="161"/>
      <c r="AR86" s="161"/>
      <c r="AS86" s="161"/>
      <c r="AT86"/>
      <c r="AU86" s="713">
        <v>44144</v>
      </c>
      <c r="AV86" s="170">
        <v>111</v>
      </c>
      <c r="AW86"/>
      <c r="AX86" s="171">
        <v>0.9</v>
      </c>
      <c r="AY86" s="172">
        <f t="shared" si="9"/>
        <v>123.33333333333333</v>
      </c>
      <c r="AZ86"/>
      <c r="BA86" s="172">
        <f t="shared" si="10"/>
        <v>554593</v>
      </c>
      <c r="BB86"/>
      <c r="BC86" s="172">
        <f t="shared" si="11"/>
        <v>554753.33333333337</v>
      </c>
    </row>
    <row r="87" spans="1:75" ht="18" customHeight="1" x14ac:dyDescent="0.25">
      <c r="A87" s="1">
        <v>2007</v>
      </c>
      <c r="B87" s="145"/>
      <c r="C87" s="145"/>
      <c r="D87" s="145"/>
      <c r="E87" s="145"/>
      <c r="F87" s="145"/>
      <c r="G87" s="145"/>
      <c r="H87" s="145">
        <v>0</v>
      </c>
      <c r="I87" s="145"/>
      <c r="J87" s="145"/>
      <c r="K87" s="145"/>
      <c r="L87" s="145">
        <v>50000</v>
      </c>
      <c r="M87" s="145">
        <v>70000</v>
      </c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4">
        <v>118322</v>
      </c>
      <c r="Y87" s="7"/>
      <c r="Z87" s="25"/>
      <c r="AB87">
        <f t="shared" si="5"/>
        <v>1.6903142857142857</v>
      </c>
      <c r="AG87"/>
      <c r="AH87" s="713">
        <v>44883</v>
      </c>
      <c r="AI87" s="369"/>
      <c r="AJ87"/>
      <c r="AK87" s="171">
        <v>0.9</v>
      </c>
      <c r="AL87" s="172">
        <f t="shared" si="6"/>
        <v>0</v>
      </c>
      <c r="AM87"/>
      <c r="AN87" s="172">
        <f t="shared" si="7"/>
        <v>0</v>
      </c>
      <c r="AO87"/>
      <c r="AP87" s="172">
        <f t="shared" si="8"/>
        <v>0</v>
      </c>
      <c r="AQ87" s="161"/>
      <c r="AR87" s="161"/>
      <c r="AS87" s="161"/>
      <c r="AT87"/>
      <c r="AU87" s="713">
        <v>44151</v>
      </c>
      <c r="AV87" s="170">
        <v>0</v>
      </c>
      <c r="AW87"/>
      <c r="AX87" s="171">
        <v>0.9</v>
      </c>
      <c r="AY87" s="172">
        <f t="shared" si="9"/>
        <v>0</v>
      </c>
      <c r="AZ87"/>
      <c r="BA87" s="172">
        <f t="shared" si="10"/>
        <v>777</v>
      </c>
      <c r="BB87"/>
      <c r="BC87" s="172">
        <f t="shared" si="11"/>
        <v>863.33333333333326</v>
      </c>
    </row>
    <row r="88" spans="1:75" ht="18" customHeight="1" x14ac:dyDescent="0.25">
      <c r="A88" s="13">
        <v>2008</v>
      </c>
      <c r="B88" s="145"/>
      <c r="C88" s="145"/>
      <c r="D88" s="145"/>
      <c r="E88" s="145"/>
      <c r="F88" s="145"/>
      <c r="G88" s="145">
        <v>0</v>
      </c>
      <c r="H88" s="145"/>
      <c r="I88" s="145">
        <v>108</v>
      </c>
      <c r="J88" s="145">
        <v>2360</v>
      </c>
      <c r="K88" s="145"/>
      <c r="L88" s="145">
        <v>29364</v>
      </c>
      <c r="M88" s="145">
        <v>22374</v>
      </c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>
        <v>73846</v>
      </c>
      <c r="Y88" s="7"/>
      <c r="Z88" s="13">
        <v>17.5</v>
      </c>
      <c r="AB88">
        <f t="shared" si="5"/>
        <v>2.5148481133360576</v>
      </c>
      <c r="AG88"/>
      <c r="AH88" s="713">
        <v>44884</v>
      </c>
      <c r="AI88" s="369"/>
      <c r="AJ88"/>
      <c r="AK88" s="171">
        <v>0.9</v>
      </c>
      <c r="AL88" s="172">
        <f t="shared" si="6"/>
        <v>0</v>
      </c>
      <c r="AM88"/>
      <c r="AN88" s="172">
        <f t="shared" si="7"/>
        <v>0</v>
      </c>
      <c r="AO88"/>
      <c r="AP88" s="172">
        <f t="shared" si="8"/>
        <v>0</v>
      </c>
      <c r="AQ88" s="161"/>
      <c r="AR88" s="161"/>
      <c r="AS88" s="161"/>
      <c r="AT88"/>
      <c r="AU88" s="713">
        <v>44152</v>
      </c>
      <c r="AV88" s="170"/>
      <c r="AW88"/>
      <c r="AX88" s="171">
        <v>0.9</v>
      </c>
      <c r="AY88" s="172">
        <f t="shared" si="9"/>
        <v>0</v>
      </c>
      <c r="AZ88"/>
      <c r="BA88" s="172">
        <f t="shared" si="10"/>
        <v>0</v>
      </c>
      <c r="BB88"/>
      <c r="BC88" s="172">
        <f t="shared" si="11"/>
        <v>0</v>
      </c>
    </row>
    <row r="89" spans="1:75" ht="18" customHeight="1" x14ac:dyDescent="0.25">
      <c r="A89" s="1">
        <v>2009</v>
      </c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7"/>
      <c r="Z89" s="13"/>
      <c r="AB89" t="e">
        <f t="shared" si="5"/>
        <v>#DIV/0!</v>
      </c>
      <c r="AG89" s="165" t="s">
        <v>128</v>
      </c>
      <c r="AH89" s="713">
        <v>44885</v>
      </c>
      <c r="AI89" s="369"/>
      <c r="AJ89"/>
      <c r="AK89" s="171">
        <v>0.9</v>
      </c>
      <c r="AL89" s="172">
        <f t="shared" si="6"/>
        <v>0</v>
      </c>
      <c r="AM89"/>
      <c r="AN89" s="172">
        <f t="shared" si="7"/>
        <v>0</v>
      </c>
      <c r="AO89"/>
      <c r="AP89" s="172">
        <f t="shared" si="8"/>
        <v>0</v>
      </c>
      <c r="AQ89" s="161"/>
      <c r="AR89" s="161"/>
      <c r="AS89" s="161"/>
      <c r="AT89" s="165" t="s">
        <v>128</v>
      </c>
      <c r="AU89" s="713">
        <v>44153</v>
      </c>
      <c r="AV89" s="170"/>
      <c r="AW89"/>
      <c r="AX89" s="171">
        <v>0.9</v>
      </c>
      <c r="AY89" s="172">
        <f t="shared" si="9"/>
        <v>0</v>
      </c>
      <c r="AZ89"/>
      <c r="BA89" s="172">
        <f t="shared" si="10"/>
        <v>0</v>
      </c>
      <c r="BB89"/>
      <c r="BC89" s="172">
        <f t="shared" si="11"/>
        <v>0</v>
      </c>
    </row>
    <row r="90" spans="1:75" ht="18" customHeight="1" x14ac:dyDescent="0.2">
      <c r="A90" s="13">
        <v>2010</v>
      </c>
      <c r="B90" s="145"/>
      <c r="C90" s="145"/>
      <c r="D90" s="145"/>
      <c r="E90" s="145"/>
      <c r="F90" s="145"/>
      <c r="G90" s="145">
        <v>1</v>
      </c>
      <c r="H90" s="145"/>
      <c r="I90" s="145"/>
      <c r="J90" s="145">
        <v>352</v>
      </c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7"/>
      <c r="Z90" s="13"/>
      <c r="AB90">
        <f t="shared" si="5"/>
        <v>0</v>
      </c>
      <c r="AG90"/>
      <c r="AH90" s="229"/>
      <c r="AI90" s="176"/>
      <c r="AJ90"/>
      <c r="AK90" s="171"/>
      <c r="AL90" s="172">
        <v>0</v>
      </c>
      <c r="AM90"/>
      <c r="AN90" s="172">
        <f t="shared" si="7"/>
        <v>0</v>
      </c>
      <c r="AO90"/>
      <c r="AP90" s="172">
        <f t="shared" si="8"/>
        <v>0</v>
      </c>
      <c r="AQ90" s="161"/>
      <c r="AR90" s="161"/>
      <c r="AS90" s="161"/>
      <c r="AT90"/>
      <c r="AU90" s="229"/>
      <c r="AV90" s="176"/>
      <c r="AW90"/>
      <c r="AX90" s="171"/>
      <c r="AY90" s="172">
        <v>0</v>
      </c>
      <c r="AZ90"/>
      <c r="BA90" s="172">
        <f t="shared" si="10"/>
        <v>0</v>
      </c>
      <c r="BB90"/>
      <c r="BC90" s="172">
        <f t="shared" si="11"/>
        <v>0</v>
      </c>
    </row>
    <row r="91" spans="1:75" ht="18" customHeight="1" x14ac:dyDescent="0.2">
      <c r="A91" s="1">
        <v>2011</v>
      </c>
      <c r="B91" s="145"/>
      <c r="C91" s="145"/>
      <c r="D91" s="145"/>
      <c r="E91" s="145"/>
      <c r="F91" s="145"/>
      <c r="G91" s="145"/>
      <c r="H91" s="145"/>
      <c r="I91" s="145"/>
      <c r="J91" s="145">
        <v>10000</v>
      </c>
      <c r="K91" s="145"/>
      <c r="L91" s="145">
        <v>125000</v>
      </c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7"/>
      <c r="Z91" s="13"/>
      <c r="AB91">
        <f t="shared" si="5"/>
        <v>0</v>
      </c>
      <c r="AG91" s="165" t="s">
        <v>2</v>
      </c>
      <c r="AH91" s="167">
        <v>7</v>
      </c>
      <c r="AI91" s="167"/>
      <c r="AJ91" s="167"/>
      <c r="AK91"/>
      <c r="AL91"/>
      <c r="AM91"/>
      <c r="AN91"/>
      <c r="AO91"/>
      <c r="AP91"/>
      <c r="AQ91" s="161"/>
      <c r="AR91" s="161"/>
      <c r="AS91" s="161"/>
      <c r="AT91" s="165" t="s">
        <v>2</v>
      </c>
      <c r="AU91" s="167">
        <v>7</v>
      </c>
      <c r="AV91" s="167"/>
      <c r="AW91" s="167"/>
      <c r="AX91"/>
      <c r="AY91"/>
      <c r="AZ91"/>
      <c r="BA91"/>
      <c r="BB91"/>
      <c r="BC91"/>
    </row>
    <row r="92" spans="1:75" ht="18" customHeight="1" x14ac:dyDescent="0.2">
      <c r="A92" s="13">
        <v>2012</v>
      </c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7"/>
      <c r="Z92" s="13"/>
      <c r="AB92" t="e">
        <f t="shared" si="5"/>
        <v>#DIV/0!</v>
      </c>
      <c r="AG92" s="165" t="s">
        <v>129</v>
      </c>
      <c r="AH92" s="167"/>
      <c r="AI92" s="167">
        <f>MAX(AI77:AI90)</f>
        <v>16034</v>
      </c>
      <c r="AJ92" s="167"/>
      <c r="AK92" s="167"/>
      <c r="AL92" s="167">
        <f>MAX(AL77:AL90)</f>
        <v>20042.5</v>
      </c>
      <c r="AM92" s="167"/>
      <c r="AN92" s="167"/>
      <c r="AO92" s="180"/>
      <c r="AP92"/>
      <c r="AQ92" s="161"/>
      <c r="AR92" s="161"/>
      <c r="AS92" s="161"/>
      <c r="AT92" s="165" t="s">
        <v>129</v>
      </c>
      <c r="AU92" s="167"/>
      <c r="AV92" s="167">
        <f>MAX(AV77:AV90)</f>
        <v>60000</v>
      </c>
      <c r="AW92" s="167"/>
      <c r="AX92" s="167"/>
      <c r="AY92" s="167">
        <f>MAX(AY77:AY90)</f>
        <v>60000</v>
      </c>
      <c r="AZ92" s="167"/>
      <c r="BA92" s="167"/>
      <c r="BB92" s="180"/>
      <c r="BC92"/>
    </row>
    <row r="93" spans="1:75" ht="18" customHeight="1" x14ac:dyDescent="0.2">
      <c r="A93" s="1">
        <v>2013</v>
      </c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7"/>
      <c r="Z93" s="13"/>
      <c r="AB93" t="e">
        <f t="shared" si="5"/>
        <v>#DIV/0!</v>
      </c>
      <c r="AG93" s="165" t="s">
        <v>130</v>
      </c>
      <c r="AH93" s="167"/>
      <c r="AI93" s="169">
        <v>10</v>
      </c>
      <c r="AJ93" s="167"/>
      <c r="AK93"/>
      <c r="AL93" s="169">
        <v>15</v>
      </c>
      <c r="AM93" s="8"/>
      <c r="AN93" s="8"/>
      <c r="AO93" s="8"/>
      <c r="AP93" s="8"/>
      <c r="AQ93" s="161"/>
      <c r="AR93" s="161"/>
      <c r="AS93" s="161"/>
      <c r="AT93" s="165" t="s">
        <v>130</v>
      </c>
      <c r="AU93" s="167"/>
      <c r="AV93" s="169">
        <v>10</v>
      </c>
      <c r="AW93" s="167"/>
      <c r="AX93"/>
      <c r="AY93" s="169">
        <v>12.5</v>
      </c>
      <c r="AZ93" s="8"/>
      <c r="BA93" s="8"/>
      <c r="BB93" s="8"/>
      <c r="BC93" s="8"/>
    </row>
    <row r="94" spans="1:75" ht="18" customHeight="1" x14ac:dyDescent="0.2">
      <c r="A94" s="13">
        <v>2014</v>
      </c>
      <c r="B94" s="145"/>
      <c r="C94" s="145"/>
      <c r="D94" s="145"/>
      <c r="E94" s="145"/>
      <c r="F94" s="145"/>
      <c r="G94" s="145"/>
      <c r="H94" s="145"/>
      <c r="I94" s="145"/>
      <c r="J94" s="145">
        <v>383</v>
      </c>
      <c r="K94" s="145"/>
      <c r="L94" s="145"/>
      <c r="M94" s="145"/>
      <c r="N94" s="145"/>
      <c r="O94" s="145"/>
      <c r="P94" s="145">
        <v>9</v>
      </c>
      <c r="Q94" s="145"/>
      <c r="R94" s="145"/>
      <c r="S94" s="145"/>
      <c r="T94" s="145"/>
      <c r="U94" s="145"/>
      <c r="V94" s="145"/>
      <c r="W94" s="145"/>
      <c r="X94" s="145">
        <v>125000</v>
      </c>
      <c r="Y94" s="7" t="s">
        <v>6</v>
      </c>
      <c r="Z94" s="13"/>
      <c r="AB94">
        <f t="shared" si="5"/>
        <v>326.37075718015666</v>
      </c>
      <c r="AD94" s="2" t="s">
        <v>230</v>
      </c>
      <c r="AG94" s="165" t="s">
        <v>131</v>
      </c>
      <c r="AH94" s="167"/>
      <c r="AI94" s="230">
        <f>(0.5*SUM(AN78:AN90))/AI93</f>
        <v>22678.95</v>
      </c>
      <c r="AJ94" s="167"/>
      <c r="AK94"/>
      <c r="AL94" s="230">
        <f>(0.5*SUM(AP78:AP90))/AL93</f>
        <v>18677.319444444442</v>
      </c>
      <c r="AM94" s="8"/>
      <c r="AN94" s="8"/>
      <c r="AO94" s="8"/>
      <c r="AP94" s="8"/>
      <c r="AQ94" s="161"/>
      <c r="AR94" s="161"/>
      <c r="AS94" s="161"/>
      <c r="AT94" s="165" t="s">
        <v>131</v>
      </c>
      <c r="AU94" s="167"/>
      <c r="AV94" s="230">
        <f>(0.5*SUM(BA78:BA90))/AV93</f>
        <v>111327.45</v>
      </c>
      <c r="AW94" s="167"/>
      <c r="AX94"/>
      <c r="AY94" s="230">
        <f>(0.5*SUM(BC78:BC90))/AY93</f>
        <v>92539.022222222236</v>
      </c>
      <c r="AZ94" s="8"/>
      <c r="BA94" s="8"/>
      <c r="BB94" s="8"/>
      <c r="BC94" s="8"/>
    </row>
    <row r="95" spans="1:75" ht="18" customHeight="1" x14ac:dyDescent="0.2">
      <c r="A95" s="13">
        <v>2015</v>
      </c>
      <c r="B95" s="145"/>
      <c r="C95" s="145"/>
      <c r="D95" s="145"/>
      <c r="E95" s="145"/>
      <c r="F95" s="145"/>
      <c r="G95" s="390"/>
      <c r="H95" s="391">
        <v>329</v>
      </c>
      <c r="I95" s="390"/>
      <c r="J95" s="390"/>
      <c r="K95" s="391">
        <v>8013</v>
      </c>
      <c r="L95" s="392">
        <v>100000</v>
      </c>
      <c r="M95" s="391">
        <v>32828</v>
      </c>
      <c r="N95" s="390"/>
      <c r="O95" s="391">
        <v>589</v>
      </c>
      <c r="P95" s="145"/>
      <c r="Q95" s="145"/>
      <c r="R95" s="145"/>
      <c r="S95" s="145"/>
      <c r="T95" s="145"/>
      <c r="U95" s="145"/>
      <c r="V95" s="145"/>
      <c r="W95" s="145"/>
      <c r="X95" s="145">
        <v>198781</v>
      </c>
      <c r="Y95" s="7" t="s">
        <v>5</v>
      </c>
      <c r="Z95" s="13">
        <v>7</v>
      </c>
      <c r="AB95">
        <f t="shared" si="5"/>
        <v>1.9878100000000001</v>
      </c>
      <c r="AD95" s="2" t="s">
        <v>231</v>
      </c>
      <c r="AG95"/>
      <c r="AH95"/>
      <c r="AI95">
        <f>(0.5*SUM(AN78:AN90))</f>
        <v>226789.5</v>
      </c>
      <c r="AJ95"/>
      <c r="AK95"/>
      <c r="AL95"/>
      <c r="AM95"/>
      <c r="AN95"/>
      <c r="AO95"/>
      <c r="AP95"/>
      <c r="AQ95" s="161"/>
      <c r="AR95" s="161"/>
      <c r="AS95" s="161"/>
      <c r="AT95"/>
      <c r="AU95"/>
      <c r="AV95">
        <f>(0.5*SUM(BA78:BA90))</f>
        <v>1113274.5</v>
      </c>
      <c r="AW95"/>
      <c r="AX95"/>
      <c r="AY95"/>
      <c r="AZ95"/>
      <c r="BA95"/>
      <c r="BB95"/>
      <c r="BC95"/>
    </row>
    <row r="96" spans="1:75" ht="18" customHeight="1" x14ac:dyDescent="0.2">
      <c r="A96" s="13">
        <v>2016</v>
      </c>
      <c r="B96" s="145"/>
      <c r="C96" s="145"/>
      <c r="D96" s="145"/>
      <c r="E96" s="145"/>
      <c r="F96" s="145"/>
      <c r="G96" s="390"/>
      <c r="H96" s="391">
        <v>4</v>
      </c>
      <c r="I96" s="390"/>
      <c r="J96" s="390"/>
      <c r="K96" s="490">
        <f>750+2527</f>
        <v>3277</v>
      </c>
      <c r="L96" s="490">
        <v>47209</v>
      </c>
      <c r="M96" s="390"/>
      <c r="N96" s="390"/>
      <c r="O96" s="390"/>
      <c r="P96" s="390"/>
      <c r="Q96" s="390"/>
      <c r="R96" s="390"/>
      <c r="S96" s="145"/>
      <c r="T96" s="145"/>
      <c r="U96" s="145"/>
      <c r="V96" s="145"/>
      <c r="W96" s="145"/>
      <c r="X96" s="145">
        <v>400000</v>
      </c>
      <c r="Y96" s="7" t="s">
        <v>6</v>
      </c>
      <c r="Z96" s="13"/>
      <c r="AB96">
        <f t="shared" si="5"/>
        <v>8.4729606642801159</v>
      </c>
      <c r="AG96" s="299" t="s">
        <v>9</v>
      </c>
      <c r="AH96"/>
      <c r="AI96" s="249">
        <f>MAX(AR78:AR89)</f>
        <v>16252</v>
      </c>
      <c r="AJ96"/>
      <c r="AK96"/>
      <c r="AL96" s="249">
        <f>AR82/AK82</f>
        <v>20315</v>
      </c>
      <c r="AM96"/>
      <c r="AN96"/>
      <c r="AO96"/>
      <c r="AP96"/>
      <c r="AQ96" s="161"/>
      <c r="AR96" s="161"/>
      <c r="AS96" s="161"/>
      <c r="AT96" s="299" t="s">
        <v>9</v>
      </c>
      <c r="AU96"/>
      <c r="AV96" s="249">
        <f>MAX(AV78:AV89)</f>
        <v>60000</v>
      </c>
      <c r="AW96"/>
      <c r="AX96"/>
      <c r="AY96" s="249">
        <f>MAX(AY78:AY89)</f>
        <v>60000</v>
      </c>
      <c r="AZ96"/>
      <c r="BA96"/>
      <c r="BB96"/>
      <c r="BC96"/>
    </row>
    <row r="97" spans="1:55" ht="18" customHeight="1" x14ac:dyDescent="0.2">
      <c r="A97" s="13">
        <v>2017</v>
      </c>
      <c r="B97" s="145"/>
      <c r="C97" s="145"/>
      <c r="D97" s="145"/>
      <c r="E97" s="145"/>
      <c r="F97" s="145"/>
      <c r="G97" s="152"/>
      <c r="H97" s="390"/>
      <c r="I97" s="194">
        <v>370</v>
      </c>
      <c r="J97" s="194">
        <v>9761</v>
      </c>
      <c r="K97" s="1"/>
      <c r="L97" s="1"/>
      <c r="M97" s="479">
        <v>50546</v>
      </c>
      <c r="N97" s="479">
        <v>31354</v>
      </c>
      <c r="O97" s="390"/>
      <c r="P97" s="390"/>
      <c r="Q97" s="390"/>
      <c r="R97" s="390"/>
      <c r="S97" s="145"/>
      <c r="T97" s="145"/>
      <c r="U97" s="145"/>
      <c r="V97" s="145"/>
      <c r="W97" s="145"/>
      <c r="X97" s="145">
        <v>94001</v>
      </c>
      <c r="Y97" s="7" t="s">
        <v>5</v>
      </c>
      <c r="Z97" s="13">
        <v>15</v>
      </c>
      <c r="AB97">
        <f t="shared" si="5"/>
        <v>1.8597119455545443</v>
      </c>
      <c r="AG97" s="299" t="s">
        <v>250</v>
      </c>
      <c r="AH97"/>
      <c r="AI97" s="370">
        <v>14</v>
      </c>
      <c r="AJ97"/>
      <c r="AK97"/>
      <c r="AL97" s="370">
        <v>13.5</v>
      </c>
      <c r="AM97"/>
      <c r="AN97"/>
      <c r="AO97"/>
      <c r="AP97"/>
      <c r="AQ97" s="161"/>
      <c r="AR97" s="161"/>
      <c r="AS97" s="161"/>
      <c r="AT97" s="299" t="s">
        <v>250</v>
      </c>
      <c r="AU97"/>
      <c r="AV97" s="370">
        <v>18</v>
      </c>
      <c r="AW97"/>
      <c r="AX97"/>
      <c r="AY97" s="370">
        <v>19</v>
      </c>
      <c r="AZ97"/>
      <c r="BA97"/>
      <c r="BB97"/>
      <c r="BC97"/>
    </row>
    <row r="98" spans="1:55" ht="18" customHeight="1" x14ac:dyDescent="0.2">
      <c r="A98" s="13">
        <v>2018</v>
      </c>
      <c r="B98" s="145"/>
      <c r="C98" s="145"/>
      <c r="D98" s="145"/>
      <c r="E98" s="145"/>
      <c r="F98" s="145"/>
      <c r="G98" s="145"/>
      <c r="H98" s="145"/>
      <c r="I98" s="532">
        <v>33348</v>
      </c>
      <c r="J98" s="489">
        <v>32621</v>
      </c>
      <c r="K98" s="145"/>
      <c r="L98" s="479">
        <v>42367</v>
      </c>
      <c r="M98" s="145"/>
      <c r="N98" s="145"/>
      <c r="O98" s="479">
        <v>385</v>
      </c>
      <c r="P98" s="390"/>
      <c r="Q98" s="390"/>
      <c r="R98" s="390"/>
      <c r="S98" s="145"/>
      <c r="T98" s="145"/>
      <c r="U98" s="145"/>
      <c r="V98" s="145"/>
      <c r="W98" s="145"/>
      <c r="X98" s="145">
        <v>138216</v>
      </c>
      <c r="Y98" s="7"/>
      <c r="Z98" s="13">
        <v>20</v>
      </c>
      <c r="AB98">
        <f t="shared" si="5"/>
        <v>3.2623504142374959</v>
      </c>
      <c r="AM98"/>
      <c r="AN98"/>
      <c r="AO98"/>
      <c r="AP98"/>
    </row>
    <row r="99" spans="1:55" ht="18" customHeight="1" x14ac:dyDescent="0.2">
      <c r="A99" s="13">
        <v>2019</v>
      </c>
      <c r="B99" s="145"/>
      <c r="C99" s="145"/>
      <c r="D99" s="145"/>
      <c r="E99" s="145"/>
      <c r="F99" s="602">
        <v>3</v>
      </c>
      <c r="G99" s="145"/>
      <c r="H99" s="106">
        <v>2536</v>
      </c>
      <c r="I99" s="156">
        <v>3976</v>
      </c>
      <c r="J99" s="605">
        <v>11964</v>
      </c>
      <c r="K99" s="156">
        <f>123+7876</f>
        <v>7999</v>
      </c>
      <c r="L99" s="605">
        <f>14515+230</f>
        <v>14745</v>
      </c>
      <c r="M99" s="145"/>
      <c r="N99" s="145"/>
      <c r="O99" s="145"/>
      <c r="P99" s="145"/>
      <c r="Q99" s="390"/>
      <c r="R99" s="390"/>
      <c r="S99" s="145"/>
      <c r="T99" s="145"/>
      <c r="U99" s="145"/>
      <c r="V99" s="145"/>
      <c r="W99" s="145"/>
      <c r="X99" s="145">
        <v>38328</v>
      </c>
      <c r="Y99" s="7"/>
      <c r="Z99" s="13">
        <v>17.5</v>
      </c>
      <c r="AB99">
        <f t="shared" si="5"/>
        <v>2.5993896236012208</v>
      </c>
      <c r="AM99"/>
      <c r="AN99"/>
      <c r="AO99"/>
      <c r="AP99"/>
    </row>
    <row r="100" spans="1:55" ht="18" customHeight="1" x14ac:dyDescent="0.2">
      <c r="A100" s="13">
        <v>2020</v>
      </c>
      <c r="B100" s="145"/>
      <c r="C100" s="145"/>
      <c r="D100" s="145"/>
      <c r="E100" s="695">
        <v>2</v>
      </c>
      <c r="F100" s="145"/>
      <c r="G100" s="695">
        <v>40</v>
      </c>
      <c r="H100" s="695">
        <v>186</v>
      </c>
      <c r="I100" s="145"/>
      <c r="J100" s="696">
        <v>8910</v>
      </c>
      <c r="K100" s="605">
        <v>7703</v>
      </c>
      <c r="L100" s="720">
        <v>60000</v>
      </c>
      <c r="M100" s="605">
        <v>22823</v>
      </c>
      <c r="N100" s="720">
        <v>42550</v>
      </c>
      <c r="O100" s="145"/>
      <c r="P100" s="695">
        <v>5961</v>
      </c>
      <c r="Q100" s="390"/>
      <c r="R100" s="390"/>
      <c r="S100" s="145"/>
      <c r="T100" s="145"/>
      <c r="U100" s="145"/>
      <c r="V100" s="145"/>
      <c r="W100" s="145"/>
      <c r="X100" s="145">
        <v>163264</v>
      </c>
      <c r="Y100" s="7"/>
      <c r="Z100" s="13">
        <v>10</v>
      </c>
      <c r="AB100">
        <f t="shared" si="5"/>
        <v>2.7210666666666667</v>
      </c>
      <c r="AG100"/>
      <c r="AH100"/>
      <c r="AI100"/>
      <c r="AJ100"/>
      <c r="AK100"/>
      <c r="AL100"/>
      <c r="AM100"/>
      <c r="AN100"/>
      <c r="AO100"/>
      <c r="AP100"/>
    </row>
    <row r="101" spans="1:55" s="150" customFormat="1" ht="18" customHeight="1" x14ac:dyDescent="0.2">
      <c r="A101" s="89">
        <v>2021</v>
      </c>
      <c r="B101" s="738"/>
      <c r="C101" s="738"/>
      <c r="D101" s="738"/>
      <c r="E101" s="738"/>
      <c r="F101" s="738"/>
      <c r="G101" s="738"/>
      <c r="H101" s="695">
        <v>80</v>
      </c>
      <c r="I101" s="695">
        <v>4405</v>
      </c>
      <c r="J101" s="759"/>
      <c r="K101" s="775">
        <v>9025</v>
      </c>
      <c r="L101" s="863">
        <f>95+39683</f>
        <v>39778</v>
      </c>
      <c r="M101" s="863">
        <f>119+43205</f>
        <v>43324</v>
      </c>
      <c r="N101" s="760"/>
      <c r="O101" s="863">
        <v>6879</v>
      </c>
      <c r="P101" s="447">
        <v>0</v>
      </c>
      <c r="Q101" s="761"/>
      <c r="R101" s="761"/>
      <c r="S101" s="738"/>
      <c r="T101" s="738"/>
      <c r="U101" s="738"/>
      <c r="V101" s="738"/>
      <c r="W101" s="738"/>
      <c r="X101" s="738">
        <v>80525</v>
      </c>
      <c r="Y101" s="7" t="s">
        <v>5</v>
      </c>
      <c r="Z101" s="89">
        <v>15</v>
      </c>
      <c r="AB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</row>
    <row r="102" spans="1:55" s="150" customFormat="1" ht="18" customHeight="1" x14ac:dyDescent="0.2">
      <c r="A102" s="89">
        <v>2022</v>
      </c>
      <c r="B102" s="738"/>
      <c r="C102" s="738"/>
      <c r="D102" s="738"/>
      <c r="E102" s="738"/>
      <c r="F102" s="695">
        <v>5</v>
      </c>
      <c r="G102" s="738"/>
      <c r="H102" s="695">
        <v>881</v>
      </c>
      <c r="I102" s="240">
        <v>181</v>
      </c>
      <c r="J102" s="733"/>
      <c r="K102" s="902"/>
      <c r="L102" s="884"/>
      <c r="M102" s="683">
        <v>1107</v>
      </c>
      <c r="N102" s="772">
        <v>7771</v>
      </c>
      <c r="O102" s="156">
        <f>916+15118</f>
        <v>16034</v>
      </c>
      <c r="P102" s="869"/>
      <c r="Q102" s="761"/>
      <c r="R102" s="761"/>
      <c r="S102" s="738"/>
      <c r="T102" s="738"/>
      <c r="U102" s="738"/>
      <c r="V102" s="738"/>
      <c r="W102" s="738"/>
      <c r="X102" s="738">
        <v>28783</v>
      </c>
      <c r="Y102" s="11" t="s">
        <v>5</v>
      </c>
      <c r="Z102" s="89">
        <v>10</v>
      </c>
      <c r="AB102" s="151"/>
      <c r="AD102" s="150" t="s">
        <v>552</v>
      </c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</row>
    <row r="103" spans="1:55" s="150" customFormat="1" ht="18" customHeight="1" x14ac:dyDescent="0.2">
      <c r="A103" s="89">
        <v>2023</v>
      </c>
      <c r="B103" s="738"/>
      <c r="C103" s="738"/>
      <c r="D103" s="738"/>
      <c r="E103" s="695">
        <v>3</v>
      </c>
      <c r="F103" s="695">
        <v>1</v>
      </c>
      <c r="G103" s="738"/>
      <c r="H103" s="695">
        <v>0</v>
      </c>
      <c r="I103" s="695">
        <v>1004</v>
      </c>
      <c r="J103" s="696">
        <v>1748</v>
      </c>
      <c r="K103" s="720">
        <v>13700</v>
      </c>
      <c r="L103" s="738"/>
      <c r="M103" s="605">
        <v>9555</v>
      </c>
      <c r="N103" s="738"/>
      <c r="O103" s="1033">
        <v>10</v>
      </c>
      <c r="P103" s="869"/>
      <c r="Q103" s="761"/>
      <c r="R103" s="761"/>
      <c r="S103" s="738"/>
      <c r="T103" s="738"/>
      <c r="U103" s="738"/>
      <c r="V103" s="738"/>
      <c r="W103" s="738"/>
      <c r="X103" s="738"/>
      <c r="Y103" s="11"/>
      <c r="Z103" s="89"/>
      <c r="AB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</row>
    <row r="104" spans="1:55" ht="18" customHeight="1" x14ac:dyDescent="0.25">
      <c r="A104" s="22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393"/>
      <c r="M104" s="393"/>
      <c r="N104" s="393"/>
      <c r="O104" s="146"/>
      <c r="P104" s="146"/>
      <c r="Q104" s="146"/>
      <c r="R104" s="146"/>
      <c r="S104" s="146"/>
      <c r="T104" s="146"/>
      <c r="U104" s="1025" t="s">
        <v>17</v>
      </c>
      <c r="V104" s="1025"/>
      <c r="W104" s="1025"/>
      <c r="X104" s="393">
        <f>AVERAGE(X75:X88)</f>
        <v>190331.71428571429</v>
      </c>
      <c r="Y104" s="17"/>
      <c r="Z104" s="15">
        <f>AVERAGE(Z75:Z88)</f>
        <v>13.75</v>
      </c>
      <c r="AG104" s="1013" t="s">
        <v>117</v>
      </c>
      <c r="AH104" s="1013" t="s">
        <v>118</v>
      </c>
      <c r="AI104" s="718" t="s">
        <v>119</v>
      </c>
      <c r="AJ104"/>
      <c r="AK104" s="1012" t="s">
        <v>120</v>
      </c>
      <c r="AL104" s="1012"/>
      <c r="AM104"/>
      <c r="AN104" s="160" t="s">
        <v>121</v>
      </c>
      <c r="AO104" s="160"/>
      <c r="AP104" s="161" t="s">
        <v>122</v>
      </c>
    </row>
    <row r="105" spans="1:55" x14ac:dyDescent="0.2">
      <c r="AG105" s="1014"/>
      <c r="AH105" s="1014"/>
      <c r="AI105" s="719" t="s">
        <v>146</v>
      </c>
      <c r="AJ105"/>
      <c r="AK105" s="163" t="s">
        <v>148</v>
      </c>
      <c r="AL105" s="163" t="s">
        <v>147</v>
      </c>
      <c r="AM105"/>
      <c r="AN105" s="164"/>
      <c r="AO105"/>
      <c r="AP105" s="164"/>
    </row>
    <row r="106" spans="1:55" x14ac:dyDescent="0.2">
      <c r="AG106" s="165"/>
      <c r="AH106" s="166"/>
      <c r="AI106" s="167"/>
      <c r="AJ106"/>
      <c r="AK106"/>
      <c r="AL106"/>
      <c r="AM106"/>
      <c r="AN106"/>
      <c r="AO106"/>
      <c r="AP106"/>
    </row>
    <row r="107" spans="1:55" x14ac:dyDescent="0.2">
      <c r="AG107" s="165"/>
      <c r="AH107" s="166"/>
      <c r="AI107" s="167"/>
      <c r="AJ107"/>
      <c r="AK107"/>
      <c r="AL107"/>
      <c r="AM107"/>
      <c r="AN107"/>
      <c r="AO107"/>
      <c r="AP107"/>
    </row>
    <row r="108" spans="1:55" ht="15" x14ac:dyDescent="0.25">
      <c r="AG108" s="165" t="s">
        <v>127</v>
      </c>
      <c r="AH108" s="713">
        <v>44067</v>
      </c>
      <c r="AI108" s="715"/>
      <c r="AJ108"/>
      <c r="AK108"/>
      <c r="AL108" s="169">
        <v>0</v>
      </c>
      <c r="AM108"/>
      <c r="AN108"/>
      <c r="AO108"/>
      <c r="AP108"/>
    </row>
    <row r="109" spans="1:55" ht="15" x14ac:dyDescent="0.25">
      <c r="AG109" s="165"/>
      <c r="AH109" s="713">
        <v>44068</v>
      </c>
      <c r="AI109" s="170">
        <v>2</v>
      </c>
      <c r="AJ109"/>
      <c r="AK109" s="171">
        <v>0.9</v>
      </c>
      <c r="AL109" s="172">
        <f>AI109/AK109</f>
        <v>2.2222222222222223</v>
      </c>
      <c r="AM109"/>
      <c r="AN109" s="172">
        <f t="shared" ref="AN109:AN119" si="12">(AH109-AH108)*(AI109+AI108)</f>
        <v>2</v>
      </c>
      <c r="AO109"/>
      <c r="AP109" s="172">
        <f t="shared" ref="AP109:AP119" si="13">(AH109-AH108)*(AL109+AL108)</f>
        <v>2.2222222222222223</v>
      </c>
    </row>
    <row r="110" spans="1:55" ht="15" x14ac:dyDescent="0.25">
      <c r="AG110" s="165"/>
      <c r="AH110" s="713">
        <v>44084</v>
      </c>
      <c r="AI110" s="170">
        <v>40</v>
      </c>
      <c r="AJ110"/>
      <c r="AK110" s="171">
        <v>0.9</v>
      </c>
      <c r="AL110" s="172">
        <f>AI110/AK110</f>
        <v>44.444444444444443</v>
      </c>
      <c r="AM110"/>
      <c r="AN110" s="172">
        <f t="shared" si="12"/>
        <v>672</v>
      </c>
      <c r="AO110"/>
      <c r="AP110" s="172">
        <f t="shared" si="13"/>
        <v>746.66666666666663</v>
      </c>
    </row>
    <row r="111" spans="1:55" ht="15" x14ac:dyDescent="0.25">
      <c r="AG111" s="173"/>
      <c r="AH111" s="713">
        <v>44092</v>
      </c>
      <c r="AI111" s="170">
        <v>183</v>
      </c>
      <c r="AJ111"/>
      <c r="AK111" s="171">
        <v>0.9</v>
      </c>
      <c r="AL111" s="172">
        <f>AI111/AK111</f>
        <v>203.33333333333331</v>
      </c>
      <c r="AM111"/>
      <c r="AN111" s="172">
        <f t="shared" si="12"/>
        <v>1784</v>
      </c>
      <c r="AO111"/>
      <c r="AP111" s="172">
        <f t="shared" si="13"/>
        <v>1982.2222222222222</v>
      </c>
    </row>
    <row r="112" spans="1:55" ht="15" x14ac:dyDescent="0.25">
      <c r="AG112"/>
      <c r="AH112" s="713">
        <v>44105</v>
      </c>
      <c r="AI112" s="170">
        <v>13608</v>
      </c>
      <c r="AJ112"/>
      <c r="AK112" s="171">
        <v>0.9</v>
      </c>
      <c r="AL112" s="172">
        <f>AI112/AK112</f>
        <v>15120</v>
      </c>
      <c r="AM112"/>
      <c r="AN112" s="172">
        <f t="shared" si="12"/>
        <v>179283</v>
      </c>
      <c r="AO112"/>
      <c r="AP112" s="172">
        <f t="shared" si="13"/>
        <v>199203.33333333334</v>
      </c>
    </row>
    <row r="113" spans="33:42" ht="15" x14ac:dyDescent="0.25">
      <c r="AG113"/>
      <c r="AH113" s="713">
        <v>44112</v>
      </c>
      <c r="AI113" s="170">
        <v>7212</v>
      </c>
      <c r="AJ113"/>
      <c r="AK113" s="171">
        <v>0.8</v>
      </c>
      <c r="AL113" s="172">
        <f t="shared" ref="AL113:AL118" si="14">AI113/AK113</f>
        <v>9015</v>
      </c>
      <c r="AM113"/>
      <c r="AN113" s="172">
        <f t="shared" si="12"/>
        <v>145740</v>
      </c>
      <c r="AO113"/>
      <c r="AP113" s="172">
        <f t="shared" si="13"/>
        <v>168945</v>
      </c>
    </row>
    <row r="114" spans="33:42" ht="15" x14ac:dyDescent="0.25">
      <c r="AG114"/>
      <c r="AH114" s="713">
        <v>44125</v>
      </c>
      <c r="AI114" s="170">
        <v>24349</v>
      </c>
      <c r="AJ114"/>
      <c r="AK114" s="171">
        <v>0.9</v>
      </c>
      <c r="AL114" s="172">
        <f t="shared" si="14"/>
        <v>27054.444444444445</v>
      </c>
      <c r="AM114"/>
      <c r="AN114" s="172">
        <f t="shared" si="12"/>
        <v>410293</v>
      </c>
      <c r="AO114"/>
      <c r="AP114" s="172">
        <f t="shared" si="13"/>
        <v>468902.77777777781</v>
      </c>
    </row>
    <row r="115" spans="33:42" ht="15" x14ac:dyDescent="0.25">
      <c r="AG115"/>
      <c r="AH115" s="713">
        <v>44144</v>
      </c>
      <c r="AI115" s="170">
        <v>111</v>
      </c>
      <c r="AJ115"/>
      <c r="AK115" s="171">
        <v>0.9</v>
      </c>
      <c r="AL115" s="172">
        <f t="shared" si="14"/>
        <v>123.33333333333333</v>
      </c>
      <c r="AM115"/>
      <c r="AN115" s="172">
        <f t="shared" si="12"/>
        <v>464740</v>
      </c>
      <c r="AO115"/>
      <c r="AP115" s="172">
        <f t="shared" si="13"/>
        <v>516377.77777777775</v>
      </c>
    </row>
    <row r="116" spans="33:42" ht="15" x14ac:dyDescent="0.25">
      <c r="AG116"/>
      <c r="AH116" s="713">
        <v>44150</v>
      </c>
      <c r="AI116" s="170">
        <v>0</v>
      </c>
      <c r="AJ116"/>
      <c r="AK116" s="171">
        <v>0.9</v>
      </c>
      <c r="AL116" s="172">
        <f t="shared" si="14"/>
        <v>0</v>
      </c>
      <c r="AM116"/>
      <c r="AN116" s="172">
        <f t="shared" si="12"/>
        <v>666</v>
      </c>
      <c r="AO116"/>
      <c r="AP116" s="172">
        <f t="shared" si="13"/>
        <v>740</v>
      </c>
    </row>
    <row r="117" spans="33:42" ht="15" x14ac:dyDescent="0.25">
      <c r="AG117"/>
      <c r="AH117" s="713">
        <v>44152</v>
      </c>
      <c r="AI117" s="170"/>
      <c r="AJ117"/>
      <c r="AK117" s="171">
        <v>0.9</v>
      </c>
      <c r="AL117" s="172">
        <f t="shared" si="14"/>
        <v>0</v>
      </c>
      <c r="AM117"/>
      <c r="AN117" s="172">
        <f t="shared" si="12"/>
        <v>0</v>
      </c>
      <c r="AO117"/>
      <c r="AP117" s="172">
        <f t="shared" si="13"/>
        <v>0</v>
      </c>
    </row>
    <row r="118" spans="33:42" ht="15" x14ac:dyDescent="0.25">
      <c r="AG118" s="165" t="s">
        <v>128</v>
      </c>
      <c r="AH118" s="713">
        <v>44153</v>
      </c>
      <c r="AI118" s="170"/>
      <c r="AJ118"/>
      <c r="AK118" s="171">
        <v>0.9</v>
      </c>
      <c r="AL118" s="172">
        <f t="shared" si="14"/>
        <v>0</v>
      </c>
      <c r="AM118"/>
      <c r="AN118" s="172">
        <f t="shared" si="12"/>
        <v>0</v>
      </c>
      <c r="AO118"/>
      <c r="AP118" s="172">
        <f t="shared" si="13"/>
        <v>0</v>
      </c>
    </row>
    <row r="119" spans="33:42" x14ac:dyDescent="0.2">
      <c r="AG119"/>
      <c r="AH119" s="229"/>
      <c r="AI119" s="176"/>
      <c r="AJ119"/>
      <c r="AK119" s="171"/>
      <c r="AL119" s="172">
        <v>0</v>
      </c>
      <c r="AM119"/>
      <c r="AN119" s="172">
        <f t="shared" si="12"/>
        <v>0</v>
      </c>
      <c r="AO119"/>
      <c r="AP119" s="172">
        <f t="shared" si="13"/>
        <v>0</v>
      </c>
    </row>
    <row r="120" spans="33:42" x14ac:dyDescent="0.2">
      <c r="AG120" s="165" t="s">
        <v>2</v>
      </c>
      <c r="AH120" s="167">
        <v>7</v>
      </c>
      <c r="AI120" s="167"/>
      <c r="AJ120" s="167"/>
      <c r="AK120"/>
      <c r="AL120"/>
      <c r="AM120"/>
      <c r="AN120"/>
      <c r="AO120"/>
      <c r="AP120"/>
    </row>
    <row r="121" spans="33:42" x14ac:dyDescent="0.2">
      <c r="AG121" s="165" t="s">
        <v>129</v>
      </c>
      <c r="AH121" s="167"/>
      <c r="AI121" s="167">
        <f>MAX(AI108:AI119)</f>
        <v>24349</v>
      </c>
      <c r="AJ121" s="167"/>
      <c r="AK121" s="167"/>
      <c r="AL121" s="167">
        <f>MAX(AL108:AL119)</f>
        <v>27054.444444444445</v>
      </c>
      <c r="AM121" s="167"/>
      <c r="AN121" s="167"/>
      <c r="AO121" s="180"/>
      <c r="AP121"/>
    </row>
    <row r="122" spans="33:42" x14ac:dyDescent="0.2">
      <c r="AG122" s="165" t="s">
        <v>130</v>
      </c>
      <c r="AH122" s="167"/>
      <c r="AI122" s="169">
        <v>10</v>
      </c>
      <c r="AJ122" s="167"/>
      <c r="AK122"/>
      <c r="AL122" s="169">
        <v>10</v>
      </c>
      <c r="AM122" s="8"/>
      <c r="AN122" s="8"/>
      <c r="AO122" s="8"/>
      <c r="AP122" s="8"/>
    </row>
    <row r="123" spans="33:42" x14ac:dyDescent="0.2">
      <c r="AG123" s="165" t="s">
        <v>131</v>
      </c>
      <c r="AH123" s="167"/>
      <c r="AI123" s="230">
        <f>(0.5*SUM(AN109:AN119))/AI122</f>
        <v>60159</v>
      </c>
      <c r="AJ123" s="167"/>
      <c r="AK123"/>
      <c r="AL123" s="230">
        <f>(0.5*SUM(AP109:AP119))/AL122</f>
        <v>67845</v>
      </c>
      <c r="AM123" s="8"/>
      <c r="AN123" s="8"/>
      <c r="AO123" s="8"/>
      <c r="AP123" s="8"/>
    </row>
    <row r="124" spans="33:42" x14ac:dyDescent="0.2">
      <c r="AG124"/>
      <c r="AH124"/>
      <c r="AI124"/>
      <c r="AJ124"/>
      <c r="AK124"/>
      <c r="AL124"/>
      <c r="AM124"/>
      <c r="AN124"/>
      <c r="AO124"/>
      <c r="AP124"/>
    </row>
    <row r="125" spans="33:42" x14ac:dyDescent="0.2">
      <c r="AG125"/>
      <c r="AH125"/>
      <c r="AI125">
        <f>(0.5*SUM(AN109:AN119))</f>
        <v>601590</v>
      </c>
      <c r="AJ125"/>
      <c r="AK125"/>
      <c r="AL125"/>
      <c r="AM125"/>
      <c r="AN125"/>
      <c r="AO125"/>
      <c r="AP125"/>
    </row>
    <row r="126" spans="33:42" x14ac:dyDescent="0.2">
      <c r="AG126"/>
      <c r="AH126"/>
      <c r="AI126"/>
      <c r="AJ126"/>
      <c r="AK126"/>
      <c r="AL126"/>
      <c r="AM126"/>
      <c r="AN126"/>
      <c r="AO126"/>
      <c r="AP126"/>
    </row>
    <row r="127" spans="33:42" x14ac:dyDescent="0.2">
      <c r="AG127" s="299" t="s">
        <v>9</v>
      </c>
      <c r="AH127"/>
      <c r="AI127" s="249">
        <v>27263</v>
      </c>
      <c r="AJ127"/>
      <c r="AK127"/>
      <c r="AL127" s="249">
        <v>30292</v>
      </c>
      <c r="AM127"/>
      <c r="AN127"/>
      <c r="AO127"/>
      <c r="AP127"/>
    </row>
    <row r="128" spans="33:42" x14ac:dyDescent="0.2">
      <c r="AG128" s="299" t="s">
        <v>250</v>
      </c>
      <c r="AH128"/>
      <c r="AI128" s="370">
        <v>22</v>
      </c>
      <c r="AJ128"/>
      <c r="AK128"/>
      <c r="AL128" s="370">
        <v>38</v>
      </c>
      <c r="AM128"/>
      <c r="AN128"/>
      <c r="AO128"/>
      <c r="AP128"/>
    </row>
  </sheetData>
  <mergeCells count="34">
    <mergeCell ref="AT73:AT74"/>
    <mergeCell ref="AU73:AU74"/>
    <mergeCell ref="AX73:AY73"/>
    <mergeCell ref="AG104:AG105"/>
    <mergeCell ref="AH104:AH105"/>
    <mergeCell ref="AK104:AL104"/>
    <mergeCell ref="AA38:AB38"/>
    <mergeCell ref="Y73:Y74"/>
    <mergeCell ref="Z73:Z74"/>
    <mergeCell ref="Y3:Y4"/>
    <mergeCell ref="Z3:Z4"/>
    <mergeCell ref="Y38:Y39"/>
    <mergeCell ref="Z38:Z39"/>
    <mergeCell ref="X73:X74"/>
    <mergeCell ref="A38:A39"/>
    <mergeCell ref="B38:W38"/>
    <mergeCell ref="X38:X39"/>
    <mergeCell ref="A1:I1"/>
    <mergeCell ref="B3:W3"/>
    <mergeCell ref="X3:X4"/>
    <mergeCell ref="A36:I36"/>
    <mergeCell ref="A3:A4"/>
    <mergeCell ref="U104:W104"/>
    <mergeCell ref="U69:W69"/>
    <mergeCell ref="U34:W34"/>
    <mergeCell ref="A71:I71"/>
    <mergeCell ref="A73:A74"/>
    <mergeCell ref="B73:W73"/>
    <mergeCell ref="AF3:AF4"/>
    <mergeCell ref="AG3:AG4"/>
    <mergeCell ref="AJ3:AK3"/>
    <mergeCell ref="AG73:AG74"/>
    <mergeCell ref="AH73:AH74"/>
    <mergeCell ref="AK73:AL73"/>
  </mergeCells>
  <phoneticPr fontId="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BR151"/>
  <sheetViews>
    <sheetView topLeftCell="A58" zoomScale="85" zoomScaleNormal="85" workbookViewId="0">
      <selection activeCell="A111" sqref="A111"/>
    </sheetView>
  </sheetViews>
  <sheetFormatPr defaultColWidth="9.140625" defaultRowHeight="12.75" x14ac:dyDescent="0.2"/>
  <cols>
    <col min="1" max="1" width="10.28515625" style="2" customWidth="1"/>
    <col min="2" max="7" width="6.5703125" style="2" customWidth="1"/>
    <col min="8" max="8" width="7.42578125" style="2" customWidth="1"/>
    <col min="9" max="9" width="9" style="2" customWidth="1"/>
    <col min="10" max="10" width="8.42578125" style="2" customWidth="1"/>
    <col min="11" max="21" width="6.5703125" style="2" customWidth="1"/>
    <col min="22" max="22" width="8.85546875" style="2" customWidth="1"/>
    <col min="23" max="23" width="6.5703125" style="2" customWidth="1"/>
    <col min="24" max="25" width="9.140625" style="2"/>
    <col min="26" max="26" width="11.7109375" style="56" customWidth="1"/>
    <col min="27" max="28" width="9.140625" style="2"/>
    <col min="29" max="29" width="28.85546875" style="2" customWidth="1"/>
    <col min="30" max="30" width="9.140625" style="2"/>
    <col min="31" max="31" width="11.7109375" style="2" bestFit="1" customWidth="1"/>
    <col min="32" max="32" width="9.140625" style="2"/>
    <col min="33" max="33" width="14.42578125" style="2" bestFit="1" customWidth="1"/>
    <col min="34" max="42" width="9.140625" style="2"/>
    <col min="43" max="45" width="10.5703125" style="2" bestFit="1" customWidth="1"/>
    <col min="46" max="46" width="10" style="2" bestFit="1" customWidth="1"/>
    <col min="47" max="48" width="9.140625" style="2"/>
    <col min="49" max="49" width="10" style="2" bestFit="1" customWidth="1"/>
    <col min="50" max="61" width="9.140625" style="2"/>
    <col min="62" max="62" width="10" style="2" bestFit="1" customWidth="1"/>
    <col min="63" max="16384" width="9.140625" style="2"/>
  </cols>
  <sheetData>
    <row r="1" spans="1:70" x14ac:dyDescent="0.2">
      <c r="A1" s="339" t="s">
        <v>245</v>
      </c>
    </row>
    <row r="2" spans="1:70" x14ac:dyDescent="0.2">
      <c r="A2" s="340" t="s">
        <v>246</v>
      </c>
    </row>
    <row r="3" spans="1:70" ht="13.5" thickBot="1" x14ac:dyDescent="0.25">
      <c r="A3" s="341" t="s">
        <v>247</v>
      </c>
    </row>
    <row r="4" spans="1:70" ht="13.5" thickBot="1" x14ac:dyDescent="0.25">
      <c r="A4" s="342" t="s">
        <v>248</v>
      </c>
    </row>
    <row r="5" spans="1:70" ht="18" customHeight="1" x14ac:dyDescent="0.2">
      <c r="A5" s="1002" t="s">
        <v>647</v>
      </c>
      <c r="B5" s="1003"/>
      <c r="C5" s="1003"/>
      <c r="D5" s="1003"/>
      <c r="E5" s="1003"/>
      <c r="F5" s="1003"/>
      <c r="G5" s="1003"/>
      <c r="H5" s="1003"/>
      <c r="I5" s="100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70" ht="18" customHeight="1" thickBot="1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1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70" ht="18" customHeight="1" thickTop="1" x14ac:dyDescent="0.2">
      <c r="A7" s="1004" t="s">
        <v>0</v>
      </c>
      <c r="B7" s="1006" t="s">
        <v>1</v>
      </c>
      <c r="C7" s="1006"/>
      <c r="D7" s="1006"/>
      <c r="E7" s="1006"/>
      <c r="F7" s="1006"/>
      <c r="G7" s="1006"/>
      <c r="H7" s="1006"/>
      <c r="I7" s="1006"/>
      <c r="J7" s="1006"/>
      <c r="K7" s="1006"/>
      <c r="L7" s="1006"/>
      <c r="M7" s="1006"/>
      <c r="N7" s="1006"/>
      <c r="O7" s="1006"/>
      <c r="P7" s="1006"/>
      <c r="Q7" s="1006"/>
      <c r="R7" s="1006"/>
      <c r="S7" s="1006"/>
      <c r="T7" s="1006"/>
      <c r="U7" s="1006"/>
      <c r="V7" s="1006"/>
      <c r="W7" s="1006"/>
      <c r="X7" s="1004" t="s">
        <v>2</v>
      </c>
      <c r="Y7" s="1010" t="s">
        <v>3</v>
      </c>
      <c r="Z7" s="1008" t="s">
        <v>4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 t="s">
        <v>97</v>
      </c>
      <c r="AS7"/>
      <c r="AT7"/>
      <c r="AU7"/>
    </row>
    <row r="8" spans="1:70" ht="18" customHeight="1" x14ac:dyDescent="0.2">
      <c r="A8" s="1005"/>
      <c r="B8" s="5">
        <v>81</v>
      </c>
      <c r="C8" s="5">
        <v>82</v>
      </c>
      <c r="D8" s="5">
        <v>83</v>
      </c>
      <c r="E8" s="5">
        <v>84</v>
      </c>
      <c r="F8" s="5">
        <v>91</v>
      </c>
      <c r="G8" s="5">
        <v>92</v>
      </c>
      <c r="H8" s="5">
        <v>93</v>
      </c>
      <c r="I8" s="5">
        <v>94</v>
      </c>
      <c r="J8" s="5">
        <v>101</v>
      </c>
      <c r="K8" s="5">
        <v>102</v>
      </c>
      <c r="L8" s="5">
        <v>103</v>
      </c>
      <c r="M8" s="5">
        <v>104</v>
      </c>
      <c r="N8" s="5">
        <v>105</v>
      </c>
      <c r="O8" s="5">
        <v>111</v>
      </c>
      <c r="P8" s="5">
        <v>112</v>
      </c>
      <c r="Q8" s="5">
        <v>113</v>
      </c>
      <c r="R8" s="5">
        <v>114</v>
      </c>
      <c r="S8" s="5">
        <v>115</v>
      </c>
      <c r="T8" s="5">
        <v>121</v>
      </c>
      <c r="U8" s="5">
        <v>122</v>
      </c>
      <c r="V8" s="5">
        <v>123</v>
      </c>
      <c r="W8" s="5">
        <v>124</v>
      </c>
      <c r="X8" s="1005"/>
      <c r="Y8" s="1011"/>
      <c r="Z8" s="1009"/>
      <c r="AA8" s="68" t="s">
        <v>44</v>
      </c>
      <c r="AB8" t="s">
        <v>142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>
        <v>15</v>
      </c>
      <c r="AS8">
        <v>20</v>
      </c>
      <c r="AT8">
        <v>25</v>
      </c>
      <c r="AU8"/>
    </row>
    <row r="9" spans="1:70" s="8" customFormat="1" ht="18" customHeight="1" x14ac:dyDescent="0.25">
      <c r="A9" s="1">
        <v>1995</v>
      </c>
      <c r="B9" s="6"/>
      <c r="C9" s="6"/>
      <c r="D9" s="6"/>
      <c r="E9" s="6"/>
      <c r="F9" s="6"/>
      <c r="G9" s="6">
        <v>0</v>
      </c>
      <c r="H9" s="6"/>
      <c r="I9" s="6">
        <v>1483</v>
      </c>
      <c r="J9" s="6">
        <v>9000</v>
      </c>
      <c r="K9" s="6"/>
      <c r="L9" s="6">
        <v>137</v>
      </c>
      <c r="M9" s="6"/>
      <c r="N9" s="6">
        <v>6</v>
      </c>
      <c r="O9" s="6"/>
      <c r="P9" s="6"/>
      <c r="Q9" s="6"/>
      <c r="R9" s="6"/>
      <c r="S9" s="6"/>
      <c r="T9" s="1"/>
      <c r="U9" s="1"/>
      <c r="V9" s="1"/>
      <c r="W9" s="1"/>
      <c r="X9" s="7">
        <v>23071</v>
      </c>
      <c r="Y9" s="7" t="s">
        <v>5</v>
      </c>
      <c r="Z9" s="10">
        <v>10</v>
      </c>
      <c r="AB9">
        <f>X9/MAX(B9:W9)</f>
        <v>2.5634444444444444</v>
      </c>
      <c r="AC9"/>
      <c r="AD9"/>
      <c r="AE9"/>
      <c r="AF9" s="1013" t="s">
        <v>117</v>
      </c>
      <c r="AG9" s="1013" t="s">
        <v>118</v>
      </c>
      <c r="AH9" s="423" t="s">
        <v>119</v>
      </c>
      <c r="AI9"/>
      <c r="AJ9" s="1012" t="s">
        <v>120</v>
      </c>
      <c r="AK9" s="1012"/>
      <c r="AL9"/>
      <c r="AM9" s="160" t="s">
        <v>121</v>
      </c>
      <c r="AN9" s="160"/>
      <c r="AO9" s="161" t="s">
        <v>122</v>
      </c>
      <c r="AP9"/>
      <c r="AQ9" t="s">
        <v>324</v>
      </c>
      <c r="AR9" s="425">
        <v>30359</v>
      </c>
      <c r="AS9" s="426">
        <v>22769</v>
      </c>
      <c r="AT9" s="426">
        <v>18215</v>
      </c>
      <c r="AU9"/>
      <c r="AV9" s="1013" t="s">
        <v>117</v>
      </c>
      <c r="AW9" s="1013" t="s">
        <v>118</v>
      </c>
      <c r="AX9" s="911" t="s">
        <v>119</v>
      </c>
      <c r="AY9"/>
      <c r="AZ9" s="1012" t="s">
        <v>120</v>
      </c>
      <c r="BA9" s="1012"/>
      <c r="BB9"/>
      <c r="BC9" s="160" t="s">
        <v>121</v>
      </c>
      <c r="BD9" s="160"/>
      <c r="BE9" s="161" t="s">
        <v>122</v>
      </c>
    </row>
    <row r="10" spans="1:70" s="8" customFormat="1" ht="18" customHeight="1" x14ac:dyDescent="0.2">
      <c r="A10" s="1">
        <v>1996</v>
      </c>
      <c r="B10" s="6"/>
      <c r="C10" s="6"/>
      <c r="D10" s="6"/>
      <c r="E10" s="6"/>
      <c r="F10" s="6">
        <v>732</v>
      </c>
      <c r="G10" s="6"/>
      <c r="H10" s="6">
        <v>11761</v>
      </c>
      <c r="I10" s="6">
        <v>7028</v>
      </c>
      <c r="J10" s="6">
        <v>5000</v>
      </c>
      <c r="K10" s="6">
        <v>6051</v>
      </c>
      <c r="L10" s="6">
        <v>938</v>
      </c>
      <c r="M10" s="6"/>
      <c r="N10" s="6">
        <v>31</v>
      </c>
      <c r="O10" s="6"/>
      <c r="P10" s="6"/>
      <c r="Q10" s="6">
        <v>9</v>
      </c>
      <c r="R10" s="6"/>
      <c r="S10" s="6"/>
      <c r="T10" s="1"/>
      <c r="U10" s="1"/>
      <c r="V10" s="1"/>
      <c r="W10" s="1"/>
      <c r="X10" s="7">
        <v>19422</v>
      </c>
      <c r="Y10" s="7" t="s">
        <v>5</v>
      </c>
      <c r="Z10" s="10">
        <v>20</v>
      </c>
      <c r="AB10">
        <f t="shared" ref="AB10:AB32" si="0">X10/MAX(B10:W10)</f>
        <v>1.6513901879091915</v>
      </c>
      <c r="AC10"/>
      <c r="AD10"/>
      <c r="AE10"/>
      <c r="AF10" s="1014"/>
      <c r="AG10" s="1014"/>
      <c r="AH10" s="422" t="s">
        <v>146</v>
      </c>
      <c r="AI10"/>
      <c r="AJ10" s="163" t="s">
        <v>148</v>
      </c>
      <c r="AK10" s="163" t="s">
        <v>147</v>
      </c>
      <c r="AL10"/>
      <c r="AM10" s="164"/>
      <c r="AN10"/>
      <c r="AO10" s="164"/>
      <c r="AP10"/>
      <c r="AQ10" s="8" t="s">
        <v>325</v>
      </c>
      <c r="AR10">
        <v>33003</v>
      </c>
      <c r="AS10">
        <v>24752</v>
      </c>
      <c r="AT10">
        <v>19802</v>
      </c>
      <c r="AU10"/>
      <c r="AV10" s="1014"/>
      <c r="AW10" s="1014"/>
      <c r="AX10" s="912" t="s">
        <v>146</v>
      </c>
      <c r="AY10"/>
      <c r="AZ10" s="163" t="s">
        <v>148</v>
      </c>
      <c r="BA10" s="163" t="s">
        <v>147</v>
      </c>
      <c r="BB10"/>
      <c r="BC10" s="164"/>
      <c r="BD10"/>
      <c r="BE10" s="164"/>
    </row>
    <row r="11" spans="1:70" s="8" customFormat="1" ht="18" customHeight="1" x14ac:dyDescent="0.25">
      <c r="A11" s="1">
        <v>1997</v>
      </c>
      <c r="B11" s="6"/>
      <c r="C11" s="6"/>
      <c r="D11" s="6">
        <v>1</v>
      </c>
      <c r="E11" s="6"/>
      <c r="F11" s="6">
        <v>1682</v>
      </c>
      <c r="G11" s="6"/>
      <c r="H11" s="6">
        <v>4894</v>
      </c>
      <c r="I11" s="6">
        <v>15243</v>
      </c>
      <c r="J11" s="6"/>
      <c r="K11" s="6"/>
      <c r="L11" s="6">
        <v>302</v>
      </c>
      <c r="M11" s="6">
        <v>33</v>
      </c>
      <c r="N11" s="6"/>
      <c r="O11" s="6">
        <v>2</v>
      </c>
      <c r="P11" s="6">
        <v>1</v>
      </c>
      <c r="Q11" s="6"/>
      <c r="R11" s="6"/>
      <c r="S11" s="6">
        <v>0</v>
      </c>
      <c r="T11" s="1"/>
      <c r="U11" s="1"/>
      <c r="V11" s="1"/>
      <c r="W11" s="1"/>
      <c r="X11" s="7">
        <v>20813</v>
      </c>
      <c r="Y11" s="7" t="s">
        <v>5</v>
      </c>
      <c r="Z11" s="61">
        <v>15</v>
      </c>
      <c r="AB11">
        <f t="shared" si="0"/>
        <v>1.3654136324870432</v>
      </c>
      <c r="AC11"/>
      <c r="AD11"/>
      <c r="AE11" s="424">
        <v>42618</v>
      </c>
      <c r="AF11" s="165"/>
      <c r="AG11" s="166"/>
      <c r="AH11" s="167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65"/>
      <c r="AW11" s="166"/>
      <c r="AX11" s="167"/>
      <c r="AY11"/>
      <c r="AZ11"/>
      <c r="BA11"/>
      <c r="BB11"/>
      <c r="BC11"/>
      <c r="BD11"/>
      <c r="BE11"/>
    </row>
    <row r="12" spans="1:70" s="8" customFormat="1" ht="18" customHeight="1" x14ac:dyDescent="0.25">
      <c r="A12" s="1">
        <v>1998</v>
      </c>
      <c r="B12" s="6"/>
      <c r="C12" s="6">
        <v>0</v>
      </c>
      <c r="D12" s="6"/>
      <c r="E12" s="6"/>
      <c r="F12" s="6"/>
      <c r="G12" s="6"/>
      <c r="H12" s="6">
        <v>4046</v>
      </c>
      <c r="I12" s="6"/>
      <c r="J12" s="6"/>
      <c r="K12" s="6">
        <v>2312</v>
      </c>
      <c r="L12" s="6">
        <v>16500</v>
      </c>
      <c r="M12" s="6">
        <v>97</v>
      </c>
      <c r="N12" s="6"/>
      <c r="O12" s="6">
        <v>23</v>
      </c>
      <c r="P12" s="6"/>
      <c r="Q12" s="6">
        <v>7</v>
      </c>
      <c r="R12" s="6"/>
      <c r="S12" s="6">
        <v>1</v>
      </c>
      <c r="T12" s="1"/>
      <c r="U12" s="1"/>
      <c r="V12" s="1"/>
      <c r="W12" s="1"/>
      <c r="X12" s="7">
        <v>26311</v>
      </c>
      <c r="Y12" s="7" t="s">
        <v>5</v>
      </c>
      <c r="Z12" s="61">
        <v>12.5</v>
      </c>
      <c r="AB12">
        <f t="shared" si="0"/>
        <v>1.5946060606060606</v>
      </c>
      <c r="AC12" t="s">
        <v>416</v>
      </c>
      <c r="AD12"/>
      <c r="AE12" s="424">
        <v>42628</v>
      </c>
      <c r="AF12" s="165" t="s">
        <v>183</v>
      </c>
      <c r="AG12" s="166"/>
      <c r="AH12" s="167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65" t="s">
        <v>183</v>
      </c>
      <c r="AW12" s="166"/>
      <c r="AX12" s="167"/>
      <c r="AY12"/>
      <c r="AZ12"/>
      <c r="BA12"/>
      <c r="BB12"/>
      <c r="BC12"/>
      <c r="BD12"/>
      <c r="BE12"/>
      <c r="BG12"/>
      <c r="BH12"/>
      <c r="BI12" s="165" t="s">
        <v>183</v>
      </c>
      <c r="BJ12" s="166"/>
      <c r="BK12" s="167"/>
      <c r="BL12"/>
      <c r="BM12"/>
      <c r="BN12"/>
      <c r="BO12"/>
      <c r="BP12"/>
      <c r="BQ12"/>
      <c r="BR12"/>
    </row>
    <row r="13" spans="1:70" s="8" customFormat="1" ht="18" customHeight="1" x14ac:dyDescent="0.25">
      <c r="A13" s="1">
        <v>1999</v>
      </c>
      <c r="B13" s="6"/>
      <c r="C13" s="6"/>
      <c r="D13" s="6"/>
      <c r="E13" s="6"/>
      <c r="F13" s="6"/>
      <c r="G13" s="503">
        <v>4347</v>
      </c>
      <c r="H13" s="6"/>
      <c r="I13" s="6"/>
      <c r="J13" s="503">
        <v>4393</v>
      </c>
      <c r="K13" s="503">
        <v>2740</v>
      </c>
      <c r="L13" s="6"/>
      <c r="M13" s="503">
        <v>44</v>
      </c>
      <c r="N13" s="6"/>
      <c r="O13" s="503">
        <v>30</v>
      </c>
      <c r="P13" s="6"/>
      <c r="Q13" s="503">
        <v>2</v>
      </c>
      <c r="R13" s="6"/>
      <c r="S13" s="6"/>
      <c r="T13" s="1"/>
      <c r="U13" s="505">
        <v>0</v>
      </c>
      <c r="V13" s="1"/>
      <c r="W13" s="1"/>
      <c r="X13" s="9">
        <v>15735</v>
      </c>
      <c r="Y13" s="7" t="s">
        <v>5</v>
      </c>
      <c r="Z13" s="62">
        <v>16</v>
      </c>
      <c r="AB13">
        <f t="shared" si="0"/>
        <v>3.5818347370817207</v>
      </c>
      <c r="AC13"/>
      <c r="AD13"/>
      <c r="AE13" s="424">
        <v>42635</v>
      </c>
      <c r="AF13" s="165" t="s">
        <v>127</v>
      </c>
      <c r="AG13" s="229">
        <v>42609</v>
      </c>
      <c r="AH13" s="167"/>
      <c r="AI13"/>
      <c r="AJ13"/>
      <c r="AK13" s="169">
        <v>0</v>
      </c>
      <c r="AL13"/>
      <c r="AM13"/>
      <c r="AN13"/>
      <c r="AO13"/>
      <c r="AP13"/>
      <c r="AQ13"/>
      <c r="AR13"/>
      <c r="AS13"/>
      <c r="AT13" t="s">
        <v>566</v>
      </c>
      <c r="AU13" t="s">
        <v>567</v>
      </c>
      <c r="AV13" s="165" t="s">
        <v>127</v>
      </c>
      <c r="AW13" s="229">
        <v>44805</v>
      </c>
      <c r="AX13" s="167"/>
      <c r="AY13"/>
      <c r="AZ13"/>
      <c r="BA13" s="169">
        <v>0</v>
      </c>
      <c r="BB13"/>
      <c r="BC13"/>
      <c r="BD13"/>
      <c r="BE13"/>
      <c r="BG13" t="s">
        <v>566</v>
      </c>
      <c r="BH13" t="s">
        <v>567</v>
      </c>
      <c r="BI13" s="165" t="s">
        <v>127</v>
      </c>
      <c r="BJ13" s="229">
        <v>44805</v>
      </c>
      <c r="BK13" s="167"/>
      <c r="BL13"/>
      <c r="BM13"/>
      <c r="BN13" s="169">
        <v>0</v>
      </c>
      <c r="BO13"/>
      <c r="BP13"/>
      <c r="BQ13"/>
      <c r="BR13"/>
    </row>
    <row r="14" spans="1:70" s="8" customFormat="1" ht="18" customHeight="1" x14ac:dyDescent="0.25">
      <c r="A14" s="1">
        <v>2000</v>
      </c>
      <c r="B14" s="6"/>
      <c r="C14" s="6"/>
      <c r="D14" s="6"/>
      <c r="E14" s="6"/>
      <c r="F14" s="6"/>
      <c r="G14" s="503">
        <v>37</v>
      </c>
      <c r="H14" s="503">
        <v>5010</v>
      </c>
      <c r="I14" s="503">
        <v>2187</v>
      </c>
      <c r="J14" s="6"/>
      <c r="K14" s="503">
        <v>2092</v>
      </c>
      <c r="L14" s="503">
        <v>282</v>
      </c>
      <c r="M14" s="6"/>
      <c r="N14" s="503">
        <v>7</v>
      </c>
      <c r="O14" s="6"/>
      <c r="P14" s="503">
        <v>1</v>
      </c>
      <c r="Q14" s="6"/>
      <c r="R14" s="503">
        <v>1</v>
      </c>
      <c r="S14" s="6"/>
      <c r="T14" s="505"/>
      <c r="U14" s="1"/>
      <c r="V14" s="1"/>
      <c r="W14" s="1"/>
      <c r="X14" s="10">
        <v>9970</v>
      </c>
      <c r="Y14" s="7" t="s">
        <v>5</v>
      </c>
      <c r="Z14" s="62">
        <v>16</v>
      </c>
      <c r="AB14">
        <f t="shared" si="0"/>
        <v>1.9900199600798403</v>
      </c>
      <c r="AC14"/>
      <c r="AD14"/>
      <c r="AE14" s="424">
        <v>42643</v>
      </c>
      <c r="AF14" s="165"/>
      <c r="AG14" s="424">
        <v>42618</v>
      </c>
      <c r="AH14" s="170">
        <v>17189</v>
      </c>
      <c r="AI14"/>
      <c r="AJ14" s="171">
        <v>0.9</v>
      </c>
      <c r="AK14" s="172">
        <f>AH14/AJ14</f>
        <v>19098.888888888887</v>
      </c>
      <c r="AL14"/>
      <c r="AM14" s="172">
        <f>(AG14-AG13)*(AH14+AH13)</f>
        <v>154701</v>
      </c>
      <c r="AN14"/>
      <c r="AO14" s="172">
        <f>(AG14-AG13)*(AK14+AK13)</f>
        <v>171889.99999999997</v>
      </c>
      <c r="AP14"/>
      <c r="AQ14"/>
      <c r="AR14"/>
      <c r="AS14"/>
      <c r="AT14">
        <v>5633</v>
      </c>
      <c r="AU14"/>
      <c r="AV14" s="165"/>
      <c r="AW14" s="913">
        <v>44813</v>
      </c>
      <c r="AX14" s="914">
        <v>5633</v>
      </c>
      <c r="AY14"/>
      <c r="AZ14" s="171">
        <v>0.9</v>
      </c>
      <c r="BA14" s="172">
        <f>AX14/AZ14</f>
        <v>6258.8888888888887</v>
      </c>
      <c r="BB14"/>
      <c r="BC14" s="172">
        <f>(AW14-AW13)*(AX14+AX13)</f>
        <v>45064</v>
      </c>
      <c r="BD14"/>
      <c r="BE14" s="172">
        <f>(AW14-AW13)*(BA14+BA13)</f>
        <v>50071.111111111109</v>
      </c>
      <c r="BG14">
        <v>5633</v>
      </c>
      <c r="BH14"/>
      <c r="BI14" s="165"/>
      <c r="BJ14" s="424">
        <v>44814</v>
      </c>
      <c r="BK14" s="170">
        <v>14141</v>
      </c>
      <c r="BL14"/>
      <c r="BM14" s="171">
        <v>0.9</v>
      </c>
      <c r="BN14" s="172">
        <f t="shared" ref="BN14" si="1">BK14/BM14</f>
        <v>15712.222222222223</v>
      </c>
      <c r="BO14"/>
      <c r="BP14" s="172">
        <f t="shared" ref="BP14" si="2">(BJ14-BJ13)*(BK14+BK13)</f>
        <v>127269</v>
      </c>
      <c r="BQ14"/>
      <c r="BR14" s="172">
        <f>(BJ14-BJ13)*(BN14+BN13)</f>
        <v>141410</v>
      </c>
    </row>
    <row r="15" spans="1:70" s="8" customFormat="1" ht="18" customHeight="1" x14ac:dyDescent="0.25">
      <c r="A15" s="1">
        <v>2001</v>
      </c>
      <c r="B15" s="6"/>
      <c r="C15" s="6"/>
      <c r="D15" s="6"/>
      <c r="E15" s="6">
        <v>378</v>
      </c>
      <c r="F15" s="6"/>
      <c r="G15" s="6">
        <v>6912</v>
      </c>
      <c r="H15" s="6"/>
      <c r="I15" s="6"/>
      <c r="J15" s="6">
        <v>11543</v>
      </c>
      <c r="K15" s="6"/>
      <c r="L15" s="6">
        <v>300</v>
      </c>
      <c r="M15" s="6"/>
      <c r="N15" s="6">
        <v>6</v>
      </c>
      <c r="O15" s="6"/>
      <c r="P15" s="6"/>
      <c r="Q15" s="6">
        <v>1</v>
      </c>
      <c r="R15" s="6">
        <v>3</v>
      </c>
      <c r="S15" s="6"/>
      <c r="T15" s="1">
        <v>0</v>
      </c>
      <c r="U15" s="1"/>
      <c r="V15" s="1"/>
      <c r="W15" s="1"/>
      <c r="X15" s="7">
        <v>16468</v>
      </c>
      <c r="Y15" s="7" t="s">
        <v>5</v>
      </c>
      <c r="Z15" s="62">
        <v>20</v>
      </c>
      <c r="AB15">
        <f t="shared" si="0"/>
        <v>1.426665511565451</v>
      </c>
      <c r="AC15" t="s">
        <v>417</v>
      </c>
      <c r="AD15"/>
      <c r="AE15" s="424">
        <v>42654</v>
      </c>
      <c r="AF15" s="165"/>
      <c r="AG15" s="424">
        <v>42621</v>
      </c>
      <c r="AH15" s="170">
        <v>19500</v>
      </c>
      <c r="AI15"/>
      <c r="AJ15" s="171">
        <v>0.9</v>
      </c>
      <c r="AK15" s="172">
        <f t="shared" ref="AK15:AK20" si="3">AH15/AJ15</f>
        <v>21666.666666666668</v>
      </c>
      <c r="AL15"/>
      <c r="AM15" s="172">
        <f t="shared" ref="AM15:AM20" si="4">(AG15-AG14)*(AH15+AH14)</f>
        <v>110067</v>
      </c>
      <c r="AN15"/>
      <c r="AO15" s="172">
        <f t="shared" ref="AO15:AO20" si="5">(AG15-AG14)*(AK15+AK14)</f>
        <v>122296.66666666666</v>
      </c>
      <c r="AP15"/>
      <c r="AQ15"/>
      <c r="AR15"/>
      <c r="AS15"/>
      <c r="AT15">
        <v>14141</v>
      </c>
      <c r="AU15">
        <v>77</v>
      </c>
      <c r="AV15" s="165"/>
      <c r="AW15" s="922">
        <v>44814</v>
      </c>
      <c r="AX15" s="921">
        <v>14141</v>
      </c>
      <c r="AY15" s="917"/>
      <c r="AZ15" s="918">
        <v>0.9</v>
      </c>
      <c r="BA15" s="919">
        <f t="shared" ref="BA15:BA30" si="6">AX15/AZ15</f>
        <v>15712.222222222223</v>
      </c>
      <c r="BB15" s="917"/>
      <c r="BC15" s="919">
        <f t="shared" ref="BC15:BC30" si="7">(AW15-AW14)*(AX15+AX14)</f>
        <v>19774</v>
      </c>
      <c r="BD15" s="917"/>
      <c r="BE15" s="919">
        <f t="shared" ref="BE15:BE30" si="8">(AW15-AW14)*(BA15+BA14)</f>
        <v>21971.111111111109</v>
      </c>
      <c r="BG15">
        <v>14141</v>
      </c>
      <c r="BH15">
        <v>77</v>
      </c>
      <c r="BI15" s="165"/>
      <c r="BJ15" s="424">
        <v>44825</v>
      </c>
      <c r="BK15" s="170">
        <v>9066</v>
      </c>
      <c r="BL15"/>
      <c r="BM15" s="171">
        <v>0.9</v>
      </c>
      <c r="BN15" s="172">
        <f t="shared" ref="BN15" si="9">BK15/BM15</f>
        <v>10073.333333333334</v>
      </c>
      <c r="BO15"/>
      <c r="BP15" s="172">
        <f t="shared" ref="BP15" si="10">(BJ15-BJ14)*(BK15+BK14)</f>
        <v>255277</v>
      </c>
      <c r="BQ15"/>
      <c r="BR15" s="172">
        <f t="shared" ref="BR15:BR22" si="11">(BJ15-BJ14)*(BN15+BN14)</f>
        <v>283641.11111111112</v>
      </c>
    </row>
    <row r="16" spans="1:70" s="8" customFormat="1" ht="18" customHeight="1" x14ac:dyDescent="0.25">
      <c r="A16" s="1">
        <v>2002</v>
      </c>
      <c r="B16" s="6"/>
      <c r="C16" s="6"/>
      <c r="D16" s="6"/>
      <c r="E16" s="6"/>
      <c r="F16" s="6"/>
      <c r="G16" s="6">
        <v>1931</v>
      </c>
      <c r="H16" s="6"/>
      <c r="I16" s="6">
        <v>18391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1"/>
      <c r="U16" s="1"/>
      <c r="V16" s="1"/>
      <c r="W16" s="1"/>
      <c r="X16" s="7">
        <v>27376</v>
      </c>
      <c r="Y16" s="7" t="s">
        <v>5</v>
      </c>
      <c r="Z16" s="62">
        <v>20</v>
      </c>
      <c r="AB16">
        <f t="shared" si="0"/>
        <v>1.4885541841117937</v>
      </c>
      <c r="AC16"/>
      <c r="AD16"/>
      <c r="AE16"/>
      <c r="AF16" s="165"/>
      <c r="AG16" s="424">
        <v>42628</v>
      </c>
      <c r="AH16" s="170">
        <v>10712</v>
      </c>
      <c r="AI16"/>
      <c r="AJ16" s="171">
        <v>0.9</v>
      </c>
      <c r="AK16" s="172">
        <f t="shared" si="3"/>
        <v>11902.222222222223</v>
      </c>
      <c r="AL16"/>
      <c r="AM16" s="172">
        <f t="shared" si="4"/>
        <v>211484</v>
      </c>
      <c r="AN16"/>
      <c r="AO16" s="172">
        <f t="shared" si="5"/>
        <v>234982.22222222225</v>
      </c>
      <c r="AP16"/>
      <c r="AQ16"/>
      <c r="AR16"/>
      <c r="AS16"/>
      <c r="AT16">
        <v>7328</v>
      </c>
      <c r="AU16"/>
      <c r="AV16" s="165"/>
      <c r="AW16" s="913">
        <v>44816</v>
      </c>
      <c r="AX16" s="914">
        <v>7328</v>
      </c>
      <c r="AY16"/>
      <c r="AZ16" s="171">
        <v>0.9</v>
      </c>
      <c r="BA16" s="172">
        <f t="shared" si="6"/>
        <v>8142.2222222222217</v>
      </c>
      <c r="BB16"/>
      <c r="BC16" s="172">
        <f t="shared" si="7"/>
        <v>42938</v>
      </c>
      <c r="BD16"/>
      <c r="BE16" s="172">
        <f t="shared" si="8"/>
        <v>47708.888888888891</v>
      </c>
      <c r="BG16">
        <v>9066</v>
      </c>
      <c r="BH16">
        <v>761</v>
      </c>
      <c r="BI16" s="173"/>
      <c r="BJ16" s="424">
        <v>44832</v>
      </c>
      <c r="BK16" s="170">
        <v>3409</v>
      </c>
      <c r="BL16"/>
      <c r="BM16" s="171">
        <v>0.9</v>
      </c>
      <c r="BN16" s="172">
        <f t="shared" ref="BN16:BN21" si="12">BK16/BM16</f>
        <v>3787.7777777777778</v>
      </c>
      <c r="BO16"/>
      <c r="BP16" s="172">
        <f t="shared" ref="BP16:BP21" si="13">(BJ16-BJ15)*(BK16+BK15)</f>
        <v>87325</v>
      </c>
      <c r="BQ16"/>
      <c r="BR16" s="172">
        <f t="shared" si="11"/>
        <v>97027.777777777781</v>
      </c>
    </row>
    <row r="17" spans="1:70" s="8" customFormat="1" ht="18" customHeight="1" x14ac:dyDescent="0.25">
      <c r="A17" s="1">
        <v>2003</v>
      </c>
      <c r="B17" s="6"/>
      <c r="C17" s="6"/>
      <c r="D17" s="6"/>
      <c r="E17" s="6"/>
      <c r="F17" s="6">
        <v>1009</v>
      </c>
      <c r="G17" s="6">
        <v>7306</v>
      </c>
      <c r="H17" s="6"/>
      <c r="I17" s="6"/>
      <c r="J17" s="6">
        <v>12314</v>
      </c>
      <c r="K17" s="6">
        <v>403</v>
      </c>
      <c r="L17" s="6"/>
      <c r="M17" s="6"/>
      <c r="N17" s="6">
        <v>5</v>
      </c>
      <c r="O17" s="6"/>
      <c r="P17" s="6"/>
      <c r="Q17" s="6">
        <v>0</v>
      </c>
      <c r="R17" s="6"/>
      <c r="S17" s="6"/>
      <c r="T17" s="1"/>
      <c r="U17" s="1"/>
      <c r="V17" s="1"/>
      <c r="W17" s="1"/>
      <c r="X17" s="7">
        <v>34653</v>
      </c>
      <c r="Y17" s="7" t="s">
        <v>5</v>
      </c>
      <c r="Z17" s="62">
        <v>14</v>
      </c>
      <c r="AB17">
        <f t="shared" si="0"/>
        <v>2.8141140165665095</v>
      </c>
      <c r="AC17"/>
      <c r="AD17"/>
      <c r="AE17"/>
      <c r="AF17" s="165"/>
      <c r="AG17" s="424">
        <v>42634</v>
      </c>
      <c r="AH17" s="170">
        <v>17347</v>
      </c>
      <c r="AI17"/>
      <c r="AJ17" s="171">
        <v>0.9</v>
      </c>
      <c r="AK17" s="172">
        <f t="shared" si="3"/>
        <v>19274.444444444445</v>
      </c>
      <c r="AL17"/>
      <c r="AM17" s="172">
        <f t="shared" si="4"/>
        <v>168354</v>
      </c>
      <c r="AN17"/>
      <c r="AO17" s="172">
        <f t="shared" si="5"/>
        <v>187060</v>
      </c>
      <c r="AP17"/>
      <c r="AQ17"/>
      <c r="AR17"/>
      <c r="AS17"/>
      <c r="AT17">
        <v>18601</v>
      </c>
      <c r="AU17">
        <v>22</v>
      </c>
      <c r="AV17" s="165"/>
      <c r="AW17" s="913">
        <v>44820</v>
      </c>
      <c r="AX17" s="914">
        <v>18601</v>
      </c>
      <c r="AY17"/>
      <c r="AZ17" s="171">
        <v>0.9</v>
      </c>
      <c r="BA17" s="172">
        <f t="shared" si="6"/>
        <v>20667.777777777777</v>
      </c>
      <c r="BB17"/>
      <c r="BC17" s="172">
        <f t="shared" si="7"/>
        <v>103716</v>
      </c>
      <c r="BD17"/>
      <c r="BE17" s="172">
        <f t="shared" si="8"/>
        <v>115240</v>
      </c>
      <c r="BG17">
        <v>3409</v>
      </c>
      <c r="BH17">
        <v>2553</v>
      </c>
      <c r="BI17" s="173"/>
      <c r="BJ17" s="915">
        <v>44845</v>
      </c>
      <c r="BK17" s="916">
        <v>186</v>
      </c>
      <c r="BL17" s="917"/>
      <c r="BM17" s="918">
        <v>0.75</v>
      </c>
      <c r="BN17" s="172">
        <f t="shared" si="12"/>
        <v>248</v>
      </c>
      <c r="BO17"/>
      <c r="BP17" s="172">
        <f t="shared" si="13"/>
        <v>46735</v>
      </c>
      <c r="BQ17"/>
      <c r="BR17" s="172">
        <f t="shared" si="11"/>
        <v>52465.111111111109</v>
      </c>
    </row>
    <row r="18" spans="1:70" s="8" customFormat="1" ht="18" customHeight="1" x14ac:dyDescent="0.25">
      <c r="A18" s="1">
        <v>2004</v>
      </c>
      <c r="B18" s="6"/>
      <c r="C18" s="6"/>
      <c r="D18" s="6"/>
      <c r="E18" s="6"/>
      <c r="F18" s="6"/>
      <c r="G18" s="6"/>
      <c r="H18" s="6"/>
      <c r="I18" s="6"/>
      <c r="J18" s="6">
        <v>15019</v>
      </c>
      <c r="K18" s="6"/>
      <c r="L18" s="6"/>
      <c r="M18" s="6"/>
      <c r="N18" s="6"/>
      <c r="O18" s="6"/>
      <c r="P18" s="6"/>
      <c r="Q18" s="6"/>
      <c r="R18" s="6"/>
      <c r="S18" s="6"/>
      <c r="T18" s="1"/>
      <c r="U18" s="1"/>
      <c r="V18" s="1"/>
      <c r="W18" s="1"/>
      <c r="X18" s="11">
        <v>41053</v>
      </c>
      <c r="Y18" s="7" t="s">
        <v>7</v>
      </c>
      <c r="Z18" s="62"/>
      <c r="AB18">
        <f t="shared" si="0"/>
        <v>2.7334043544843198</v>
      </c>
      <c r="AC18"/>
      <c r="AD18"/>
      <c r="AE18"/>
      <c r="AF18" s="173"/>
      <c r="AG18" s="424">
        <v>42635</v>
      </c>
      <c r="AH18" s="170">
        <v>12127</v>
      </c>
      <c r="AI18"/>
      <c r="AJ18" s="171">
        <v>0.8</v>
      </c>
      <c r="AK18" s="172">
        <f t="shared" si="3"/>
        <v>15158.75</v>
      </c>
      <c r="AL18"/>
      <c r="AM18" s="172">
        <f t="shared" si="4"/>
        <v>29474</v>
      </c>
      <c r="AN18"/>
      <c r="AO18" s="172">
        <f t="shared" si="5"/>
        <v>34433.194444444445</v>
      </c>
      <c r="AP18"/>
      <c r="AQ18"/>
      <c r="AR18"/>
      <c r="AS18"/>
      <c r="AT18">
        <v>6733</v>
      </c>
      <c r="AU18">
        <v>361</v>
      </c>
      <c r="AV18" s="173"/>
      <c r="AW18" s="913">
        <v>44824</v>
      </c>
      <c r="AX18" s="914">
        <v>6733</v>
      </c>
      <c r="AY18"/>
      <c r="AZ18" s="171">
        <v>0.8</v>
      </c>
      <c r="BA18" s="172">
        <f t="shared" si="6"/>
        <v>8416.25</v>
      </c>
      <c r="BB18"/>
      <c r="BC18" s="172">
        <f>(AW18-AW17)*(AX18+AX17)</f>
        <v>101336</v>
      </c>
      <c r="BD18"/>
      <c r="BE18" s="172">
        <f t="shared" si="8"/>
        <v>116336.11111111111</v>
      </c>
      <c r="BG18">
        <v>7</v>
      </c>
      <c r="BH18">
        <v>1</v>
      </c>
      <c r="BI18" s="173"/>
      <c r="BJ18" s="920">
        <v>44868</v>
      </c>
      <c r="BK18" s="921">
        <v>7</v>
      </c>
      <c r="BL18" s="917"/>
      <c r="BM18" s="918">
        <v>0.9</v>
      </c>
      <c r="BN18" s="172">
        <f t="shared" si="12"/>
        <v>7.7777777777777777</v>
      </c>
      <c r="BO18"/>
      <c r="BP18" s="172">
        <f t="shared" si="13"/>
        <v>4439</v>
      </c>
      <c r="BQ18"/>
      <c r="BR18" s="172">
        <f t="shared" si="11"/>
        <v>5882.8888888888887</v>
      </c>
    </row>
    <row r="19" spans="1:70" s="8" customFormat="1" ht="18" customHeight="1" x14ac:dyDescent="0.25">
      <c r="A19" s="1">
        <v>2005</v>
      </c>
      <c r="B19" s="6"/>
      <c r="C19" s="6"/>
      <c r="D19" s="6"/>
      <c r="E19" s="6"/>
      <c r="F19" s="6"/>
      <c r="G19" s="6"/>
      <c r="H19" s="6">
        <v>777</v>
      </c>
      <c r="I19" s="6"/>
      <c r="J19" s="6">
        <v>3214</v>
      </c>
      <c r="K19" s="6">
        <v>3955</v>
      </c>
      <c r="L19" s="6"/>
      <c r="M19" s="6">
        <v>26</v>
      </c>
      <c r="N19" s="6"/>
      <c r="O19" s="6">
        <v>24</v>
      </c>
      <c r="P19" s="6"/>
      <c r="Q19" s="6">
        <v>4</v>
      </c>
      <c r="R19" s="6"/>
      <c r="S19" s="6"/>
      <c r="T19" s="1">
        <v>1</v>
      </c>
      <c r="U19" s="1"/>
      <c r="V19" s="1"/>
      <c r="W19" s="1"/>
      <c r="X19" s="11">
        <v>6985</v>
      </c>
      <c r="Y19" s="7" t="s">
        <v>5</v>
      </c>
      <c r="Z19" s="63">
        <v>17.5</v>
      </c>
      <c r="AB19">
        <f t="shared" si="0"/>
        <v>1.7661188369152971</v>
      </c>
      <c r="AC19"/>
      <c r="AD19"/>
      <c r="AE19"/>
      <c r="AF19"/>
      <c r="AG19" s="424">
        <v>42643</v>
      </c>
      <c r="AH19" s="170">
        <v>4895</v>
      </c>
      <c r="AI19"/>
      <c r="AJ19" s="171">
        <v>0.8</v>
      </c>
      <c r="AK19" s="172">
        <f t="shared" si="3"/>
        <v>6118.75</v>
      </c>
      <c r="AL19"/>
      <c r="AM19" s="172">
        <f t="shared" si="4"/>
        <v>136176</v>
      </c>
      <c r="AN19"/>
      <c r="AO19" s="172">
        <f t="shared" si="5"/>
        <v>170220</v>
      </c>
      <c r="AP19"/>
      <c r="AQ19"/>
      <c r="AR19"/>
      <c r="AS19"/>
      <c r="AT19">
        <v>9066</v>
      </c>
      <c r="AU19">
        <v>761</v>
      </c>
      <c r="AV19" s="173"/>
      <c r="AW19" s="922">
        <v>44825</v>
      </c>
      <c r="AX19" s="921">
        <v>9066</v>
      </c>
      <c r="AY19" s="917"/>
      <c r="AZ19" s="918">
        <v>0.9</v>
      </c>
      <c r="BA19" s="919">
        <f t="shared" si="6"/>
        <v>10073.333333333334</v>
      </c>
      <c r="BB19" s="917"/>
      <c r="BC19" s="919">
        <f t="shared" si="7"/>
        <v>15799</v>
      </c>
      <c r="BD19" s="917"/>
      <c r="BE19" s="919">
        <f t="shared" si="8"/>
        <v>18489.583333333336</v>
      </c>
      <c r="BG19">
        <v>0</v>
      </c>
      <c r="BH19"/>
      <c r="BI19" s="173"/>
      <c r="BJ19" s="922">
        <v>44882</v>
      </c>
      <c r="BK19" s="921">
        <v>0</v>
      </c>
      <c r="BL19" s="917"/>
      <c r="BM19" s="918">
        <v>0.9</v>
      </c>
      <c r="BN19" s="172">
        <f t="shared" si="12"/>
        <v>0</v>
      </c>
      <c r="BO19"/>
      <c r="BP19" s="172">
        <f t="shared" si="13"/>
        <v>98</v>
      </c>
      <c r="BQ19"/>
      <c r="BR19" s="172">
        <f t="shared" si="11"/>
        <v>108.88888888888889</v>
      </c>
    </row>
    <row r="20" spans="1:70" s="8" customFormat="1" ht="18" customHeight="1" x14ac:dyDescent="0.25">
      <c r="A20" s="1">
        <v>2006</v>
      </c>
      <c r="B20" s="6"/>
      <c r="C20" s="6"/>
      <c r="D20" s="6"/>
      <c r="E20" s="6"/>
      <c r="F20" s="6"/>
      <c r="G20" s="6"/>
      <c r="H20" s="6">
        <v>14470</v>
      </c>
      <c r="I20" s="6"/>
      <c r="J20" s="6">
        <v>3659</v>
      </c>
      <c r="K20" s="6"/>
      <c r="L20" s="6"/>
      <c r="M20" s="6"/>
      <c r="N20" s="6">
        <v>69</v>
      </c>
      <c r="O20" s="6"/>
      <c r="P20" s="6">
        <v>2</v>
      </c>
      <c r="Q20" s="6"/>
      <c r="R20" s="6"/>
      <c r="S20" s="6"/>
      <c r="T20" s="1"/>
      <c r="U20" s="1"/>
      <c r="V20" s="1"/>
      <c r="W20" s="1"/>
      <c r="X20" s="12">
        <v>23115</v>
      </c>
      <c r="Y20" s="7" t="s">
        <v>6</v>
      </c>
      <c r="Z20" s="52"/>
      <c r="AB20">
        <f t="shared" si="0"/>
        <v>1.597442985487215</v>
      </c>
      <c r="AC20"/>
      <c r="AD20"/>
      <c r="AE20"/>
      <c r="AF20"/>
      <c r="AG20" s="424">
        <v>42654</v>
      </c>
      <c r="AH20" s="170">
        <v>411</v>
      </c>
      <c r="AI20"/>
      <c r="AJ20" s="171">
        <v>0.9</v>
      </c>
      <c r="AK20" s="172">
        <f t="shared" si="3"/>
        <v>456.66666666666663</v>
      </c>
      <c r="AL20"/>
      <c r="AM20" s="172">
        <f t="shared" si="4"/>
        <v>58366</v>
      </c>
      <c r="AN20"/>
      <c r="AO20" s="172">
        <f t="shared" si="5"/>
        <v>72329.583333333343</v>
      </c>
      <c r="AP20"/>
      <c r="AQ20"/>
      <c r="AR20"/>
      <c r="AS20"/>
      <c r="AT20">
        <v>3421</v>
      </c>
      <c r="AU20">
        <v>390</v>
      </c>
      <c r="AV20" s="173"/>
      <c r="AW20" s="913">
        <v>44830</v>
      </c>
      <c r="AX20" s="914">
        <v>3421</v>
      </c>
      <c r="AY20"/>
      <c r="AZ20" s="171">
        <v>0.9</v>
      </c>
      <c r="BA20" s="172">
        <f t="shared" si="6"/>
        <v>3801.1111111111109</v>
      </c>
      <c r="BB20"/>
      <c r="BC20" s="172">
        <f t="shared" si="7"/>
        <v>62435</v>
      </c>
      <c r="BD20"/>
      <c r="BE20" s="172">
        <f t="shared" si="8"/>
        <v>69372.222222222219</v>
      </c>
      <c r="BG20"/>
      <c r="BH20"/>
      <c r="BI20"/>
      <c r="BJ20" s="424">
        <v>44884</v>
      </c>
      <c r="BK20" s="170">
        <v>0</v>
      </c>
      <c r="BL20"/>
      <c r="BM20" s="171">
        <v>0.9</v>
      </c>
      <c r="BN20" s="172">
        <f t="shared" si="12"/>
        <v>0</v>
      </c>
      <c r="BO20"/>
      <c r="BP20" s="172">
        <f t="shared" si="13"/>
        <v>0</v>
      </c>
      <c r="BQ20"/>
      <c r="BR20" s="172">
        <f t="shared" si="11"/>
        <v>0</v>
      </c>
    </row>
    <row r="21" spans="1:70" s="8" customFormat="1" ht="18" customHeight="1" x14ac:dyDescent="0.25">
      <c r="A21" s="1">
        <v>2007</v>
      </c>
      <c r="B21" s="6"/>
      <c r="C21" s="6"/>
      <c r="D21" s="6"/>
      <c r="E21" s="6">
        <v>473</v>
      </c>
      <c r="F21" s="6">
        <v>4696</v>
      </c>
      <c r="G21" s="6"/>
      <c r="H21" s="6"/>
      <c r="I21" s="6"/>
      <c r="J21" s="6"/>
      <c r="K21" s="6"/>
      <c r="L21" s="6">
        <v>151</v>
      </c>
      <c r="M21" s="6">
        <v>16</v>
      </c>
      <c r="N21" s="6"/>
      <c r="O21" s="6"/>
      <c r="P21" s="6"/>
      <c r="Q21" s="6"/>
      <c r="R21" s="6"/>
      <c r="S21" s="6"/>
      <c r="T21" s="1"/>
      <c r="U21" s="1"/>
      <c r="V21" s="1"/>
      <c r="W21" s="1"/>
      <c r="X21" s="12">
        <v>8765</v>
      </c>
      <c r="Y21" s="7" t="s">
        <v>5</v>
      </c>
      <c r="Z21" s="54">
        <v>15</v>
      </c>
      <c r="AB21">
        <f t="shared" si="0"/>
        <v>1.8664821124361159</v>
      </c>
      <c r="AC21"/>
      <c r="AD21"/>
      <c r="AE21"/>
      <c r="AF21"/>
      <c r="AG21" s="229">
        <v>42689</v>
      </c>
      <c r="AH21" s="170">
        <v>0</v>
      </c>
      <c r="AI21"/>
      <c r="AJ21" s="171">
        <v>0.9</v>
      </c>
      <c r="AK21" s="172">
        <f>AH21/AJ21</f>
        <v>0</v>
      </c>
      <c r="AL21"/>
      <c r="AM21" s="172">
        <f>(AG21-AG20)*(AH21+AH20)</f>
        <v>14385</v>
      </c>
      <c r="AN21"/>
      <c r="AO21" s="172">
        <f>(AG21-AG20)*(AK21+AK20)</f>
        <v>15983.333333333332</v>
      </c>
      <c r="AP21"/>
      <c r="AQ21"/>
      <c r="AR21"/>
      <c r="AS21"/>
      <c r="AT21">
        <v>3409</v>
      </c>
      <c r="AU21">
        <v>2553</v>
      </c>
      <c r="AV21" s="173"/>
      <c r="AW21" s="922">
        <v>44832</v>
      </c>
      <c r="AX21" s="921">
        <v>3409</v>
      </c>
      <c r="AY21" s="917"/>
      <c r="AZ21" s="918">
        <v>0.8</v>
      </c>
      <c r="BA21" s="919">
        <f t="shared" si="6"/>
        <v>4261.25</v>
      </c>
      <c r="BB21" s="917"/>
      <c r="BC21" s="919">
        <f t="shared" si="7"/>
        <v>13660</v>
      </c>
      <c r="BD21" s="917"/>
      <c r="BE21" s="919">
        <f t="shared" si="8"/>
        <v>16124.722222222223</v>
      </c>
      <c r="BG21"/>
      <c r="BH21"/>
      <c r="BI21"/>
      <c r="BJ21" s="424">
        <v>44885</v>
      </c>
      <c r="BK21" s="170">
        <v>0</v>
      </c>
      <c r="BL21"/>
      <c r="BM21" s="171">
        <v>0.9</v>
      </c>
      <c r="BN21" s="172">
        <f t="shared" si="12"/>
        <v>0</v>
      </c>
      <c r="BO21"/>
      <c r="BP21" s="172">
        <f t="shared" si="13"/>
        <v>0</v>
      </c>
      <c r="BQ21"/>
      <c r="BR21" s="172">
        <f t="shared" si="11"/>
        <v>0</v>
      </c>
    </row>
    <row r="22" spans="1:70" s="8" customFormat="1" ht="18" customHeight="1" x14ac:dyDescent="0.25">
      <c r="A22" s="1">
        <v>2008</v>
      </c>
      <c r="B22" s="1"/>
      <c r="C22" s="1"/>
      <c r="D22" s="1"/>
      <c r="E22" s="1"/>
      <c r="F22" s="1"/>
      <c r="G22" s="1">
        <v>3904</v>
      </c>
      <c r="H22" s="1"/>
      <c r="I22" s="1"/>
      <c r="J22" s="1">
        <v>6751</v>
      </c>
      <c r="K22" s="1"/>
      <c r="L22" s="1">
        <v>1039</v>
      </c>
      <c r="M22" s="1">
        <v>48</v>
      </c>
      <c r="N22" s="1"/>
      <c r="O22" s="1"/>
      <c r="P22" s="1"/>
      <c r="Q22" s="1">
        <v>3</v>
      </c>
      <c r="R22" s="1"/>
      <c r="S22" s="1"/>
      <c r="T22" s="1"/>
      <c r="U22" s="1"/>
      <c r="V22" s="1"/>
      <c r="W22" s="1"/>
      <c r="X22" s="1">
        <v>13426</v>
      </c>
      <c r="Y22" s="7" t="s">
        <v>5</v>
      </c>
      <c r="Z22" s="62">
        <v>20</v>
      </c>
      <c r="AB22">
        <f t="shared" si="0"/>
        <v>1.9887424085320693</v>
      </c>
      <c r="AC22"/>
      <c r="AD22"/>
      <c r="AE22"/>
      <c r="AF22" s="165" t="s">
        <v>128</v>
      </c>
      <c r="AG22" s="229">
        <v>42706</v>
      </c>
      <c r="AH22" s="176"/>
      <c r="AI22"/>
      <c r="AJ22" s="177"/>
      <c r="AK22" s="178">
        <v>0</v>
      </c>
      <c r="AL22" s="179"/>
      <c r="AM22" s="172">
        <f>(AG22-AG21)*(AH22+AH21)</f>
        <v>0</v>
      </c>
      <c r="AN22"/>
      <c r="AO22" s="172">
        <f>(AG22-AG21)*(AK22+AK21)</f>
        <v>0</v>
      </c>
      <c r="AP22"/>
      <c r="AQ22"/>
      <c r="AR22"/>
      <c r="AS22"/>
      <c r="AT22">
        <v>940</v>
      </c>
      <c r="AU22">
        <v>1658</v>
      </c>
      <c r="AV22" s="173"/>
      <c r="AW22" s="913">
        <v>44834</v>
      </c>
      <c r="AX22" s="914">
        <v>940</v>
      </c>
      <c r="AY22"/>
      <c r="AZ22" s="171">
        <v>0.9</v>
      </c>
      <c r="BA22" s="172">
        <f t="shared" si="6"/>
        <v>1044.4444444444443</v>
      </c>
      <c r="BB22"/>
      <c r="BC22" s="172">
        <f t="shared" si="7"/>
        <v>8698</v>
      </c>
      <c r="BD22"/>
      <c r="BE22" s="172">
        <f t="shared" si="8"/>
        <v>10611.388888888889</v>
      </c>
      <c r="BG22"/>
      <c r="BH22"/>
      <c r="BI22"/>
      <c r="BJ22" s="424">
        <v>44886</v>
      </c>
      <c r="BK22" s="176"/>
      <c r="BL22"/>
      <c r="BM22" s="177"/>
      <c r="BN22" s="178">
        <v>0</v>
      </c>
      <c r="BO22" s="179"/>
      <c r="BP22" s="172">
        <f t="shared" ref="BP22" si="14">(BJ22-BJ21)*(BK22+BK21)</f>
        <v>0</v>
      </c>
      <c r="BQ22"/>
      <c r="BR22" s="172">
        <f t="shared" si="11"/>
        <v>0</v>
      </c>
    </row>
    <row r="23" spans="1:70" s="8" customFormat="1" ht="18" customHeight="1" x14ac:dyDescent="0.25">
      <c r="A23" s="1">
        <v>2009</v>
      </c>
      <c r="B23" s="1"/>
      <c r="C23" s="1"/>
      <c r="D23" s="1"/>
      <c r="E23" s="1"/>
      <c r="F23" s="1"/>
      <c r="G23" s="1">
        <v>9746</v>
      </c>
      <c r="H23" s="1"/>
      <c r="I23" s="1">
        <v>6430</v>
      </c>
      <c r="J23" s="1">
        <v>4842</v>
      </c>
      <c r="K23" s="1"/>
      <c r="L23" s="1">
        <v>464</v>
      </c>
      <c r="M23" s="1">
        <v>106</v>
      </c>
      <c r="N23" s="1">
        <v>4</v>
      </c>
      <c r="O23" s="1"/>
      <c r="P23" s="1">
        <v>0</v>
      </c>
      <c r="Q23" s="1"/>
      <c r="R23" s="1"/>
      <c r="S23" s="1"/>
      <c r="T23" s="1"/>
      <c r="U23" s="1"/>
      <c r="V23" s="1"/>
      <c r="W23" s="1"/>
      <c r="X23" s="1">
        <v>17000</v>
      </c>
      <c r="Y23" s="7" t="s">
        <v>5</v>
      </c>
      <c r="Z23" s="62">
        <v>25</v>
      </c>
      <c r="AB23">
        <f t="shared" si="0"/>
        <v>1.7443053560435051</v>
      </c>
      <c r="AC23"/>
      <c r="AD23"/>
      <c r="AE23"/>
      <c r="AF23" s="165" t="s">
        <v>2</v>
      </c>
      <c r="AG23" s="167">
        <v>7</v>
      </c>
      <c r="AH23" s="167"/>
      <c r="AI23" s="167"/>
      <c r="AJ23"/>
      <c r="AK23"/>
      <c r="AL23"/>
      <c r="AM23"/>
      <c r="AN23"/>
      <c r="AO23"/>
      <c r="AP23"/>
      <c r="AQ23"/>
      <c r="AR23"/>
      <c r="AS23"/>
      <c r="AT23">
        <v>366</v>
      </c>
      <c r="AU23">
        <v>88</v>
      </c>
      <c r="AV23" s="173"/>
      <c r="AW23" s="913">
        <v>44837</v>
      </c>
      <c r="AX23" s="914">
        <v>366</v>
      </c>
      <c r="AY23"/>
      <c r="AZ23" s="171">
        <v>0.9</v>
      </c>
      <c r="BA23" s="172">
        <f t="shared" si="6"/>
        <v>406.66666666666663</v>
      </c>
      <c r="BB23"/>
      <c r="BC23" s="172">
        <f t="shared" si="7"/>
        <v>3918</v>
      </c>
      <c r="BD23"/>
      <c r="BE23" s="172">
        <f t="shared" si="8"/>
        <v>4353.3333333333321</v>
      </c>
      <c r="BG23"/>
      <c r="BH23"/>
      <c r="BI23" s="165" t="s">
        <v>128</v>
      </c>
      <c r="BJ23" s="167">
        <v>7</v>
      </c>
      <c r="BK23" s="167"/>
      <c r="BL23" s="167"/>
      <c r="BM23"/>
      <c r="BN23"/>
      <c r="BO23"/>
      <c r="BP23"/>
      <c r="BQ23"/>
      <c r="BR23"/>
    </row>
    <row r="24" spans="1:70" s="8" customFormat="1" ht="18" customHeight="1" x14ac:dyDescent="0.25">
      <c r="A24" s="1">
        <v>2010</v>
      </c>
      <c r="B24" s="1"/>
      <c r="C24" s="1"/>
      <c r="D24" s="1"/>
      <c r="E24" s="1"/>
      <c r="F24" s="1"/>
      <c r="G24" s="1"/>
      <c r="H24" s="1">
        <v>8883</v>
      </c>
      <c r="I24" s="1"/>
      <c r="J24" s="1"/>
      <c r="K24" s="1">
        <v>402</v>
      </c>
      <c r="L24" s="1"/>
      <c r="M24" s="1"/>
      <c r="N24" s="1"/>
      <c r="O24" s="1"/>
      <c r="P24" s="1"/>
      <c r="Q24" s="1">
        <v>0</v>
      </c>
      <c r="R24" s="1"/>
      <c r="S24" s="1"/>
      <c r="T24" s="1"/>
      <c r="U24" s="1"/>
      <c r="V24" s="1"/>
      <c r="W24" s="1"/>
      <c r="X24" s="1">
        <v>16962</v>
      </c>
      <c r="Y24" s="7"/>
      <c r="Z24" s="62"/>
      <c r="AA24" s="8">
        <v>3</v>
      </c>
      <c r="AB24">
        <f t="shared" si="0"/>
        <v>1.9094900371496115</v>
      </c>
      <c r="AC24"/>
      <c r="AD24"/>
      <c r="AE24"/>
      <c r="AF24" s="165" t="s">
        <v>129</v>
      </c>
      <c r="AG24" s="167"/>
      <c r="AH24" s="167">
        <f>MAX(AH13:AH22)</f>
        <v>19500</v>
      </c>
      <c r="AI24" s="167"/>
      <c r="AJ24" s="167"/>
      <c r="AK24" s="167">
        <f>MAX(AK13:AK22)</f>
        <v>21666.666666666668</v>
      </c>
      <c r="AL24" s="167"/>
      <c r="AM24" s="167"/>
      <c r="AN24" s="180"/>
      <c r="AO24"/>
      <c r="AP24"/>
      <c r="AQ24"/>
      <c r="AR24"/>
      <c r="AS24"/>
      <c r="AT24">
        <v>186</v>
      </c>
      <c r="AU24">
        <v>716</v>
      </c>
      <c r="AV24" s="173"/>
      <c r="AW24" s="915">
        <v>44845</v>
      </c>
      <c r="AX24" s="916">
        <v>186</v>
      </c>
      <c r="AY24" s="917"/>
      <c r="AZ24" s="918">
        <v>0.75</v>
      </c>
      <c r="BA24" s="919">
        <f t="shared" si="6"/>
        <v>248</v>
      </c>
      <c r="BB24" s="917"/>
      <c r="BC24" s="919">
        <f t="shared" si="7"/>
        <v>4416</v>
      </c>
      <c r="BD24" s="917"/>
      <c r="BE24" s="919">
        <f t="shared" si="8"/>
        <v>5237.333333333333</v>
      </c>
      <c r="BG24"/>
      <c r="BH24"/>
      <c r="BI24" s="165" t="s">
        <v>2</v>
      </c>
      <c r="BJ24" s="167"/>
      <c r="BK24" s="167">
        <f>MAX(BK13:BK22)</f>
        <v>14141</v>
      </c>
      <c r="BL24" s="167"/>
      <c r="BM24" s="167"/>
      <c r="BN24" s="167">
        <f>MAX(BN13:BN22)</f>
        <v>15712.222222222223</v>
      </c>
      <c r="BO24" s="167"/>
      <c r="BP24" s="167"/>
      <c r="BQ24"/>
      <c r="BR24"/>
    </row>
    <row r="25" spans="1:70" s="8" customFormat="1" ht="18" customHeight="1" x14ac:dyDescent="0.25">
      <c r="A25" s="1">
        <v>2011</v>
      </c>
      <c r="B25" s="1"/>
      <c r="C25" s="1"/>
      <c r="D25" s="1"/>
      <c r="E25" s="1"/>
      <c r="F25" s="1"/>
      <c r="G25" s="1"/>
      <c r="H25" s="1"/>
      <c r="I25" s="1"/>
      <c r="J25" s="1">
        <v>11899</v>
      </c>
      <c r="K25" s="1"/>
      <c r="L25" s="1"/>
      <c r="M25" s="1"/>
      <c r="N25" s="1">
        <v>8</v>
      </c>
      <c r="O25" s="1"/>
      <c r="P25" s="1"/>
      <c r="Q25" s="1"/>
      <c r="R25" s="1"/>
      <c r="S25" s="1"/>
      <c r="T25" s="1"/>
      <c r="U25" s="1"/>
      <c r="V25" s="1"/>
      <c r="W25" s="1"/>
      <c r="X25" s="1">
        <v>22800</v>
      </c>
      <c r="Y25" s="7" t="s">
        <v>6</v>
      </c>
      <c r="Z25" s="62"/>
      <c r="AB25">
        <f t="shared" si="0"/>
        <v>1.9161274056643416</v>
      </c>
      <c r="AC25"/>
      <c r="AD25"/>
      <c r="AE25"/>
      <c r="AF25" s="165" t="s">
        <v>130</v>
      </c>
      <c r="AG25" s="167"/>
      <c r="AH25" s="169">
        <v>25</v>
      </c>
      <c r="AI25" s="167"/>
      <c r="AJ25"/>
      <c r="AK25" s="169">
        <v>17</v>
      </c>
      <c r="AP25"/>
      <c r="AQ25"/>
      <c r="AR25"/>
      <c r="AS25"/>
      <c r="AT25">
        <v>200</v>
      </c>
      <c r="AU25">
        <v>1014</v>
      </c>
      <c r="AV25" s="173"/>
      <c r="AW25" s="913">
        <v>44847</v>
      </c>
      <c r="AX25" s="914">
        <v>200</v>
      </c>
      <c r="AY25"/>
      <c r="AZ25" s="171">
        <v>0.9</v>
      </c>
      <c r="BA25" s="172">
        <f t="shared" si="6"/>
        <v>222.22222222222223</v>
      </c>
      <c r="BB25"/>
      <c r="BC25" s="172">
        <f t="shared" si="7"/>
        <v>772</v>
      </c>
      <c r="BD25"/>
      <c r="BE25" s="172">
        <f t="shared" si="8"/>
        <v>940.44444444444446</v>
      </c>
      <c r="BG25"/>
      <c r="BH25"/>
      <c r="BI25" s="165" t="s">
        <v>129</v>
      </c>
      <c r="BJ25" s="167"/>
      <c r="BK25" s="169">
        <v>15</v>
      </c>
      <c r="BL25" s="167"/>
      <c r="BM25"/>
      <c r="BN25" s="169">
        <v>15</v>
      </c>
      <c r="BQ25"/>
      <c r="BR25"/>
    </row>
    <row r="26" spans="1:70" s="8" customFormat="1" ht="18" customHeight="1" x14ac:dyDescent="0.25">
      <c r="A26" s="1">
        <v>2012</v>
      </c>
      <c r="B26" s="1"/>
      <c r="C26" s="1"/>
      <c r="D26" s="1"/>
      <c r="E26" s="140">
        <v>415</v>
      </c>
      <c r="F26" s="89"/>
      <c r="G26" s="141">
        <v>1700</v>
      </c>
      <c r="H26" s="141">
        <v>6287</v>
      </c>
      <c r="I26" s="13"/>
      <c r="J26" s="1"/>
      <c r="K26" s="105">
        <v>1508</v>
      </c>
      <c r="L26" s="105">
        <v>1630</v>
      </c>
      <c r="M26" s="106">
        <v>66</v>
      </c>
      <c r="N26" s="1"/>
      <c r="O26" s="1"/>
      <c r="P26" s="106">
        <v>3</v>
      </c>
      <c r="Q26" s="1"/>
      <c r="R26" s="1"/>
      <c r="S26" s="1"/>
      <c r="T26" s="1"/>
      <c r="U26" s="1"/>
      <c r="V26" s="1"/>
      <c r="W26" s="1"/>
      <c r="X26" s="1">
        <v>6287</v>
      </c>
      <c r="Y26" s="7" t="s">
        <v>9</v>
      </c>
      <c r="Z26" s="62"/>
      <c r="AB26">
        <f t="shared" si="0"/>
        <v>1</v>
      </c>
      <c r="AC26"/>
      <c r="AD26"/>
      <c r="AE26"/>
      <c r="AF26" s="165" t="s">
        <v>131</v>
      </c>
      <c r="AG26" s="167"/>
      <c r="AH26" s="230">
        <f>(0.5*SUM(AM14:AM22))/AH25</f>
        <v>17660.14</v>
      </c>
      <c r="AI26" s="167"/>
      <c r="AJ26"/>
      <c r="AK26" s="230">
        <f>(0.5*SUM(AO14:AO22))/AK25</f>
        <v>29682.205882352944</v>
      </c>
      <c r="AP26"/>
      <c r="AQ26"/>
      <c r="AR26"/>
      <c r="AS26"/>
      <c r="AT26">
        <v>7</v>
      </c>
      <c r="AU26">
        <v>1</v>
      </c>
      <c r="AV26" s="173"/>
      <c r="AW26" s="920">
        <v>44868</v>
      </c>
      <c r="AX26" s="921">
        <v>7</v>
      </c>
      <c r="AY26" s="917"/>
      <c r="AZ26" s="918">
        <v>0.9</v>
      </c>
      <c r="BA26" s="919">
        <f t="shared" si="6"/>
        <v>7.7777777777777777</v>
      </c>
      <c r="BB26" s="917"/>
      <c r="BC26" s="919">
        <f t="shared" si="7"/>
        <v>4347</v>
      </c>
      <c r="BD26" s="917"/>
      <c r="BE26" s="919">
        <f t="shared" si="8"/>
        <v>4830</v>
      </c>
      <c r="BG26"/>
      <c r="BH26"/>
      <c r="BI26" s="165" t="s">
        <v>130</v>
      </c>
      <c r="BJ26" s="167"/>
      <c r="BK26" s="230">
        <f>(0.5*SUM(BP14:BP22))/BK25</f>
        <v>17371.433333333334</v>
      </c>
      <c r="BL26" s="167"/>
      <c r="BM26"/>
      <c r="BN26" s="230">
        <f>(0.5*SUM(BR14:BR31))/BN25</f>
        <v>19351.192592592593</v>
      </c>
      <c r="BQ26"/>
      <c r="BR26"/>
    </row>
    <row r="27" spans="1:70" s="8" customFormat="1" ht="18" customHeight="1" x14ac:dyDescent="0.25">
      <c r="A27" s="1">
        <v>2013</v>
      </c>
      <c r="B27" s="1"/>
      <c r="C27" s="1"/>
      <c r="D27" s="1"/>
      <c r="E27" s="1"/>
      <c r="F27" s="109">
        <v>18762</v>
      </c>
      <c r="G27" s="89"/>
      <c r="H27" s="89"/>
      <c r="I27" s="109">
        <v>37814</v>
      </c>
      <c r="J27" s="89"/>
      <c r="K27" s="109">
        <v>803</v>
      </c>
      <c r="L27" s="1"/>
      <c r="M27" s="109">
        <v>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>
        <v>60760</v>
      </c>
      <c r="Y27" s="7" t="s">
        <v>5</v>
      </c>
      <c r="Z27" s="62">
        <v>25</v>
      </c>
      <c r="AB27">
        <f t="shared" si="0"/>
        <v>1.6068122917437986</v>
      </c>
      <c r="AC27"/>
      <c r="AD27"/>
      <c r="AE27"/>
      <c r="AF27" s="299" t="s">
        <v>5</v>
      </c>
      <c r="AG27"/>
      <c r="AH27">
        <f>0.5*(SUM(AM14:AM22))</f>
        <v>441503.5</v>
      </c>
      <c r="AI27"/>
      <c r="AJ27"/>
      <c r="AK27"/>
      <c r="AL27"/>
      <c r="AM27"/>
      <c r="AN27"/>
      <c r="AO27"/>
      <c r="AP27"/>
      <c r="AQ27"/>
      <c r="AR27"/>
      <c r="AS27"/>
      <c r="AT27">
        <v>0</v>
      </c>
      <c r="AU27"/>
      <c r="AV27" s="173"/>
      <c r="AW27" s="922">
        <v>44882</v>
      </c>
      <c r="AX27" s="921">
        <v>0</v>
      </c>
      <c r="AY27" s="917"/>
      <c r="AZ27" s="918">
        <v>0.9</v>
      </c>
      <c r="BA27" s="919">
        <f t="shared" si="6"/>
        <v>0</v>
      </c>
      <c r="BB27" s="917"/>
      <c r="BC27" s="919">
        <f t="shared" si="7"/>
        <v>98</v>
      </c>
      <c r="BD27" s="917"/>
      <c r="BE27" s="919">
        <f t="shared" si="8"/>
        <v>108.88888888888889</v>
      </c>
      <c r="BG27"/>
      <c r="BH27"/>
      <c r="BI27" s="165" t="s">
        <v>131</v>
      </c>
      <c r="BJ27"/>
      <c r="BK27">
        <f>0.5*(SUM(BP14:BP22))</f>
        <v>260571.5</v>
      </c>
      <c r="BL27"/>
      <c r="BM27"/>
      <c r="BN27"/>
      <c r="BO27"/>
      <c r="BP27"/>
      <c r="BQ27"/>
      <c r="BR27"/>
    </row>
    <row r="28" spans="1:70" s="8" customFormat="1" ht="18" customHeight="1" x14ac:dyDescent="0.25">
      <c r="A28" s="1">
        <v>2014</v>
      </c>
      <c r="B28" s="1"/>
      <c r="C28" s="1"/>
      <c r="D28" s="1"/>
      <c r="E28" s="1"/>
      <c r="F28" s="191">
        <v>0</v>
      </c>
      <c r="G28" s="191">
        <v>19</v>
      </c>
      <c r="H28" s="191">
        <v>22</v>
      </c>
      <c r="I28" s="191">
        <v>6194</v>
      </c>
      <c r="J28" s="106">
        <v>21700</v>
      </c>
      <c r="K28" s="106">
        <v>2685</v>
      </c>
      <c r="L28" s="1"/>
      <c r="M28" s="1"/>
      <c r="N28" s="1"/>
      <c r="O28" s="1"/>
      <c r="P28" s="1"/>
      <c r="Q28" s="106">
        <v>0</v>
      </c>
      <c r="R28" s="1"/>
      <c r="S28" s="1"/>
      <c r="T28" s="1"/>
      <c r="U28" s="1"/>
      <c r="V28" s="1"/>
      <c r="W28" s="1"/>
      <c r="X28" s="1">
        <v>15000</v>
      </c>
      <c r="Y28" s="7" t="s">
        <v>6</v>
      </c>
      <c r="Z28" s="62"/>
      <c r="AB28">
        <f t="shared" si="0"/>
        <v>0.69124423963133641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 s="424">
        <v>44883</v>
      </c>
      <c r="AX28" s="170">
        <v>0</v>
      </c>
      <c r="AY28"/>
      <c r="AZ28" s="171">
        <v>0.8</v>
      </c>
      <c r="BA28" s="172">
        <f t="shared" si="6"/>
        <v>0</v>
      </c>
      <c r="BB28"/>
      <c r="BC28" s="172">
        <f t="shared" si="7"/>
        <v>0</v>
      </c>
      <c r="BD28"/>
      <c r="BE28" s="172">
        <f t="shared" si="8"/>
        <v>0</v>
      </c>
      <c r="BG28"/>
      <c r="BH28"/>
      <c r="BI28" s="299" t="s">
        <v>5</v>
      </c>
      <c r="BJ28"/>
      <c r="BK28"/>
      <c r="BL28"/>
      <c r="BM28"/>
      <c r="BN28"/>
      <c r="BO28"/>
      <c r="BP28"/>
      <c r="BQ28"/>
      <c r="BR28"/>
    </row>
    <row r="29" spans="1:70" s="8" customFormat="1" ht="18" customHeight="1" x14ac:dyDescent="0.25">
      <c r="A29" s="1">
        <v>2015</v>
      </c>
      <c r="B29" s="1"/>
      <c r="C29" s="1"/>
      <c r="D29" s="1"/>
      <c r="E29" s="1">
        <v>0</v>
      </c>
      <c r="F29" s="427">
        <v>17353</v>
      </c>
      <c r="G29" s="1"/>
      <c r="H29" s="343">
        <v>35535</v>
      </c>
      <c r="I29" s="1"/>
      <c r="J29" s="129">
        <v>13721</v>
      </c>
      <c r="K29" s="1"/>
      <c r="L29" s="129">
        <v>55</v>
      </c>
      <c r="M29" s="1"/>
      <c r="N29" s="1">
        <v>16</v>
      </c>
      <c r="O29" s="1">
        <v>1</v>
      </c>
      <c r="P29" s="1"/>
      <c r="Q29" s="1"/>
      <c r="R29" s="1"/>
      <c r="S29" s="1"/>
      <c r="T29" s="1"/>
      <c r="U29" s="1"/>
      <c r="V29" s="1"/>
      <c r="W29" s="1"/>
      <c r="X29" s="1">
        <v>38178</v>
      </c>
      <c r="Y29" s="7" t="s">
        <v>5</v>
      </c>
      <c r="Z29" s="62">
        <v>20</v>
      </c>
      <c r="AB29">
        <f t="shared" si="0"/>
        <v>1.0743773744195864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 s="424">
        <v>44884</v>
      </c>
      <c r="AX29" s="170">
        <v>0</v>
      </c>
      <c r="AY29"/>
      <c r="AZ29" s="171">
        <v>0.9</v>
      </c>
      <c r="BA29" s="172">
        <f t="shared" si="6"/>
        <v>0</v>
      </c>
      <c r="BB29"/>
      <c r="BC29" s="172">
        <f t="shared" si="7"/>
        <v>0</v>
      </c>
      <c r="BD29"/>
      <c r="BE29" s="172">
        <f t="shared" si="8"/>
        <v>0</v>
      </c>
      <c r="BG29"/>
      <c r="BH29"/>
      <c r="BI29"/>
      <c r="BJ29" s="8">
        <v>18623</v>
      </c>
      <c r="BQ29"/>
      <c r="BR29"/>
    </row>
    <row r="30" spans="1:70" s="8" customFormat="1" ht="18" customHeight="1" x14ac:dyDescent="0.25">
      <c r="A30" s="1">
        <v>2016</v>
      </c>
      <c r="B30" s="1"/>
      <c r="C30" s="1"/>
      <c r="D30" s="1"/>
      <c r="E30" s="1"/>
      <c r="F30" s="1"/>
      <c r="G30" s="345">
        <v>17189</v>
      </c>
      <c r="H30" s="343">
        <v>10708</v>
      </c>
      <c r="I30" s="343">
        <v>12126</v>
      </c>
      <c r="J30" s="156">
        <v>4895</v>
      </c>
      <c r="K30" s="1"/>
      <c r="L30" s="156">
        <v>411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30387</v>
      </c>
      <c r="Y30" s="7"/>
      <c r="Z30" s="228">
        <v>17.5</v>
      </c>
      <c r="AB30">
        <f t="shared" si="0"/>
        <v>1.7678166269125604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 s="424">
        <v>44885</v>
      </c>
      <c r="AX30" s="170">
        <v>0</v>
      </c>
      <c r="AY30"/>
      <c r="AZ30" s="171">
        <v>0.9</v>
      </c>
      <c r="BA30" s="172">
        <f t="shared" si="6"/>
        <v>0</v>
      </c>
      <c r="BB30"/>
      <c r="BC30" s="172">
        <f t="shared" si="7"/>
        <v>0</v>
      </c>
      <c r="BD30"/>
      <c r="BE30" s="172">
        <f t="shared" si="8"/>
        <v>0</v>
      </c>
      <c r="BG30"/>
      <c r="BH30"/>
      <c r="BI30" s="8" t="s">
        <v>9</v>
      </c>
      <c r="BJ30" s="8">
        <v>20668</v>
      </c>
      <c r="BQ30"/>
      <c r="BR30"/>
    </row>
    <row r="31" spans="1:70" s="8" customFormat="1" ht="18" customHeight="1" thickBot="1" x14ac:dyDescent="0.3">
      <c r="A31" s="1">
        <v>2017</v>
      </c>
      <c r="B31" s="1"/>
      <c r="C31" s="1"/>
      <c r="D31" s="1"/>
      <c r="E31" s="1"/>
      <c r="F31" s="189">
        <v>3102</v>
      </c>
      <c r="G31" s="343">
        <v>17877</v>
      </c>
      <c r="H31" s="343">
        <v>9245</v>
      </c>
      <c r="I31" s="343">
        <v>3332</v>
      </c>
      <c r="J31" s="343">
        <v>2060</v>
      </c>
      <c r="K31" s="189">
        <v>826</v>
      </c>
      <c r="L31" s="1"/>
      <c r="M31" s="189">
        <v>24</v>
      </c>
      <c r="N31" s="189">
        <v>11</v>
      </c>
      <c r="O31" s="1"/>
      <c r="P31" s="1"/>
      <c r="Q31" s="1"/>
      <c r="R31" s="1"/>
      <c r="S31" s="1"/>
      <c r="T31" s="1"/>
      <c r="U31" s="1"/>
      <c r="V31" s="1"/>
      <c r="W31" s="1"/>
      <c r="X31" s="1">
        <v>23135</v>
      </c>
      <c r="Y31" s="7"/>
      <c r="Z31" s="228">
        <v>15</v>
      </c>
      <c r="AA31" s="8" t="s">
        <v>397</v>
      </c>
      <c r="AB31">
        <f t="shared" si="0"/>
        <v>1.2941209375174805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65" t="s">
        <v>128</v>
      </c>
      <c r="AW31" s="424">
        <v>44886</v>
      </c>
      <c r="AX31" s="176"/>
      <c r="AY31"/>
      <c r="AZ31" s="177"/>
      <c r="BA31" s="178">
        <v>0</v>
      </c>
      <c r="BB31" s="179"/>
      <c r="BC31" s="172">
        <f t="shared" ref="BC31" si="15">(AW31-AW30)*(AX31+AX30)</f>
        <v>0</v>
      </c>
      <c r="BD31"/>
      <c r="BE31" s="172">
        <f t="shared" ref="BE31" si="16">(AW31-AW30)*(BA31+BA30)</f>
        <v>0</v>
      </c>
      <c r="BG31" s="151"/>
      <c r="BH31" s="151"/>
      <c r="BI31" s="8" t="s">
        <v>568</v>
      </c>
      <c r="BJ31" s="2">
        <v>15798</v>
      </c>
      <c r="BK31" s="2"/>
      <c r="BL31" s="2"/>
      <c r="BM31" s="2"/>
      <c r="BN31" s="2"/>
      <c r="BO31" s="2"/>
      <c r="BP31" s="2"/>
      <c r="BQ31"/>
      <c r="BR31"/>
    </row>
    <row r="32" spans="1:70" s="8" customFormat="1" ht="18" customHeight="1" thickBot="1" x14ac:dyDescent="0.25">
      <c r="A32" s="1">
        <v>2018</v>
      </c>
      <c r="B32" s="1"/>
      <c r="C32" s="1"/>
      <c r="D32" s="1"/>
      <c r="E32" s="104" t="s">
        <v>423</v>
      </c>
      <c r="F32" s="106">
        <v>13</v>
      </c>
      <c r="G32" s="345">
        <v>11562</v>
      </c>
      <c r="H32" s="535"/>
      <c r="I32" s="534">
        <v>5021</v>
      </c>
      <c r="J32" s="1"/>
      <c r="K32" s="156">
        <v>128</v>
      </c>
      <c r="L32" s="1"/>
      <c r="M32" s="106">
        <v>9</v>
      </c>
      <c r="N32" s="1"/>
      <c r="O32" s="106">
        <v>6</v>
      </c>
      <c r="P32" s="1"/>
      <c r="Q32" s="1"/>
      <c r="R32" s="1"/>
      <c r="S32" s="1"/>
      <c r="T32" s="1"/>
      <c r="U32" s="1"/>
      <c r="V32" s="1"/>
      <c r="W32" s="1"/>
      <c r="X32" s="1">
        <v>13457</v>
      </c>
      <c r="Y32" s="7"/>
      <c r="Z32" s="228">
        <v>17.5</v>
      </c>
      <c r="AB32">
        <f t="shared" si="0"/>
        <v>1.1638989794153261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65" t="s">
        <v>2</v>
      </c>
      <c r="AW32" s="167">
        <v>7</v>
      </c>
      <c r="AX32" s="167"/>
      <c r="AY32" s="167"/>
      <c r="AZ32"/>
      <c r="BA32"/>
      <c r="BB32"/>
      <c r="BC32"/>
      <c r="BD32"/>
      <c r="BE3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/>
      <c r="BR32"/>
    </row>
    <row r="33" spans="1:70" s="8" customFormat="1" ht="18" customHeight="1" x14ac:dyDescent="0.2">
      <c r="A33" s="1">
        <v>2019</v>
      </c>
      <c r="B33" s="1"/>
      <c r="C33" s="1"/>
      <c r="D33" s="1"/>
      <c r="E33" s="1"/>
      <c r="F33" s="189">
        <v>273</v>
      </c>
      <c r="G33" s="1"/>
      <c r="H33" s="156">
        <v>5668</v>
      </c>
      <c r="I33" s="156">
        <v>1524</v>
      </c>
      <c r="J33" s="536">
        <v>1959</v>
      </c>
      <c r="K33" s="106">
        <v>428</v>
      </c>
      <c r="L33" s="156">
        <v>169</v>
      </c>
      <c r="M33" s="156">
        <v>98</v>
      </c>
      <c r="N33" s="106">
        <v>3</v>
      </c>
      <c r="O33" s="106">
        <v>5</v>
      </c>
      <c r="P33" s="1"/>
      <c r="Q33" s="1"/>
      <c r="R33" s="1"/>
      <c r="S33" s="1"/>
      <c r="T33" s="1"/>
      <c r="U33" s="1"/>
      <c r="V33" s="1"/>
      <c r="W33" s="1"/>
      <c r="X33" s="1">
        <f>5073+4106</f>
        <v>9179</v>
      </c>
      <c r="Y33" s="7"/>
      <c r="Z33" s="228">
        <v>11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65" t="s">
        <v>129</v>
      </c>
      <c r="AW33" s="167"/>
      <c r="AX33" s="167">
        <f>MAX(AX13:AX31)</f>
        <v>18601</v>
      </c>
      <c r="AY33" s="167"/>
      <c r="AZ33" s="167"/>
      <c r="BA33" s="167">
        <f>MAX(BA13:BA31)</f>
        <v>20667.777777777777</v>
      </c>
      <c r="BB33" s="167"/>
      <c r="BC33" s="167"/>
      <c r="BD33" s="180"/>
      <c r="BE33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180"/>
      <c r="BR33"/>
    </row>
    <row r="34" spans="1:70" s="8" customFormat="1" ht="18" customHeight="1" x14ac:dyDescent="0.2">
      <c r="A34" s="1">
        <v>2020</v>
      </c>
      <c r="B34" s="1"/>
      <c r="C34" s="1"/>
      <c r="D34" s="690">
        <f>6700</f>
        <v>6700</v>
      </c>
      <c r="E34" s="691">
        <v>8400</v>
      </c>
      <c r="F34" s="587">
        <f>6196</f>
        <v>6196</v>
      </c>
      <c r="G34" s="156">
        <v>1821</v>
      </c>
      <c r="H34" s="427">
        <v>4918</v>
      </c>
      <c r="I34" s="1"/>
      <c r="J34" s="536">
        <v>570</v>
      </c>
      <c r="K34" s="427">
        <v>49</v>
      </c>
      <c r="L34" s="1"/>
      <c r="M34" s="106">
        <v>10</v>
      </c>
      <c r="N34" s="1"/>
      <c r="O34" s="1"/>
      <c r="P34" s="106">
        <v>4</v>
      </c>
      <c r="Q34" s="1"/>
      <c r="R34" s="1"/>
      <c r="S34" s="1"/>
      <c r="T34" s="1"/>
      <c r="U34" s="1"/>
      <c r="V34" s="1"/>
      <c r="W34" s="1"/>
      <c r="X34" s="1">
        <v>8600</v>
      </c>
      <c r="Y34" s="7" t="s">
        <v>5</v>
      </c>
      <c r="Z34" s="228">
        <v>30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65" t="s">
        <v>130</v>
      </c>
      <c r="AW34" s="167"/>
      <c r="AX34" s="169">
        <v>20</v>
      </c>
      <c r="AY34" s="167"/>
      <c r="AZ34"/>
      <c r="BA34" s="169">
        <v>20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70" s="94" customFormat="1" ht="18" customHeight="1" x14ac:dyDescent="0.2">
      <c r="A35" s="227">
        <v>2021</v>
      </c>
      <c r="B35" s="227"/>
      <c r="C35" s="227"/>
      <c r="D35" s="220"/>
      <c r="E35" s="220"/>
      <c r="F35" s="587">
        <v>388</v>
      </c>
      <c r="G35" s="536">
        <v>6201</v>
      </c>
      <c r="H35" s="536">
        <v>2599</v>
      </c>
      <c r="I35" s="536">
        <v>4844</v>
      </c>
      <c r="J35" s="733"/>
      <c r="K35" s="536">
        <v>1387</v>
      </c>
      <c r="L35" s="227"/>
      <c r="M35" s="536">
        <v>98</v>
      </c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>
        <v>12668</v>
      </c>
      <c r="Y35" s="11"/>
      <c r="Z35" s="497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/>
      <c r="AU35"/>
      <c r="AV35" s="165" t="s">
        <v>131</v>
      </c>
      <c r="AW35" s="167"/>
      <c r="AX35" s="230">
        <f>(0.5*SUM(BC14:BC31))/AX34</f>
        <v>10674.275</v>
      </c>
      <c r="AY35" s="167"/>
      <c r="AZ35"/>
      <c r="BA35" s="230">
        <f>(0.5*SUM(BE14:BE31))/BA34</f>
        <v>12034.878472222221</v>
      </c>
      <c r="BB35" s="8"/>
      <c r="BC35" s="8"/>
      <c r="BD35" s="8"/>
      <c r="BE35" s="8"/>
      <c r="BF35" s="8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8"/>
      <c r="BR35" s="8"/>
    </row>
    <row r="36" spans="1:70" s="94" customFormat="1" ht="18" customHeight="1" x14ac:dyDescent="0.2">
      <c r="A36" s="227">
        <v>2022</v>
      </c>
      <c r="B36" s="227"/>
      <c r="C36" s="227"/>
      <c r="D36" s="220"/>
      <c r="E36" s="220"/>
      <c r="F36" s="220"/>
      <c r="G36" s="536">
        <v>18601</v>
      </c>
      <c r="H36" s="240">
        <v>14141</v>
      </c>
      <c r="I36" s="427">
        <v>9066</v>
      </c>
      <c r="J36" s="156">
        <v>3421</v>
      </c>
      <c r="K36" s="733"/>
      <c r="L36" s="156">
        <v>200</v>
      </c>
      <c r="M36" s="733"/>
      <c r="N36" s="227"/>
      <c r="O36" s="106">
        <v>7</v>
      </c>
      <c r="P36" s="227"/>
      <c r="Q36" s="106">
        <v>0</v>
      </c>
      <c r="R36" s="227"/>
      <c r="S36" s="227"/>
      <c r="T36" s="227"/>
      <c r="U36" s="227"/>
      <c r="V36" s="227"/>
      <c r="W36" s="227"/>
      <c r="X36" s="227"/>
      <c r="Y36" s="11"/>
      <c r="Z36" s="497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/>
      <c r="AU36"/>
      <c r="AV36" s="299" t="s">
        <v>5</v>
      </c>
      <c r="AW36"/>
      <c r="AX36">
        <f>0.5*(SUM(BC14:BC31))</f>
        <v>213485.5</v>
      </c>
      <c r="AY36"/>
      <c r="AZ36"/>
      <c r="BA36"/>
      <c r="BB36"/>
      <c r="BC36"/>
      <c r="BD36"/>
      <c r="BE36"/>
      <c r="BF36" s="8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/>
      <c r="BR36"/>
    </row>
    <row r="37" spans="1:70" s="94" customFormat="1" ht="18" customHeight="1" x14ac:dyDescent="0.2">
      <c r="A37" s="227">
        <v>2023</v>
      </c>
      <c r="B37" s="227"/>
      <c r="C37" s="227"/>
      <c r="D37" s="220"/>
      <c r="E37" s="587">
        <v>7234</v>
      </c>
      <c r="F37" s="588">
        <v>15026</v>
      </c>
      <c r="G37" s="704">
        <v>12918</v>
      </c>
      <c r="H37" s="220"/>
      <c r="I37" s="703">
        <v>4479</v>
      </c>
      <c r="J37" s="220"/>
      <c r="K37" s="704">
        <v>73</v>
      </c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7"/>
      <c r="W37" s="227"/>
      <c r="X37" s="227"/>
      <c r="Y37" s="11"/>
      <c r="Z37" s="497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/>
      <c r="AU37"/>
      <c r="AV37" s="299"/>
      <c r="AW37"/>
      <c r="AX37"/>
      <c r="AY37"/>
      <c r="AZ37"/>
      <c r="BA37"/>
      <c r="BB37"/>
      <c r="BC37"/>
      <c r="BD37"/>
      <c r="BE37"/>
      <c r="BF37" s="8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/>
      <c r="BR37"/>
    </row>
    <row r="38" spans="1:70" s="8" customFormat="1" ht="18" customHeight="1" x14ac:dyDescent="0.2">
      <c r="A38" s="64" t="s">
        <v>17</v>
      </c>
      <c r="B38" s="16"/>
      <c r="C38" s="16">
        <f>AVERAGE(C9:C23)</f>
        <v>0</v>
      </c>
      <c r="D38" s="16">
        <f t="shared" ref="D38:U38" si="17">AVERAGE(D9:D23)</f>
        <v>1</v>
      </c>
      <c r="E38" s="16">
        <f t="shared" si="17"/>
        <v>425.5</v>
      </c>
      <c r="F38" s="16">
        <f t="shared" si="17"/>
        <v>2029.75</v>
      </c>
      <c r="G38" s="16">
        <f t="shared" si="17"/>
        <v>4272.875</v>
      </c>
      <c r="H38" s="16">
        <f t="shared" si="17"/>
        <v>6826.333333333333</v>
      </c>
      <c r="I38" s="16">
        <f t="shared" si="17"/>
        <v>8460.3333333333339</v>
      </c>
      <c r="J38" s="16">
        <f t="shared" si="17"/>
        <v>7573.5</v>
      </c>
      <c r="K38" s="16">
        <f t="shared" si="17"/>
        <v>2925.5</v>
      </c>
      <c r="L38" s="16">
        <f t="shared" si="17"/>
        <v>2234.7777777777778</v>
      </c>
      <c r="M38" s="16">
        <f t="shared" si="17"/>
        <v>52.857142857142854</v>
      </c>
      <c r="N38" s="16">
        <f t="shared" si="17"/>
        <v>18.285714285714285</v>
      </c>
      <c r="O38" s="16">
        <f t="shared" si="17"/>
        <v>19.75</v>
      </c>
      <c r="P38" s="16">
        <f t="shared" si="17"/>
        <v>1</v>
      </c>
      <c r="Q38" s="16">
        <f t="shared" si="17"/>
        <v>3.7142857142857144</v>
      </c>
      <c r="R38" s="16">
        <f t="shared" si="17"/>
        <v>2</v>
      </c>
      <c r="S38" s="16">
        <f t="shared" si="17"/>
        <v>0.5</v>
      </c>
      <c r="T38" s="16">
        <f t="shared" si="17"/>
        <v>0.5</v>
      </c>
      <c r="U38" s="16">
        <f t="shared" si="17"/>
        <v>0</v>
      </c>
      <c r="V38" s="16"/>
      <c r="W38" s="16"/>
      <c r="X38" s="16">
        <f>AVERAGE(X9:X23)</f>
        <v>20277.533333333333</v>
      </c>
      <c r="Y38" s="17"/>
      <c r="Z38" s="16">
        <f>AVERAGE(Z9:Z23)</f>
        <v>17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/>
      <c r="BR38"/>
    </row>
    <row r="39" spans="1:70" ht="18" customHeight="1" x14ac:dyDescent="0.2">
      <c r="A39" s="191" t="s">
        <v>134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AB39">
        <f>4*7.5</f>
        <v>30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8" t="s">
        <v>9</v>
      </c>
      <c r="AW39" s="8">
        <v>18623</v>
      </c>
      <c r="AX39" s="8"/>
      <c r="AY39" s="8"/>
      <c r="AZ39" s="8"/>
      <c r="BA39" s="8"/>
      <c r="BB39" s="8"/>
      <c r="BC39" s="8"/>
      <c r="BD39" s="8"/>
      <c r="BE39" s="8"/>
      <c r="BF39" s="8"/>
      <c r="BQ39" s="8"/>
      <c r="BR39" s="8"/>
    </row>
    <row r="40" spans="1:70" ht="18" customHeight="1" x14ac:dyDescent="0.2">
      <c r="A40" s="1002" t="s">
        <v>648</v>
      </c>
      <c r="B40" s="1003"/>
      <c r="C40" s="1003"/>
      <c r="D40" s="1003"/>
      <c r="E40" s="1003"/>
      <c r="F40" s="1003"/>
      <c r="G40" s="1003"/>
      <c r="H40" s="1003"/>
      <c r="I40" s="100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51"/>
      <c r="AU40" s="151"/>
      <c r="AV40" s="8" t="s">
        <v>568</v>
      </c>
      <c r="AW40" s="8">
        <v>20668</v>
      </c>
      <c r="AX40" s="8"/>
      <c r="AY40" s="8"/>
      <c r="AZ40" s="8"/>
      <c r="BA40" s="8"/>
      <c r="BB40" s="8"/>
      <c r="BC40" s="8"/>
      <c r="BD40" s="8"/>
      <c r="BE40" s="8"/>
      <c r="BF40" s="94"/>
      <c r="BQ40" s="8"/>
      <c r="BR40" s="8"/>
    </row>
    <row r="41" spans="1:70" ht="18" customHeight="1" thickBo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1"/>
      <c r="Z41" s="56">
        <f>1.5*4.5</f>
        <v>6.75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51"/>
      <c r="AU41" s="151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94"/>
    </row>
    <row r="42" spans="1:70" ht="18" customHeight="1" thickTop="1" x14ac:dyDescent="0.2">
      <c r="A42" s="1004" t="s">
        <v>0</v>
      </c>
      <c r="B42" s="1006" t="s">
        <v>1</v>
      </c>
      <c r="C42" s="1006"/>
      <c r="D42" s="1006"/>
      <c r="E42" s="1006"/>
      <c r="F42" s="1006"/>
      <c r="G42" s="1006"/>
      <c r="H42" s="1006"/>
      <c r="I42" s="1006"/>
      <c r="J42" s="1006"/>
      <c r="K42" s="1006"/>
      <c r="L42" s="1006"/>
      <c r="M42" s="1006"/>
      <c r="N42" s="1006"/>
      <c r="O42" s="1006"/>
      <c r="P42" s="1006"/>
      <c r="Q42" s="1006"/>
      <c r="R42" s="1006"/>
      <c r="S42" s="1006"/>
      <c r="T42" s="1006"/>
      <c r="U42" s="1006"/>
      <c r="V42" s="1006"/>
      <c r="W42" s="1006"/>
      <c r="X42" s="1004" t="s">
        <v>2</v>
      </c>
      <c r="Y42" s="1010" t="s">
        <v>3</v>
      </c>
      <c r="Z42" s="1008" t="s">
        <v>4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1:70" ht="18" customHeight="1" x14ac:dyDescent="0.2">
      <c r="A43" s="1005"/>
      <c r="B43" s="18">
        <v>81</v>
      </c>
      <c r="C43" s="18">
        <v>82</v>
      </c>
      <c r="D43" s="18">
        <v>83</v>
      </c>
      <c r="E43" s="18">
        <v>84</v>
      </c>
      <c r="F43" s="18">
        <v>91</v>
      </c>
      <c r="G43" s="18">
        <v>92</v>
      </c>
      <c r="H43" s="18">
        <v>93</v>
      </c>
      <c r="I43" s="18">
        <v>94</v>
      </c>
      <c r="J43" s="18">
        <v>101</v>
      </c>
      <c r="K43" s="18">
        <v>102</v>
      </c>
      <c r="L43" s="18">
        <v>103</v>
      </c>
      <c r="M43" s="18">
        <v>104</v>
      </c>
      <c r="N43" s="18">
        <v>105</v>
      </c>
      <c r="O43" s="18">
        <v>111</v>
      </c>
      <c r="P43" s="18">
        <v>112</v>
      </c>
      <c r="Q43" s="18">
        <v>113</v>
      </c>
      <c r="R43" s="18">
        <v>114</v>
      </c>
      <c r="S43" s="18">
        <v>115</v>
      </c>
      <c r="T43" s="18">
        <v>121</v>
      </c>
      <c r="U43" s="18">
        <v>122</v>
      </c>
      <c r="V43" s="18">
        <v>123</v>
      </c>
      <c r="W43" s="18">
        <v>124</v>
      </c>
      <c r="X43" s="1005"/>
      <c r="Y43" s="1011"/>
      <c r="Z43" s="1009"/>
      <c r="AB43" t="s">
        <v>142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70" ht="18" customHeight="1" x14ac:dyDescent="0.2">
      <c r="A44" s="1">
        <v>1995</v>
      </c>
      <c r="B44" s="6"/>
      <c r="C44" s="6"/>
      <c r="D44" s="6"/>
      <c r="E44" s="6"/>
      <c r="F44" s="6"/>
      <c r="G44" s="6">
        <v>50</v>
      </c>
      <c r="H44" s="6"/>
      <c r="I44" s="6">
        <v>85</v>
      </c>
      <c r="J44" s="6">
        <v>100</v>
      </c>
      <c r="K44" s="6"/>
      <c r="L44" s="6">
        <v>1254</v>
      </c>
      <c r="M44" s="6"/>
      <c r="N44" s="6">
        <v>1105</v>
      </c>
      <c r="O44" s="6"/>
      <c r="P44" s="6"/>
      <c r="Q44" s="6"/>
      <c r="R44" s="6"/>
      <c r="S44" s="6"/>
      <c r="T44" s="13"/>
      <c r="U44" s="13"/>
      <c r="V44" s="13"/>
      <c r="W44" s="13"/>
      <c r="X44" s="29">
        <v>1254</v>
      </c>
      <c r="Y44" s="7" t="s">
        <v>7</v>
      </c>
      <c r="Z44" s="58"/>
      <c r="AB44">
        <f>X44/MAX(B44:W44)</f>
        <v>1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8"/>
      <c r="AW44" s="8"/>
      <c r="AX44" s="8"/>
      <c r="AY44" s="8"/>
      <c r="AZ44" s="8"/>
      <c r="BA44" s="8"/>
      <c r="BB44" s="8"/>
      <c r="BC44" s="8"/>
      <c r="BD44" s="8"/>
      <c r="BE44" s="8"/>
    </row>
    <row r="45" spans="1:70" ht="18" customHeight="1" x14ac:dyDescent="0.2">
      <c r="A45" s="1">
        <v>1996</v>
      </c>
      <c r="B45" s="6"/>
      <c r="C45" s="6"/>
      <c r="D45" s="6"/>
      <c r="E45" s="6"/>
      <c r="F45" s="6">
        <v>168</v>
      </c>
      <c r="G45" s="6"/>
      <c r="H45" s="6">
        <v>757</v>
      </c>
      <c r="I45" s="6">
        <v>1094</v>
      </c>
      <c r="J45" s="6">
        <v>0</v>
      </c>
      <c r="K45" s="6">
        <v>1356</v>
      </c>
      <c r="L45" s="6">
        <v>1625</v>
      </c>
      <c r="M45" s="6"/>
      <c r="N45" s="6">
        <v>1543</v>
      </c>
      <c r="O45" s="6"/>
      <c r="P45" s="6"/>
      <c r="Q45" s="6">
        <v>783</v>
      </c>
      <c r="R45" s="6"/>
      <c r="S45" s="6"/>
      <c r="T45" s="13"/>
      <c r="U45" s="13"/>
      <c r="V45" s="13"/>
      <c r="W45" s="13"/>
      <c r="X45" s="29">
        <v>2167</v>
      </c>
      <c r="Y45" s="7" t="s">
        <v>7</v>
      </c>
      <c r="Z45" s="60"/>
      <c r="AB45">
        <f t="shared" ref="AB45:AB69" si="18">X45/MAX(B45:W45)</f>
        <v>1.3335384615384616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94"/>
      <c r="AW45" s="94"/>
      <c r="AX45" s="94"/>
      <c r="AY45" s="94"/>
      <c r="AZ45" s="94"/>
      <c r="BA45" s="94"/>
      <c r="BB45" s="94"/>
      <c r="BC45" s="94"/>
      <c r="BD45" s="94"/>
      <c r="BE45" s="94"/>
    </row>
    <row r="46" spans="1:70" ht="18" customHeight="1" x14ac:dyDescent="0.2">
      <c r="A46" s="1">
        <v>1997</v>
      </c>
      <c r="B46" s="6"/>
      <c r="C46" s="6"/>
      <c r="D46" s="6">
        <v>0</v>
      </c>
      <c r="E46" s="6"/>
      <c r="F46" s="6">
        <v>77</v>
      </c>
      <c r="G46" s="6"/>
      <c r="H46" s="6">
        <v>88</v>
      </c>
      <c r="I46" s="6">
        <v>152</v>
      </c>
      <c r="J46" s="6"/>
      <c r="K46" s="6"/>
      <c r="L46" s="6">
        <v>312</v>
      </c>
      <c r="M46" s="6">
        <v>353</v>
      </c>
      <c r="N46" s="6"/>
      <c r="O46" s="6">
        <v>123</v>
      </c>
      <c r="P46" s="6">
        <v>226</v>
      </c>
      <c r="Q46" s="6"/>
      <c r="R46" s="6"/>
      <c r="S46" s="6">
        <v>31</v>
      </c>
      <c r="T46" s="13"/>
      <c r="U46" s="13"/>
      <c r="V46" s="13"/>
      <c r="W46" s="13"/>
      <c r="X46" s="29">
        <v>658</v>
      </c>
      <c r="Y46" s="7" t="s">
        <v>5</v>
      </c>
      <c r="Z46" s="58">
        <v>35</v>
      </c>
      <c r="AB46">
        <f t="shared" si="18"/>
        <v>1.8640226628895185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94"/>
      <c r="AW46" s="94"/>
      <c r="AX46" s="94"/>
      <c r="AY46" s="94"/>
      <c r="AZ46" s="94"/>
      <c r="BA46" s="94"/>
      <c r="BB46" s="94"/>
      <c r="BC46" s="94"/>
      <c r="BD46" s="94"/>
      <c r="BE46" s="94"/>
    </row>
    <row r="47" spans="1:70" ht="18" customHeight="1" x14ac:dyDescent="0.2">
      <c r="A47" s="1">
        <v>1998</v>
      </c>
      <c r="B47" s="6"/>
      <c r="C47" s="6">
        <v>0</v>
      </c>
      <c r="D47" s="6"/>
      <c r="E47" s="6"/>
      <c r="F47" s="6"/>
      <c r="G47" s="6"/>
      <c r="H47" s="6">
        <v>15</v>
      </c>
      <c r="I47" s="6"/>
      <c r="J47" s="6"/>
      <c r="K47" s="6">
        <v>64</v>
      </c>
      <c r="L47" s="6"/>
      <c r="M47" s="6">
        <v>877</v>
      </c>
      <c r="N47" s="6"/>
      <c r="O47" s="6">
        <v>684</v>
      </c>
      <c r="P47" s="6"/>
      <c r="Q47" s="6">
        <v>137</v>
      </c>
      <c r="R47" s="6"/>
      <c r="S47" s="6">
        <v>144</v>
      </c>
      <c r="T47" s="13"/>
      <c r="U47" s="13"/>
      <c r="V47" s="13"/>
      <c r="W47" s="13"/>
      <c r="X47" s="29">
        <v>1645</v>
      </c>
      <c r="Y47" s="7" t="s">
        <v>5</v>
      </c>
      <c r="Z47" s="58">
        <v>35</v>
      </c>
      <c r="AB47">
        <f t="shared" si="18"/>
        <v>1.8757126567844926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8"/>
      <c r="AW47" s="8"/>
      <c r="AX47" s="8"/>
      <c r="AY47" s="8"/>
      <c r="AZ47" s="8"/>
      <c r="BA47" s="8"/>
      <c r="BB47" s="8"/>
      <c r="BC47" s="8"/>
      <c r="BD47" s="8"/>
      <c r="BE47" s="8"/>
    </row>
    <row r="48" spans="1:70" ht="18" customHeight="1" x14ac:dyDescent="0.2">
      <c r="A48" s="1">
        <v>1999</v>
      </c>
      <c r="B48" s="6"/>
      <c r="C48" s="6"/>
      <c r="D48" s="6"/>
      <c r="E48" s="6"/>
      <c r="F48" s="6"/>
      <c r="G48" s="6">
        <v>254</v>
      </c>
      <c r="H48" s="6"/>
      <c r="I48" s="6"/>
      <c r="J48" s="6">
        <v>93</v>
      </c>
      <c r="K48" s="6">
        <v>275</v>
      </c>
      <c r="L48" s="6"/>
      <c r="M48" s="6">
        <v>605</v>
      </c>
      <c r="N48" s="6"/>
      <c r="O48" s="6">
        <v>656</v>
      </c>
      <c r="P48" s="6"/>
      <c r="Q48" s="6">
        <v>200</v>
      </c>
      <c r="R48" s="6"/>
      <c r="S48" s="6"/>
      <c r="T48" s="13"/>
      <c r="U48" s="13">
        <v>40</v>
      </c>
      <c r="V48" s="13"/>
      <c r="W48" s="13"/>
      <c r="X48" s="29">
        <v>1094</v>
      </c>
      <c r="Y48" s="7" t="s">
        <v>5</v>
      </c>
      <c r="Z48" s="58">
        <v>35</v>
      </c>
      <c r="AB48">
        <f t="shared" si="18"/>
        <v>1.6676829268292683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BJ48" s="55"/>
      <c r="BK48" s="55"/>
      <c r="BL48" s="55"/>
      <c r="BM48" s="55"/>
      <c r="BN48" s="55"/>
      <c r="BO48" s="55"/>
      <c r="BP48" s="55"/>
    </row>
    <row r="49" spans="1:68" ht="18" customHeight="1" x14ac:dyDescent="0.2">
      <c r="A49" s="1">
        <v>2000</v>
      </c>
      <c r="B49" s="6"/>
      <c r="C49" s="6"/>
      <c r="D49" s="6"/>
      <c r="E49" s="6"/>
      <c r="F49" s="6"/>
      <c r="G49" s="6">
        <v>99</v>
      </c>
      <c r="H49" s="6">
        <v>887</v>
      </c>
      <c r="I49" s="6">
        <v>1143</v>
      </c>
      <c r="J49" s="6"/>
      <c r="K49" s="6">
        <v>2358</v>
      </c>
      <c r="L49" s="6">
        <v>2934</v>
      </c>
      <c r="M49" s="6"/>
      <c r="N49" s="6">
        <v>3724</v>
      </c>
      <c r="O49" s="6"/>
      <c r="P49" s="6">
        <v>2551</v>
      </c>
      <c r="Q49" s="6"/>
      <c r="R49" s="6">
        <v>2365</v>
      </c>
      <c r="S49" s="6"/>
      <c r="T49" s="13">
        <v>754</v>
      </c>
      <c r="U49" s="13"/>
      <c r="V49" s="13"/>
      <c r="W49" s="13"/>
      <c r="X49" s="29">
        <v>10339</v>
      </c>
      <c r="Y49" s="7" t="s">
        <v>5</v>
      </c>
      <c r="Z49" s="58">
        <v>30</v>
      </c>
      <c r="AB49">
        <f t="shared" si="18"/>
        <v>2.7763157894736841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BG49" s="55"/>
      <c r="BH49" s="55"/>
      <c r="BI49" s="55"/>
    </row>
    <row r="50" spans="1:68" ht="18" customHeight="1" x14ac:dyDescent="0.2">
      <c r="A50" s="1">
        <v>2001</v>
      </c>
      <c r="B50" s="6"/>
      <c r="C50" s="6"/>
      <c r="D50" s="6"/>
      <c r="E50" s="6">
        <v>376</v>
      </c>
      <c r="F50" s="6"/>
      <c r="G50" s="6">
        <v>984</v>
      </c>
      <c r="H50" s="6"/>
      <c r="I50" s="6"/>
      <c r="J50" s="6">
        <v>3567</v>
      </c>
      <c r="K50" s="6"/>
      <c r="L50" s="6">
        <v>4747</v>
      </c>
      <c r="M50" s="6"/>
      <c r="N50" s="6">
        <v>8941</v>
      </c>
      <c r="O50" s="6"/>
      <c r="P50" s="6"/>
      <c r="Q50" s="6">
        <v>3872</v>
      </c>
      <c r="R50" s="6">
        <v>4101</v>
      </c>
      <c r="S50" s="6"/>
      <c r="T50" s="13">
        <v>1185</v>
      </c>
      <c r="U50" s="13"/>
      <c r="V50" s="13"/>
      <c r="W50" s="13"/>
      <c r="X50" s="29">
        <v>10445</v>
      </c>
      <c r="Y50" s="7" t="s">
        <v>5</v>
      </c>
      <c r="Z50" s="58">
        <v>45</v>
      </c>
      <c r="AB50">
        <f t="shared" si="18"/>
        <v>1.1682138463259144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68" ht="18" customHeight="1" x14ac:dyDescent="0.2">
      <c r="A51" s="1">
        <v>2002</v>
      </c>
      <c r="B51" s="6"/>
      <c r="C51" s="6"/>
      <c r="D51" s="6"/>
      <c r="E51" s="6"/>
      <c r="F51" s="6"/>
      <c r="G51" s="6">
        <v>24</v>
      </c>
      <c r="H51" s="6"/>
      <c r="I51" s="6">
        <v>1107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13"/>
      <c r="U51" s="13"/>
      <c r="V51" s="13"/>
      <c r="W51" s="13"/>
      <c r="X51" s="29">
        <v>10051</v>
      </c>
      <c r="Y51" s="7" t="s">
        <v>7</v>
      </c>
      <c r="Z51" s="60"/>
      <c r="AB51">
        <f t="shared" si="18"/>
        <v>9.0794941282746162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68" ht="18" customHeight="1" x14ac:dyDescent="0.2">
      <c r="A52" s="1">
        <v>2003</v>
      </c>
      <c r="B52" s="6"/>
      <c r="C52" s="6"/>
      <c r="D52" s="6"/>
      <c r="E52" s="6"/>
      <c r="F52" s="6">
        <v>191</v>
      </c>
      <c r="G52" s="6">
        <v>316</v>
      </c>
      <c r="H52" s="6"/>
      <c r="I52" s="6"/>
      <c r="J52" s="6">
        <v>894</v>
      </c>
      <c r="K52" s="6">
        <v>386</v>
      </c>
      <c r="L52" s="6"/>
      <c r="M52" s="6"/>
      <c r="N52" s="6">
        <v>3405</v>
      </c>
      <c r="O52" s="6"/>
      <c r="P52" s="6"/>
      <c r="Q52" s="6">
        <v>649</v>
      </c>
      <c r="R52" s="6"/>
      <c r="S52" s="6"/>
      <c r="T52" s="13"/>
      <c r="U52" s="13"/>
      <c r="V52" s="13"/>
      <c r="W52" s="13"/>
      <c r="X52" s="29">
        <v>4851</v>
      </c>
      <c r="Y52" s="7" t="s">
        <v>5</v>
      </c>
      <c r="Z52" s="58">
        <v>24</v>
      </c>
      <c r="AB52">
        <f t="shared" si="18"/>
        <v>1.424669603524229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68" ht="18" customHeight="1" x14ac:dyDescent="0.2">
      <c r="A53" s="1">
        <v>2004</v>
      </c>
      <c r="B53" s="6"/>
      <c r="C53" s="6"/>
      <c r="D53" s="6"/>
      <c r="E53" s="6"/>
      <c r="F53" s="6"/>
      <c r="G53" s="6"/>
      <c r="H53" s="6"/>
      <c r="I53" s="6"/>
      <c r="J53" s="6">
        <v>1868</v>
      </c>
      <c r="K53" s="6"/>
      <c r="L53" s="6"/>
      <c r="M53" s="6"/>
      <c r="N53" s="6"/>
      <c r="O53" s="6"/>
      <c r="P53" s="6"/>
      <c r="Q53" s="6"/>
      <c r="R53" s="6"/>
      <c r="S53" s="6"/>
      <c r="T53" s="13"/>
      <c r="U53" s="13"/>
      <c r="V53" s="13"/>
      <c r="W53" s="13"/>
      <c r="X53" s="21"/>
      <c r="Y53" s="7" t="s">
        <v>9</v>
      </c>
      <c r="Z53" s="59"/>
      <c r="AB53">
        <f t="shared" si="18"/>
        <v>0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68" ht="18" customHeight="1" x14ac:dyDescent="0.2">
      <c r="A54" s="1">
        <v>2005</v>
      </c>
      <c r="B54" s="6"/>
      <c r="C54" s="6"/>
      <c r="D54" s="6"/>
      <c r="E54" s="6"/>
      <c r="F54" s="6"/>
      <c r="G54" s="6"/>
      <c r="H54" s="6">
        <v>24</v>
      </c>
      <c r="I54" s="6"/>
      <c r="J54" s="6">
        <v>165</v>
      </c>
      <c r="K54" s="6">
        <v>1037</v>
      </c>
      <c r="L54" s="6"/>
      <c r="M54" s="6">
        <v>1461</v>
      </c>
      <c r="N54" s="6"/>
      <c r="O54" s="6">
        <v>1056</v>
      </c>
      <c r="P54" s="6"/>
      <c r="Q54" s="6">
        <v>444</v>
      </c>
      <c r="R54" s="6"/>
      <c r="S54" s="6"/>
      <c r="T54" s="13">
        <v>296</v>
      </c>
      <c r="U54" s="13"/>
      <c r="V54" s="13"/>
      <c r="W54" s="13"/>
      <c r="X54" s="29">
        <v>1978</v>
      </c>
      <c r="Y54" s="7" t="s">
        <v>5</v>
      </c>
      <c r="Z54" s="60">
        <v>37.5</v>
      </c>
      <c r="AB54">
        <f t="shared" si="18"/>
        <v>1.353867214236824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68" ht="18" customHeight="1" x14ac:dyDescent="0.2">
      <c r="A55" s="1">
        <v>2006</v>
      </c>
      <c r="B55" s="6"/>
      <c r="C55" s="6"/>
      <c r="D55" s="6"/>
      <c r="E55" s="6"/>
      <c r="F55" s="6"/>
      <c r="G55" s="6"/>
      <c r="H55" s="6">
        <v>1022</v>
      </c>
      <c r="I55" s="6"/>
      <c r="J55" s="6">
        <v>2125</v>
      </c>
      <c r="K55" s="6"/>
      <c r="L55" s="6"/>
      <c r="M55" s="6"/>
      <c r="N55" s="6">
        <v>1657</v>
      </c>
      <c r="O55" s="6"/>
      <c r="P55" s="6">
        <v>580</v>
      </c>
      <c r="Q55" s="6"/>
      <c r="R55" s="6"/>
      <c r="S55" s="6"/>
      <c r="T55" s="13"/>
      <c r="U55" s="13"/>
      <c r="V55" s="13"/>
      <c r="W55" s="13"/>
      <c r="X55" s="30">
        <v>2681</v>
      </c>
      <c r="Y55" s="7" t="s">
        <v>5</v>
      </c>
      <c r="Z55" s="60">
        <v>37.5</v>
      </c>
      <c r="AB55">
        <f t="shared" si="18"/>
        <v>1.2616470588235293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68" ht="18" customHeight="1" x14ac:dyDescent="0.2">
      <c r="A56" s="1">
        <v>2007</v>
      </c>
      <c r="B56" s="6"/>
      <c r="C56" s="6"/>
      <c r="D56" s="6"/>
      <c r="E56" s="6">
        <v>65</v>
      </c>
      <c r="F56" s="6">
        <v>609</v>
      </c>
      <c r="G56" s="6"/>
      <c r="H56" s="6"/>
      <c r="I56" s="6"/>
      <c r="J56" s="6"/>
      <c r="K56" s="6"/>
      <c r="L56" s="6">
        <v>735</v>
      </c>
      <c r="M56" s="6">
        <v>789</v>
      </c>
      <c r="N56" s="6"/>
      <c r="O56" s="6"/>
      <c r="P56" s="6"/>
      <c r="Q56" s="6"/>
      <c r="R56" s="6"/>
      <c r="S56" s="6"/>
      <c r="T56" s="13"/>
      <c r="U56" s="13"/>
      <c r="V56" s="13"/>
      <c r="W56" s="13"/>
      <c r="X56" s="30">
        <v>1207</v>
      </c>
      <c r="Y56" s="7" t="s">
        <v>5</v>
      </c>
      <c r="Z56" s="60">
        <v>40</v>
      </c>
      <c r="AB56">
        <f t="shared" si="18"/>
        <v>1.5297845373891001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68" s="55" customFormat="1" ht="18" customHeight="1" x14ac:dyDescent="0.2">
      <c r="A57" s="13">
        <v>2008</v>
      </c>
      <c r="B57" s="13"/>
      <c r="C57" s="13"/>
      <c r="D57" s="13"/>
      <c r="E57" s="13"/>
      <c r="F57" s="13"/>
      <c r="G57" s="13">
        <v>909</v>
      </c>
      <c r="H57" s="13"/>
      <c r="I57" s="13">
        <v>1137</v>
      </c>
      <c r="J57" s="13">
        <v>634</v>
      </c>
      <c r="K57" s="13"/>
      <c r="L57" s="13">
        <v>2555</v>
      </c>
      <c r="M57" s="13">
        <v>2186</v>
      </c>
      <c r="N57" s="13"/>
      <c r="O57" s="13"/>
      <c r="P57" s="13"/>
      <c r="Q57" s="13">
        <v>799</v>
      </c>
      <c r="R57" s="13"/>
      <c r="S57" s="13"/>
      <c r="T57" s="13"/>
      <c r="U57" s="13"/>
      <c r="V57" s="13"/>
      <c r="W57" s="13"/>
      <c r="X57" s="29">
        <v>3217</v>
      </c>
      <c r="Y57" s="7" t="s">
        <v>5</v>
      </c>
      <c r="Z57" s="58">
        <v>37.5</v>
      </c>
      <c r="AB57">
        <f t="shared" si="18"/>
        <v>1.2590998043052837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8" customHeight="1" x14ac:dyDescent="0.2">
      <c r="A58" s="13">
        <v>2009</v>
      </c>
      <c r="B58" s="13"/>
      <c r="C58" s="13"/>
      <c r="D58" s="13"/>
      <c r="E58" s="13"/>
      <c r="F58" s="13"/>
      <c r="G58" s="13">
        <v>856</v>
      </c>
      <c r="H58" s="13"/>
      <c r="I58" s="13">
        <v>1465</v>
      </c>
      <c r="J58" s="13">
        <v>1779</v>
      </c>
      <c r="K58" s="13"/>
      <c r="L58" s="13">
        <v>2476</v>
      </c>
      <c r="M58" s="13">
        <v>2684</v>
      </c>
      <c r="N58" s="13">
        <v>3500</v>
      </c>
      <c r="O58" s="13"/>
      <c r="P58" s="13">
        <v>1254</v>
      </c>
      <c r="Q58" s="13"/>
      <c r="R58" s="13"/>
      <c r="S58" s="13"/>
      <c r="T58" s="13"/>
      <c r="U58" s="13"/>
      <c r="V58" s="13"/>
      <c r="W58" s="13"/>
      <c r="X58" s="29">
        <v>4825</v>
      </c>
      <c r="Y58" s="7" t="s">
        <v>5</v>
      </c>
      <c r="Z58" s="58">
        <v>40</v>
      </c>
      <c r="AB58">
        <f t="shared" si="18"/>
        <v>1.3785714285714286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68" ht="18" customHeight="1" x14ac:dyDescent="0.2">
      <c r="A59" s="13">
        <v>2010</v>
      </c>
      <c r="B59" s="13"/>
      <c r="C59" s="13"/>
      <c r="D59" s="13"/>
      <c r="E59" s="13"/>
      <c r="F59" s="13"/>
      <c r="G59" s="13"/>
      <c r="H59" s="13">
        <v>123</v>
      </c>
      <c r="I59" s="13"/>
      <c r="J59" s="13"/>
      <c r="K59" s="13">
        <v>868</v>
      </c>
      <c r="L59" s="13"/>
      <c r="M59" s="13"/>
      <c r="N59" s="13"/>
      <c r="O59" s="13"/>
      <c r="P59" s="13"/>
      <c r="Q59" s="13">
        <v>1299</v>
      </c>
      <c r="R59" s="13"/>
      <c r="S59" s="13"/>
      <c r="T59" s="13"/>
      <c r="U59" s="13"/>
      <c r="V59" s="13"/>
      <c r="W59" s="13"/>
      <c r="X59" s="29">
        <v>2246</v>
      </c>
      <c r="Y59" s="7"/>
      <c r="Z59" s="58"/>
      <c r="AB59">
        <f t="shared" si="18"/>
        <v>1.729022324865281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68" ht="18" customHeight="1" x14ac:dyDescent="0.2">
      <c r="A60" s="13">
        <v>2011</v>
      </c>
      <c r="B60" s="13"/>
      <c r="C60" s="13"/>
      <c r="D60" s="13"/>
      <c r="E60" s="13"/>
      <c r="F60" s="13"/>
      <c r="G60" s="13"/>
      <c r="H60" s="13"/>
      <c r="I60" s="13"/>
      <c r="J60" s="13">
        <v>2307</v>
      </c>
      <c r="K60" s="13"/>
      <c r="L60" s="13"/>
      <c r="M60" s="13"/>
      <c r="N60" s="13">
        <v>2020</v>
      </c>
      <c r="O60" s="13"/>
      <c r="P60" s="13"/>
      <c r="Q60" s="13"/>
      <c r="R60" s="13"/>
      <c r="S60" s="13"/>
      <c r="T60" s="13"/>
      <c r="U60" s="13"/>
      <c r="V60" s="13"/>
      <c r="W60" s="13"/>
      <c r="X60" s="29">
        <v>2300</v>
      </c>
      <c r="Y60" s="7" t="s">
        <v>9</v>
      </c>
      <c r="Z60" s="58"/>
      <c r="AB60">
        <f t="shared" si="18"/>
        <v>0.99696575639358476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68" ht="18" customHeight="1" x14ac:dyDescent="0.2">
      <c r="A61" s="13">
        <v>2012</v>
      </c>
      <c r="B61" s="13"/>
      <c r="C61" s="13"/>
      <c r="D61" s="13"/>
      <c r="E61" s="13"/>
      <c r="F61" s="104">
        <v>2</v>
      </c>
      <c r="G61" s="104">
        <v>8</v>
      </c>
      <c r="H61" s="104">
        <v>20</v>
      </c>
      <c r="I61" s="1"/>
      <c r="J61" s="1"/>
      <c r="K61" s="105">
        <v>20</v>
      </c>
      <c r="L61" s="105">
        <v>25</v>
      </c>
      <c r="M61" s="106">
        <v>1739</v>
      </c>
      <c r="N61" s="1"/>
      <c r="O61" s="1"/>
      <c r="P61" s="106">
        <v>1496</v>
      </c>
      <c r="Q61" s="13"/>
      <c r="R61" s="13"/>
      <c r="S61" s="13"/>
      <c r="T61" s="13"/>
      <c r="U61" s="13"/>
      <c r="V61" s="13"/>
      <c r="W61" s="13"/>
      <c r="X61" s="29">
        <v>2789</v>
      </c>
      <c r="Y61" s="7"/>
      <c r="Z61" s="58"/>
      <c r="AB61">
        <f t="shared" si="18"/>
        <v>1.6037952846463486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BF61" s="55"/>
      <c r="BJ61" s="150"/>
      <c r="BK61" s="150"/>
      <c r="BL61" s="150"/>
      <c r="BM61" s="150"/>
      <c r="BN61" s="150"/>
      <c r="BO61" s="150"/>
      <c r="BP61" s="150"/>
    </row>
    <row r="62" spans="1:68" ht="18" customHeight="1" x14ac:dyDescent="0.2">
      <c r="A62" s="13">
        <v>2013</v>
      </c>
      <c r="B62" s="13"/>
      <c r="C62" s="13"/>
      <c r="D62" s="13"/>
      <c r="E62" s="89"/>
      <c r="F62" s="109">
        <v>146</v>
      </c>
      <c r="G62" s="89"/>
      <c r="H62" s="89"/>
      <c r="I62" s="109">
        <v>510</v>
      </c>
      <c r="J62" s="89"/>
      <c r="K62" s="109">
        <v>1505</v>
      </c>
      <c r="L62" s="89"/>
      <c r="M62" s="109">
        <v>1415</v>
      </c>
      <c r="N62" s="13"/>
      <c r="O62" s="13"/>
      <c r="Q62" s="13"/>
      <c r="R62" s="13"/>
      <c r="S62" s="13"/>
      <c r="T62" s="13"/>
      <c r="U62" s="13"/>
      <c r="V62" s="13"/>
      <c r="W62" s="13"/>
      <c r="X62" s="29">
        <v>2328</v>
      </c>
      <c r="Y62" s="7" t="s">
        <v>5</v>
      </c>
      <c r="Z62" s="58">
        <v>35</v>
      </c>
      <c r="AB62">
        <f t="shared" si="18"/>
        <v>1.546843853820598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BG62" s="150"/>
      <c r="BH62" s="150"/>
      <c r="BI62" s="150"/>
      <c r="BJ62" s="150"/>
      <c r="BK62" s="150"/>
      <c r="BL62" s="150"/>
      <c r="BM62" s="150"/>
      <c r="BN62" s="150"/>
      <c r="BO62" s="150"/>
      <c r="BP62" s="150"/>
    </row>
    <row r="63" spans="1:68" ht="18" customHeight="1" x14ac:dyDescent="0.2">
      <c r="A63" s="13">
        <v>2014</v>
      </c>
      <c r="B63" s="13"/>
      <c r="C63" s="13"/>
      <c r="D63" s="13"/>
      <c r="E63" s="89"/>
      <c r="F63" s="89"/>
      <c r="G63" s="89"/>
      <c r="H63" s="89"/>
      <c r="I63" s="89"/>
      <c r="J63" s="109">
        <v>803</v>
      </c>
      <c r="K63" s="109">
        <v>1169</v>
      </c>
      <c r="L63" s="89"/>
      <c r="M63" s="89"/>
      <c r="N63" s="89"/>
      <c r="O63" s="89"/>
      <c r="P63" s="109">
        <v>323</v>
      </c>
      <c r="Q63" s="13"/>
      <c r="R63" s="13"/>
      <c r="S63" s="13"/>
      <c r="T63" s="13"/>
      <c r="U63" s="13"/>
      <c r="V63" s="13"/>
      <c r="W63" s="13"/>
      <c r="X63" s="29">
        <v>1798</v>
      </c>
      <c r="Y63" s="7" t="s">
        <v>9</v>
      </c>
      <c r="Z63" s="58"/>
      <c r="AB63">
        <f t="shared" si="18"/>
        <v>1.5380667236954662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BG63" s="150"/>
      <c r="BH63" s="150"/>
      <c r="BI63" s="150"/>
    </row>
    <row r="64" spans="1:68" ht="18" customHeight="1" x14ac:dyDescent="0.2">
      <c r="A64" s="13">
        <v>2015</v>
      </c>
      <c r="B64" s="13"/>
      <c r="C64" s="13"/>
      <c r="D64" s="13"/>
      <c r="E64" s="89"/>
      <c r="F64" s="189">
        <v>251</v>
      </c>
      <c r="G64" s="220"/>
      <c r="H64" s="189">
        <v>603</v>
      </c>
      <c r="I64" s="221"/>
      <c r="J64" s="189">
        <v>1611</v>
      </c>
      <c r="K64" s="221"/>
      <c r="L64" s="189">
        <v>566</v>
      </c>
      <c r="M64" s="221"/>
      <c r="N64" s="345">
        <v>454</v>
      </c>
      <c r="O64" s="343">
        <v>358</v>
      </c>
      <c r="P64" s="89"/>
      <c r="Q64" s="89"/>
      <c r="R64" s="13"/>
      <c r="S64" s="13"/>
      <c r="T64" s="13"/>
      <c r="U64" s="13"/>
      <c r="V64" s="13"/>
      <c r="W64" s="13"/>
      <c r="X64" s="29">
        <v>2039</v>
      </c>
      <c r="Y64" s="7" t="s">
        <v>5</v>
      </c>
      <c r="Z64" s="58">
        <v>30</v>
      </c>
      <c r="AB64">
        <f t="shared" si="18"/>
        <v>1.265673494723774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68" ht="18" customHeight="1" x14ac:dyDescent="0.2">
      <c r="A65" s="13">
        <v>2016</v>
      </c>
      <c r="B65" s="13"/>
      <c r="C65" s="13"/>
      <c r="D65" s="13"/>
      <c r="E65" s="89"/>
      <c r="F65" s="89"/>
      <c r="G65" s="189">
        <v>47</v>
      </c>
      <c r="H65" s="189">
        <v>97</v>
      </c>
      <c r="I65" s="189">
        <v>624</v>
      </c>
      <c r="J65" s="109">
        <v>443</v>
      </c>
      <c r="K65" s="89"/>
      <c r="L65" s="109">
        <v>946</v>
      </c>
      <c r="M65" s="89"/>
      <c r="N65" s="89"/>
      <c r="O65" s="89"/>
      <c r="P65" s="89"/>
      <c r="Q65" s="89"/>
      <c r="R65" s="89"/>
      <c r="S65" s="89"/>
      <c r="T65" s="89"/>
      <c r="U65" s="89"/>
      <c r="V65" s="13"/>
      <c r="W65" s="13"/>
      <c r="X65" s="29">
        <v>1288</v>
      </c>
      <c r="Y65" s="7"/>
      <c r="Z65" s="58">
        <v>35</v>
      </c>
      <c r="AB65">
        <f t="shared" si="18"/>
        <v>1.3615221987315012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68" ht="18" customHeight="1" x14ac:dyDescent="0.2">
      <c r="A66" s="13">
        <v>2017</v>
      </c>
      <c r="B66" s="13"/>
      <c r="C66" s="13"/>
      <c r="D66" s="13"/>
      <c r="E66" s="89"/>
      <c r="F66" s="189">
        <v>17</v>
      </c>
      <c r="G66" s="189">
        <v>263</v>
      </c>
      <c r="H66" s="189">
        <v>526</v>
      </c>
      <c r="I66" s="189">
        <v>1203</v>
      </c>
      <c r="J66" s="189">
        <v>961</v>
      </c>
      <c r="K66" s="189">
        <v>1727</v>
      </c>
      <c r="L66" s="1"/>
      <c r="M66" s="345">
        <v>644</v>
      </c>
      <c r="N66" s="345">
        <v>450</v>
      </c>
      <c r="O66" s="89"/>
      <c r="P66" s="89"/>
      <c r="Q66" s="89"/>
      <c r="R66" s="89"/>
      <c r="S66" s="89"/>
      <c r="T66" s="89"/>
      <c r="U66" s="89"/>
      <c r="V66" s="13"/>
      <c r="W66" s="13"/>
      <c r="X66" s="29">
        <v>2166</v>
      </c>
      <c r="Y66" s="7"/>
      <c r="Z66" s="58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55"/>
      <c r="AW66" s="55"/>
      <c r="AX66" s="55"/>
      <c r="AY66" s="55"/>
      <c r="AZ66" s="55"/>
      <c r="BA66" s="55"/>
      <c r="BB66" s="55"/>
      <c r="BC66" s="55"/>
      <c r="BD66" s="55"/>
      <c r="BE66" s="55"/>
    </row>
    <row r="67" spans="1:68" ht="18" customHeight="1" x14ac:dyDescent="0.2">
      <c r="A67" s="13">
        <v>2018</v>
      </c>
      <c r="B67" s="13"/>
      <c r="C67" s="13"/>
      <c r="D67" s="13"/>
      <c r="E67" s="89"/>
      <c r="F67" s="109">
        <v>0</v>
      </c>
      <c r="G67" s="109">
        <v>3079</v>
      </c>
      <c r="H67" s="89"/>
      <c r="I67" s="109">
        <v>2704</v>
      </c>
      <c r="J67" s="89"/>
      <c r="K67" s="109">
        <v>1957</v>
      </c>
      <c r="L67" s="89"/>
      <c r="M67" s="109">
        <v>2333</v>
      </c>
      <c r="N67" s="89"/>
      <c r="O67" s="109">
        <v>848</v>
      </c>
      <c r="P67" s="89"/>
      <c r="Q67" s="89"/>
      <c r="R67" s="89"/>
      <c r="S67" s="89"/>
      <c r="T67" s="89"/>
      <c r="U67" s="89"/>
      <c r="V67" s="13"/>
      <c r="W67" s="13"/>
      <c r="X67" s="29">
        <v>5286</v>
      </c>
      <c r="Y67" s="7"/>
      <c r="Z67" s="58">
        <v>35</v>
      </c>
      <c r="AB67">
        <f t="shared" si="18"/>
        <v>1.7167911659629751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68" ht="18" customHeight="1" x14ac:dyDescent="0.2">
      <c r="A68" s="13">
        <v>2019</v>
      </c>
      <c r="B68" s="13"/>
      <c r="C68" s="13"/>
      <c r="D68" s="13"/>
      <c r="E68" s="89"/>
      <c r="F68" s="109">
        <v>4</v>
      </c>
      <c r="G68" s="89"/>
      <c r="H68" s="109">
        <v>648</v>
      </c>
      <c r="I68" s="240">
        <v>42</v>
      </c>
      <c r="J68" s="240">
        <v>419</v>
      </c>
      <c r="K68" s="106">
        <v>565</v>
      </c>
      <c r="L68" s="590">
        <v>162</v>
      </c>
      <c r="M68" s="109">
        <v>192</v>
      </c>
      <c r="N68" s="109">
        <v>585</v>
      </c>
      <c r="O68" s="109">
        <v>528</v>
      </c>
      <c r="P68" s="89"/>
      <c r="Q68" s="89"/>
      <c r="R68" s="89"/>
      <c r="S68" s="89"/>
      <c r="T68" s="89"/>
      <c r="U68" s="89"/>
      <c r="V68" s="13"/>
      <c r="W68" s="13"/>
      <c r="X68" s="29"/>
      <c r="Y68" s="7"/>
      <c r="Z68" s="5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68" ht="18" customHeight="1" x14ac:dyDescent="0.2">
      <c r="A69" s="13">
        <v>2020</v>
      </c>
      <c r="B69" s="13"/>
      <c r="C69" s="13"/>
      <c r="D69" s="690">
        <v>0</v>
      </c>
      <c r="E69" s="691">
        <v>0</v>
      </c>
      <c r="F69" s="587">
        <v>62</v>
      </c>
      <c r="G69" s="109">
        <v>6</v>
      </c>
      <c r="H69" s="109">
        <v>431</v>
      </c>
      <c r="I69" s="89"/>
      <c r="J69" s="338">
        <v>1557</v>
      </c>
      <c r="K69" s="109">
        <v>2084</v>
      </c>
      <c r="L69" s="89"/>
      <c r="M69" s="109">
        <v>1724</v>
      </c>
      <c r="N69" s="89"/>
      <c r="O69" s="89"/>
      <c r="P69" s="590">
        <v>1489</v>
      </c>
      <c r="Q69" s="89"/>
      <c r="R69" s="89"/>
      <c r="S69" s="89"/>
      <c r="T69" s="89"/>
      <c r="U69" s="89"/>
      <c r="V69" s="13"/>
      <c r="W69" s="13"/>
      <c r="X69" s="29">
        <v>3041</v>
      </c>
      <c r="Y69" s="7" t="s">
        <v>5</v>
      </c>
      <c r="Z69" s="58"/>
      <c r="AB69">
        <f t="shared" si="18"/>
        <v>1.4592130518234165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68" s="150" customFormat="1" ht="18" customHeight="1" x14ac:dyDescent="0.2">
      <c r="A70" s="89">
        <v>2021</v>
      </c>
      <c r="B70" s="89"/>
      <c r="C70" s="89"/>
      <c r="D70" s="220"/>
      <c r="E70" s="220"/>
      <c r="F70" s="587">
        <v>0</v>
      </c>
      <c r="G70" s="109">
        <v>417</v>
      </c>
      <c r="H70" s="338">
        <v>315</v>
      </c>
      <c r="I70" s="109">
        <v>3296</v>
      </c>
      <c r="J70" s="735"/>
      <c r="K70" s="109">
        <v>4546</v>
      </c>
      <c r="L70" s="89"/>
      <c r="M70" s="109">
        <v>3604</v>
      </c>
      <c r="N70" s="89"/>
      <c r="O70" s="89"/>
      <c r="P70" s="736"/>
      <c r="Q70" s="89"/>
      <c r="R70" s="89"/>
      <c r="S70" s="89"/>
      <c r="T70" s="89"/>
      <c r="U70" s="89"/>
      <c r="V70" s="89"/>
      <c r="W70" s="89"/>
      <c r="X70" s="21"/>
      <c r="Y70" s="11"/>
      <c r="Z70" s="92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/>
      <c r="AU70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150" customFormat="1" ht="18" customHeight="1" x14ac:dyDescent="0.2">
      <c r="A71" s="89">
        <v>2022</v>
      </c>
      <c r="B71" s="89"/>
      <c r="C71" s="89"/>
      <c r="D71" s="220"/>
      <c r="E71" s="220"/>
      <c r="F71" s="220"/>
      <c r="G71" s="109">
        <v>157</v>
      </c>
      <c r="H71" s="437">
        <v>227</v>
      </c>
      <c r="I71" s="109">
        <v>231</v>
      </c>
      <c r="J71" s="437">
        <v>0</v>
      </c>
      <c r="K71" s="89"/>
      <c r="L71" s="109">
        <v>6</v>
      </c>
      <c r="M71" s="89"/>
      <c r="N71" s="89"/>
      <c r="O71" s="109">
        <v>555</v>
      </c>
      <c r="P71" s="736"/>
      <c r="Q71" s="89"/>
      <c r="R71" s="89"/>
      <c r="S71" s="89"/>
      <c r="T71" s="89"/>
      <c r="U71" s="89"/>
      <c r="V71" s="89"/>
      <c r="W71" s="89"/>
      <c r="X71" s="21"/>
      <c r="Y71" s="11"/>
      <c r="Z71" s="92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/>
      <c r="AU71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s="150" customFormat="1" ht="18" customHeight="1" x14ac:dyDescent="0.2">
      <c r="A72" s="89">
        <v>2023</v>
      </c>
      <c r="B72" s="89"/>
      <c r="C72" s="89"/>
      <c r="D72" s="220"/>
      <c r="E72" s="587">
        <v>7</v>
      </c>
      <c r="F72" s="587">
        <v>2</v>
      </c>
      <c r="G72" s="587">
        <v>34</v>
      </c>
      <c r="H72" s="220"/>
      <c r="I72" s="587">
        <v>2332</v>
      </c>
      <c r="J72" s="220"/>
      <c r="K72" s="587">
        <v>1712</v>
      </c>
      <c r="L72" s="220"/>
      <c r="M72" s="220"/>
      <c r="N72" s="220"/>
      <c r="O72" s="220"/>
      <c r="P72" s="220"/>
      <c r="Q72" s="220"/>
      <c r="R72" s="220"/>
      <c r="S72" s="89"/>
      <c r="T72" s="89"/>
      <c r="U72" s="89"/>
      <c r="V72" s="89"/>
      <c r="W72" s="89"/>
      <c r="X72" s="21"/>
      <c r="Y72" s="11"/>
      <c r="Z72" s="92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/>
      <c r="AU7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8" customHeight="1" x14ac:dyDescent="0.2">
      <c r="A73" s="64" t="s">
        <v>17</v>
      </c>
      <c r="B73" s="16"/>
      <c r="C73" s="16">
        <f>AVERAGE(C44:C58)</f>
        <v>0</v>
      </c>
      <c r="D73" s="16">
        <f t="shared" ref="D73:V73" si="19">AVERAGE(D44:D58)</f>
        <v>0</v>
      </c>
      <c r="E73" s="16">
        <f t="shared" si="19"/>
        <v>220.5</v>
      </c>
      <c r="F73" s="16">
        <f t="shared" si="19"/>
        <v>261.25</v>
      </c>
      <c r="G73" s="16">
        <f t="shared" si="19"/>
        <v>436.5</v>
      </c>
      <c r="H73" s="16">
        <f t="shared" si="19"/>
        <v>465.5</v>
      </c>
      <c r="I73" s="16">
        <f t="shared" si="19"/>
        <v>883.28571428571433</v>
      </c>
      <c r="J73" s="16">
        <f t="shared" si="19"/>
        <v>1122.5</v>
      </c>
      <c r="K73" s="16">
        <f t="shared" si="19"/>
        <v>912.66666666666663</v>
      </c>
      <c r="L73" s="16">
        <f t="shared" si="19"/>
        <v>2079.75</v>
      </c>
      <c r="M73" s="16">
        <f t="shared" si="19"/>
        <v>1279.2857142857142</v>
      </c>
      <c r="N73" s="16">
        <f t="shared" si="19"/>
        <v>3410.7142857142858</v>
      </c>
      <c r="O73" s="16">
        <f t="shared" si="19"/>
        <v>629.75</v>
      </c>
      <c r="P73" s="16">
        <f t="shared" si="19"/>
        <v>1152.75</v>
      </c>
      <c r="Q73" s="16">
        <f t="shared" si="19"/>
        <v>983.42857142857144</v>
      </c>
      <c r="R73" s="16">
        <f t="shared" si="19"/>
        <v>3233</v>
      </c>
      <c r="S73" s="16">
        <f t="shared" si="19"/>
        <v>87.5</v>
      </c>
      <c r="T73" s="16">
        <f t="shared" si="19"/>
        <v>745</v>
      </c>
      <c r="U73" s="16">
        <f t="shared" si="19"/>
        <v>40</v>
      </c>
      <c r="V73" s="16" t="e">
        <f t="shared" si="19"/>
        <v>#DIV/0!</v>
      </c>
      <c r="W73" s="16"/>
      <c r="X73" s="16">
        <f>AVERAGE(X44:X58)</f>
        <v>4029.4285714285716</v>
      </c>
      <c r="Y73" s="17"/>
      <c r="Z73" s="16">
        <f>AVERAGE(Z44:Z58)</f>
        <v>36.045454545454547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68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3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68" ht="18" customHeight="1" x14ac:dyDescent="0.2">
      <c r="A75" s="1002" t="s">
        <v>521</v>
      </c>
      <c r="B75" s="1003"/>
      <c r="C75" s="1003"/>
      <c r="D75" s="1003"/>
      <c r="E75" s="1003"/>
      <c r="F75" s="1003"/>
      <c r="G75" s="1003"/>
      <c r="H75" s="1003"/>
      <c r="I75" s="100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151"/>
      <c r="AU75" s="151"/>
      <c r="BF75" s="150"/>
    </row>
    <row r="76" spans="1:68" ht="18" customHeight="1" thickBo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1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151"/>
      <c r="AU76" s="151"/>
      <c r="BF76" s="150"/>
    </row>
    <row r="77" spans="1:68" ht="18" customHeight="1" thickTop="1" x14ac:dyDescent="0.2">
      <c r="A77" s="1004" t="s">
        <v>0</v>
      </c>
      <c r="B77" s="1006" t="s">
        <v>1</v>
      </c>
      <c r="C77" s="1006"/>
      <c r="D77" s="1006"/>
      <c r="E77" s="1006"/>
      <c r="F77" s="1006"/>
      <c r="G77" s="1006"/>
      <c r="H77" s="1006"/>
      <c r="I77" s="1006"/>
      <c r="J77" s="1006"/>
      <c r="K77" s="1006"/>
      <c r="L77" s="1006"/>
      <c r="M77" s="1006"/>
      <c r="N77" s="1006"/>
      <c r="O77" s="1006"/>
      <c r="P77" s="1006"/>
      <c r="Q77" s="1006"/>
      <c r="R77" s="1006"/>
      <c r="S77" s="1006"/>
      <c r="T77" s="1006"/>
      <c r="U77" s="1006"/>
      <c r="V77" s="1006"/>
      <c r="W77" s="1006"/>
      <c r="X77" s="1004" t="s">
        <v>2</v>
      </c>
      <c r="Y77" s="1010" t="s">
        <v>3</v>
      </c>
      <c r="Z77" s="1008" t="s">
        <v>4</v>
      </c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68" ht="18" customHeight="1" x14ac:dyDescent="0.2">
      <c r="A78" s="1005"/>
      <c r="B78" s="18">
        <v>81</v>
      </c>
      <c r="C78" s="18">
        <v>82</v>
      </c>
      <c r="D78" s="18">
        <v>83</v>
      </c>
      <c r="E78" s="18">
        <v>84</v>
      </c>
      <c r="F78" s="18">
        <v>91</v>
      </c>
      <c r="G78" s="18">
        <v>92</v>
      </c>
      <c r="H78" s="18">
        <v>93</v>
      </c>
      <c r="I78" s="18">
        <v>94</v>
      </c>
      <c r="J78" s="18">
        <v>101</v>
      </c>
      <c r="K78" s="18">
        <v>102</v>
      </c>
      <c r="L78" s="18">
        <v>103</v>
      </c>
      <c r="M78" s="18">
        <v>104</v>
      </c>
      <c r="N78" s="18">
        <v>105</v>
      </c>
      <c r="O78" s="18">
        <v>111</v>
      </c>
      <c r="P78" s="18">
        <v>112</v>
      </c>
      <c r="Q78" s="18">
        <v>113</v>
      </c>
      <c r="R78" s="18">
        <v>114</v>
      </c>
      <c r="S78" s="18">
        <v>115</v>
      </c>
      <c r="T78" s="18">
        <v>121</v>
      </c>
      <c r="U78" s="18">
        <v>122</v>
      </c>
      <c r="V78" s="18">
        <v>123</v>
      </c>
      <c r="W78" s="18">
        <v>124</v>
      </c>
      <c r="X78" s="1005"/>
      <c r="Y78" s="1011"/>
      <c r="Z78" s="1009"/>
      <c r="AA78" s="2" t="s">
        <v>377</v>
      </c>
      <c r="AB78" t="s">
        <v>142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68" ht="18" customHeight="1" x14ac:dyDescent="0.2">
      <c r="A79" s="1">
        <v>1995</v>
      </c>
      <c r="B79" s="6"/>
      <c r="C79" s="6"/>
      <c r="D79" s="6"/>
      <c r="E79" s="6"/>
      <c r="F79" s="6"/>
      <c r="G79" s="105">
        <v>8</v>
      </c>
      <c r="H79" s="6"/>
      <c r="I79" s="503">
        <v>415</v>
      </c>
      <c r="J79" s="6">
        <v>2900</v>
      </c>
      <c r="K79" s="6"/>
      <c r="L79" s="503">
        <v>9431</v>
      </c>
      <c r="M79" s="6"/>
      <c r="N79" s="503">
        <v>8545</v>
      </c>
      <c r="O79" s="6"/>
      <c r="P79" s="6"/>
      <c r="Q79" s="6"/>
      <c r="R79" s="6"/>
      <c r="S79" s="6"/>
      <c r="T79" s="13"/>
      <c r="U79" s="13"/>
      <c r="V79" s="13"/>
      <c r="W79" s="13"/>
      <c r="X79" s="7">
        <v>11686</v>
      </c>
      <c r="Y79" s="7" t="s">
        <v>5</v>
      </c>
      <c r="Z79" s="10">
        <v>20</v>
      </c>
      <c r="AA79" s="2" t="s">
        <v>316</v>
      </c>
      <c r="AB79">
        <f>X79/MAX(B79:W79)</f>
        <v>1.2391050789948044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68" ht="18" customHeight="1" x14ac:dyDescent="0.2">
      <c r="A80" s="1">
        <v>1996</v>
      </c>
      <c r="B80" s="6"/>
      <c r="C80" s="6"/>
      <c r="D80" s="6"/>
      <c r="E80" s="6"/>
      <c r="F80" s="503">
        <v>38</v>
      </c>
      <c r="G80" s="6"/>
      <c r="H80" s="503">
        <v>208</v>
      </c>
      <c r="I80" s="503">
        <v>335</v>
      </c>
      <c r="J80" s="503">
        <v>0</v>
      </c>
      <c r="K80" s="503">
        <v>5562</v>
      </c>
      <c r="L80" s="503">
        <v>7136</v>
      </c>
      <c r="M80" s="6"/>
      <c r="N80" s="503">
        <v>16140</v>
      </c>
      <c r="O80" s="6"/>
      <c r="P80" s="6"/>
      <c r="Q80" s="503">
        <v>86</v>
      </c>
      <c r="R80" s="6"/>
      <c r="S80" s="6"/>
      <c r="T80" s="13"/>
      <c r="U80" s="13"/>
      <c r="V80" s="13"/>
      <c r="W80" s="13"/>
      <c r="X80" s="7">
        <v>35000</v>
      </c>
      <c r="Y80" s="7" t="s">
        <v>7</v>
      </c>
      <c r="Z80" s="10"/>
      <c r="AA80" s="2" t="s">
        <v>370</v>
      </c>
      <c r="AB80">
        <f t="shared" ref="AB80:AB105" si="20">X80/MAX(B80:W80)</f>
        <v>2.168525402726146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</row>
    <row r="81" spans="1:68" ht="18" customHeight="1" x14ac:dyDescent="0.2">
      <c r="A81" s="1">
        <v>1997</v>
      </c>
      <c r="B81" s="6"/>
      <c r="C81" s="6"/>
      <c r="D81" s="6">
        <v>0</v>
      </c>
      <c r="E81" s="6"/>
      <c r="F81" s="6">
        <v>2</v>
      </c>
      <c r="G81" s="6"/>
      <c r="H81" s="6">
        <v>215</v>
      </c>
      <c r="I81" s="6">
        <v>270</v>
      </c>
      <c r="J81" s="6"/>
      <c r="K81" s="6"/>
      <c r="L81" s="6">
        <v>4826</v>
      </c>
      <c r="M81" s="6">
        <v>48928</v>
      </c>
      <c r="N81" s="6"/>
      <c r="O81" s="6">
        <v>1203</v>
      </c>
      <c r="P81" s="6">
        <v>437</v>
      </c>
      <c r="Q81" s="6"/>
      <c r="R81" s="6"/>
      <c r="S81" s="6">
        <v>17</v>
      </c>
      <c r="T81" s="13"/>
      <c r="U81" s="13"/>
      <c r="V81" s="13"/>
      <c r="W81" s="13"/>
      <c r="X81" s="7">
        <v>74295</v>
      </c>
      <c r="Y81" s="7" t="s">
        <v>5</v>
      </c>
      <c r="Z81" s="10">
        <v>15</v>
      </c>
      <c r="AA81" s="2" t="s">
        <v>370</v>
      </c>
      <c r="AB81">
        <f t="shared" si="20"/>
        <v>1.5184556899934598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</row>
    <row r="82" spans="1:68" ht="18" customHeight="1" x14ac:dyDescent="0.2">
      <c r="A82" s="1">
        <v>1998</v>
      </c>
      <c r="B82" s="6"/>
      <c r="C82" s="6">
        <v>0</v>
      </c>
      <c r="D82" s="6"/>
      <c r="E82" s="6"/>
      <c r="F82" s="6"/>
      <c r="G82" s="6"/>
      <c r="H82" s="6">
        <v>320</v>
      </c>
      <c r="I82" s="6"/>
      <c r="J82" s="6"/>
      <c r="K82" s="6">
        <v>12500</v>
      </c>
      <c r="L82" s="6">
        <v>40000</v>
      </c>
      <c r="M82" s="6">
        <v>47045</v>
      </c>
      <c r="N82" s="6"/>
      <c r="O82" s="6">
        <v>3295</v>
      </c>
      <c r="P82" s="6"/>
      <c r="Q82" s="6">
        <v>264</v>
      </c>
      <c r="R82" s="6"/>
      <c r="S82" s="6">
        <v>9</v>
      </c>
      <c r="T82" s="13"/>
      <c r="U82" s="13"/>
      <c r="V82" s="13"/>
      <c r="W82" s="13"/>
      <c r="X82" s="7">
        <v>162252</v>
      </c>
      <c r="Y82" s="7" t="s">
        <v>5</v>
      </c>
      <c r="Z82" s="10">
        <v>8</v>
      </c>
      <c r="AA82" s="2" t="s">
        <v>370</v>
      </c>
      <c r="AB82">
        <f t="shared" si="20"/>
        <v>3.4488681050058454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68" ht="18" customHeight="1" x14ac:dyDescent="0.2">
      <c r="A83" s="1">
        <v>1999</v>
      </c>
      <c r="B83" s="6"/>
      <c r="C83" s="6"/>
      <c r="D83" s="6"/>
      <c r="E83" s="6"/>
      <c r="F83" s="6"/>
      <c r="G83" s="6">
        <v>278</v>
      </c>
      <c r="H83" s="6"/>
      <c r="I83" s="6"/>
      <c r="J83" s="6">
        <v>3986</v>
      </c>
      <c r="K83" s="6">
        <v>12530</v>
      </c>
      <c r="L83" s="6">
        <v>22000</v>
      </c>
      <c r="M83" s="6">
        <v>2341</v>
      </c>
      <c r="N83" s="6"/>
      <c r="O83" s="6">
        <v>3879</v>
      </c>
      <c r="P83" s="6"/>
      <c r="Q83" s="6">
        <v>133</v>
      </c>
      <c r="R83" s="6"/>
      <c r="S83" s="6"/>
      <c r="T83" s="13"/>
      <c r="U83" s="13">
        <v>3</v>
      </c>
      <c r="V83" s="13"/>
      <c r="W83" s="13"/>
      <c r="X83" s="9">
        <v>32386</v>
      </c>
      <c r="Y83" s="7" t="s">
        <v>5</v>
      </c>
      <c r="Z83" s="60">
        <v>10</v>
      </c>
      <c r="AA83" s="2" t="s">
        <v>370</v>
      </c>
      <c r="AB83">
        <f t="shared" si="20"/>
        <v>1.4720909090909091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BJ83" s="55"/>
      <c r="BK83" s="55"/>
      <c r="BL83" s="55"/>
      <c r="BM83" s="55"/>
      <c r="BN83" s="55"/>
      <c r="BO83" s="55"/>
      <c r="BP83" s="55"/>
    </row>
    <row r="84" spans="1:68" ht="18" customHeight="1" x14ac:dyDescent="0.2">
      <c r="A84" s="1">
        <v>2000</v>
      </c>
      <c r="B84" s="6"/>
      <c r="C84" s="6"/>
      <c r="D84" s="6"/>
      <c r="E84" s="6"/>
      <c r="F84" s="6"/>
      <c r="G84" s="6">
        <v>35</v>
      </c>
      <c r="H84" s="6">
        <v>406</v>
      </c>
      <c r="I84" s="6">
        <v>357</v>
      </c>
      <c r="J84" s="6"/>
      <c r="K84" s="6">
        <v>5464</v>
      </c>
      <c r="L84" s="6">
        <v>3277</v>
      </c>
      <c r="M84" s="6"/>
      <c r="N84" s="6">
        <v>5971</v>
      </c>
      <c r="O84" s="6"/>
      <c r="P84" s="6">
        <v>307</v>
      </c>
      <c r="Q84" s="6"/>
      <c r="R84" s="6">
        <v>16</v>
      </c>
      <c r="S84" s="6"/>
      <c r="T84" s="13">
        <v>2</v>
      </c>
      <c r="U84" s="13"/>
      <c r="V84" s="13"/>
      <c r="W84" s="13"/>
      <c r="X84" s="10">
        <v>12248</v>
      </c>
      <c r="Y84" s="7" t="s">
        <v>5</v>
      </c>
      <c r="Z84" s="60">
        <v>10</v>
      </c>
      <c r="AA84" s="2" t="s">
        <v>370</v>
      </c>
      <c r="AB84">
        <f t="shared" si="20"/>
        <v>2.0512476972031486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BG84" s="55"/>
      <c r="BH84" s="55"/>
      <c r="BI84" s="55"/>
    </row>
    <row r="85" spans="1:68" ht="18" customHeight="1" x14ac:dyDescent="0.2">
      <c r="A85" s="1">
        <v>2001</v>
      </c>
      <c r="B85" s="6"/>
      <c r="C85" s="6"/>
      <c r="D85" s="6"/>
      <c r="E85" s="6">
        <v>5</v>
      </c>
      <c r="F85" s="6"/>
      <c r="G85" s="6">
        <v>41</v>
      </c>
      <c r="H85" s="6"/>
      <c r="I85" s="6"/>
      <c r="J85" s="6">
        <v>3559</v>
      </c>
      <c r="K85" s="6"/>
      <c r="L85" s="6">
        <v>37130</v>
      </c>
      <c r="M85" s="6"/>
      <c r="N85" s="6">
        <v>10079</v>
      </c>
      <c r="O85" s="6"/>
      <c r="P85" s="6"/>
      <c r="Q85" s="6">
        <v>25</v>
      </c>
      <c r="R85" s="6">
        <v>13</v>
      </c>
      <c r="S85" s="6"/>
      <c r="T85" s="13"/>
      <c r="U85" s="13"/>
      <c r="V85" s="13"/>
      <c r="W85" s="13"/>
      <c r="X85" s="7">
        <v>60710</v>
      </c>
      <c r="Y85" s="7" t="s">
        <v>5</v>
      </c>
      <c r="Z85" s="60">
        <v>12.5</v>
      </c>
      <c r="AA85" s="2" t="s">
        <v>370</v>
      </c>
      <c r="AB85">
        <f t="shared" si="20"/>
        <v>1.6350659843792081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68" ht="18" customHeight="1" x14ac:dyDescent="0.2">
      <c r="A86" s="1">
        <v>2002</v>
      </c>
      <c r="B86" s="6"/>
      <c r="C86" s="6"/>
      <c r="D86" s="6"/>
      <c r="E86" s="6"/>
      <c r="F86" s="6"/>
      <c r="G86" s="6">
        <v>6</v>
      </c>
      <c r="H86" s="6"/>
      <c r="I86" s="6">
        <v>1268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13"/>
      <c r="U86" s="13"/>
      <c r="V86" s="13"/>
      <c r="W86" s="13"/>
      <c r="X86" s="7">
        <v>52048</v>
      </c>
      <c r="Y86" s="7" t="s">
        <v>8</v>
      </c>
      <c r="Z86" s="60"/>
      <c r="AA86" s="2" t="s">
        <v>371</v>
      </c>
      <c r="AB86">
        <f t="shared" si="20"/>
        <v>41.047318611987379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68" ht="18" customHeight="1" x14ac:dyDescent="0.2">
      <c r="A87" s="1">
        <v>2003</v>
      </c>
      <c r="B87" s="6"/>
      <c r="C87" s="6"/>
      <c r="D87" s="6"/>
      <c r="E87" s="6"/>
      <c r="F87" s="6">
        <v>50</v>
      </c>
      <c r="G87" s="6">
        <v>363</v>
      </c>
      <c r="H87" s="6"/>
      <c r="I87" s="6"/>
      <c r="J87" s="6">
        <v>1362</v>
      </c>
      <c r="K87" s="6">
        <v>6505</v>
      </c>
      <c r="L87" s="6"/>
      <c r="M87" s="6"/>
      <c r="N87" s="6">
        <v>11753</v>
      </c>
      <c r="O87" s="6"/>
      <c r="P87" s="6"/>
      <c r="Q87" s="6">
        <v>149</v>
      </c>
      <c r="R87" s="6"/>
      <c r="S87" s="6"/>
      <c r="T87" s="13"/>
      <c r="U87" s="13"/>
      <c r="V87" s="13"/>
      <c r="W87" s="13"/>
      <c r="X87" s="7">
        <v>35628</v>
      </c>
      <c r="Y87" s="7" t="s">
        <v>5</v>
      </c>
      <c r="Z87" s="60">
        <v>12</v>
      </c>
      <c r="AA87" s="2" t="s">
        <v>372</v>
      </c>
      <c r="AB87">
        <f t="shared" si="20"/>
        <v>3.0313962392580618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68" ht="18" customHeight="1" x14ac:dyDescent="0.2">
      <c r="A88" s="1">
        <v>2004</v>
      </c>
      <c r="B88" s="6"/>
      <c r="C88" s="6"/>
      <c r="D88" s="6"/>
      <c r="E88" s="6"/>
      <c r="F88" s="6"/>
      <c r="G88" s="6"/>
      <c r="H88" s="6"/>
      <c r="I88" s="6"/>
      <c r="J88" s="6">
        <v>1603</v>
      </c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  <c r="V88" s="13"/>
      <c r="W88" s="13"/>
      <c r="X88" s="7" t="s">
        <v>322</v>
      </c>
      <c r="Y88" s="7" t="s">
        <v>7</v>
      </c>
      <c r="Z88" s="60"/>
      <c r="AA88" s="2" t="s">
        <v>373</v>
      </c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68" ht="18" customHeight="1" x14ac:dyDescent="0.2">
      <c r="A89" s="1">
        <v>2005</v>
      </c>
      <c r="B89" s="6"/>
      <c r="C89" s="6"/>
      <c r="D89" s="6"/>
      <c r="E89" s="6"/>
      <c r="F89" s="6"/>
      <c r="G89" s="6"/>
      <c r="H89" s="6">
        <v>70</v>
      </c>
      <c r="I89" s="6"/>
      <c r="J89" s="6">
        <v>280</v>
      </c>
      <c r="K89" s="6">
        <v>3290</v>
      </c>
      <c r="L89" s="6"/>
      <c r="M89" s="6">
        <v>6234</v>
      </c>
      <c r="N89" s="6"/>
      <c r="O89" s="6">
        <v>558</v>
      </c>
      <c r="P89" s="6"/>
      <c r="Q89" s="6">
        <v>16</v>
      </c>
      <c r="R89" s="6"/>
      <c r="S89" s="6"/>
      <c r="T89" s="13">
        <v>1</v>
      </c>
      <c r="U89" s="13"/>
      <c r="V89" s="13"/>
      <c r="W89" s="13"/>
      <c r="X89" s="11">
        <v>8206</v>
      </c>
      <c r="Y89" s="7" t="s">
        <v>5</v>
      </c>
      <c r="Z89" s="60">
        <v>17.5</v>
      </c>
      <c r="AA89" s="2" t="s">
        <v>372</v>
      </c>
      <c r="AB89">
        <f t="shared" si="20"/>
        <v>1.3163298042990055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68" ht="18" customHeight="1" x14ac:dyDescent="0.2">
      <c r="A90" s="1">
        <v>2006</v>
      </c>
      <c r="B90" s="6"/>
      <c r="C90" s="6"/>
      <c r="D90" s="6"/>
      <c r="E90" s="6"/>
      <c r="F90" s="6"/>
      <c r="G90" s="6"/>
      <c r="H90" s="6">
        <v>658</v>
      </c>
      <c r="I90" s="6"/>
      <c r="J90" s="6">
        <v>3627</v>
      </c>
      <c r="K90" s="6"/>
      <c r="L90" s="6"/>
      <c r="M90" s="6"/>
      <c r="N90" s="6">
        <v>1111</v>
      </c>
      <c r="O90" s="6"/>
      <c r="P90" s="6">
        <v>12</v>
      </c>
      <c r="Q90" s="6"/>
      <c r="R90" s="6"/>
      <c r="S90" s="6"/>
      <c r="T90" s="13"/>
      <c r="U90" s="13"/>
      <c r="V90" s="13"/>
      <c r="W90" s="13"/>
      <c r="X90" s="12">
        <v>8263</v>
      </c>
      <c r="Y90" s="7" t="s">
        <v>5</v>
      </c>
      <c r="Z90" s="60">
        <v>12</v>
      </c>
      <c r="AA90" s="2" t="s">
        <v>374</v>
      </c>
      <c r="AB90">
        <f t="shared" si="20"/>
        <v>2.2781913427074718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68" ht="18" customHeight="1" x14ac:dyDescent="0.2">
      <c r="A91" s="1">
        <v>2007</v>
      </c>
      <c r="B91" s="6"/>
      <c r="C91" s="6"/>
      <c r="D91" s="6"/>
      <c r="E91" s="6">
        <v>3</v>
      </c>
      <c r="F91" s="6">
        <v>683</v>
      </c>
      <c r="G91" s="6"/>
      <c r="H91" s="6"/>
      <c r="I91" s="6"/>
      <c r="J91" s="6"/>
      <c r="K91" s="6"/>
      <c r="L91" s="6">
        <v>514</v>
      </c>
      <c r="M91" s="6">
        <v>239</v>
      </c>
      <c r="N91" s="6"/>
      <c r="O91" s="6"/>
      <c r="P91" s="6"/>
      <c r="Q91" s="6"/>
      <c r="R91" s="6"/>
      <c r="S91" s="6"/>
      <c r="T91" s="13"/>
      <c r="U91" s="13"/>
      <c r="V91" s="13"/>
      <c r="W91" s="13"/>
      <c r="X91" s="12">
        <v>3593</v>
      </c>
      <c r="Y91" s="7" t="s">
        <v>5</v>
      </c>
      <c r="Z91" s="60">
        <v>12</v>
      </c>
      <c r="AA91" s="2" t="s">
        <v>316</v>
      </c>
      <c r="AB91">
        <f t="shared" si="20"/>
        <v>5.2606149341142023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68" s="55" customFormat="1" ht="18" customHeight="1" x14ac:dyDescent="0.2">
      <c r="A92" s="13">
        <v>2008</v>
      </c>
      <c r="B92" s="13"/>
      <c r="C92" s="13"/>
      <c r="D92" s="13"/>
      <c r="E92" s="13"/>
      <c r="F92" s="13"/>
      <c r="G92" s="13">
        <v>26</v>
      </c>
      <c r="H92" s="13"/>
      <c r="I92" s="13">
        <v>19</v>
      </c>
      <c r="J92" s="13">
        <v>461</v>
      </c>
      <c r="K92" s="13"/>
      <c r="L92" s="13">
        <v>3799</v>
      </c>
      <c r="M92" s="13">
        <v>1191</v>
      </c>
      <c r="N92" s="13"/>
      <c r="O92" s="13"/>
      <c r="P92" s="13"/>
      <c r="Q92" s="13">
        <v>2</v>
      </c>
      <c r="R92" s="13"/>
      <c r="S92" s="13"/>
      <c r="T92" s="13"/>
      <c r="U92" s="13"/>
      <c r="V92" s="13"/>
      <c r="W92" s="13"/>
      <c r="X92" s="13">
        <v>6517</v>
      </c>
      <c r="Y92" s="7" t="s">
        <v>5</v>
      </c>
      <c r="Z92" s="58">
        <v>12</v>
      </c>
      <c r="AA92" s="55" t="s">
        <v>375</v>
      </c>
      <c r="AB92">
        <f t="shared" si="20"/>
        <v>1.7154514345880494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8" customHeight="1" x14ac:dyDescent="0.2">
      <c r="A93" s="13">
        <v>2009</v>
      </c>
      <c r="B93" s="89"/>
      <c r="C93" s="89"/>
      <c r="D93" s="89"/>
      <c r="E93" s="89"/>
      <c r="F93" s="89"/>
      <c r="G93" s="89">
        <v>25</v>
      </c>
      <c r="H93" s="89"/>
      <c r="I93" s="89">
        <v>474</v>
      </c>
      <c r="J93" s="89">
        <v>682</v>
      </c>
      <c r="K93" s="89"/>
      <c r="L93" s="89">
        <v>2178</v>
      </c>
      <c r="M93" s="89">
        <v>1677</v>
      </c>
      <c r="N93" s="89">
        <v>454</v>
      </c>
      <c r="O93" s="89"/>
      <c r="P93" s="89">
        <v>20</v>
      </c>
      <c r="Q93" s="89"/>
      <c r="R93" s="89"/>
      <c r="S93" s="89"/>
      <c r="T93" s="89"/>
      <c r="U93" s="89"/>
      <c r="V93" s="89"/>
      <c r="W93" s="89"/>
      <c r="X93" s="89">
        <v>6055</v>
      </c>
      <c r="Y93" s="11" t="s">
        <v>5</v>
      </c>
      <c r="Z93" s="92">
        <v>15</v>
      </c>
      <c r="AA93" s="2" t="s">
        <v>375</v>
      </c>
      <c r="AB93">
        <f t="shared" si="20"/>
        <v>2.7800734618916438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68" ht="18" customHeight="1" x14ac:dyDescent="0.2">
      <c r="A94" s="13">
        <v>2010</v>
      </c>
      <c r="B94" s="89"/>
      <c r="C94" s="89"/>
      <c r="D94" s="89"/>
      <c r="E94" s="89"/>
      <c r="F94" s="89"/>
      <c r="G94" s="89"/>
      <c r="H94" s="89">
        <v>320</v>
      </c>
      <c r="I94" s="89"/>
      <c r="J94" s="89"/>
      <c r="K94" s="89">
        <v>2018</v>
      </c>
      <c r="L94" s="89"/>
      <c r="M94" s="89"/>
      <c r="N94" s="89"/>
      <c r="O94" s="89"/>
      <c r="P94" s="89"/>
      <c r="Q94" s="89">
        <v>3</v>
      </c>
      <c r="R94" s="89"/>
      <c r="S94" s="89"/>
      <c r="T94" s="89"/>
      <c r="U94" s="89"/>
      <c r="V94" s="89"/>
      <c r="W94" s="89"/>
      <c r="X94" s="89">
        <v>7594</v>
      </c>
      <c r="Y94" s="11"/>
      <c r="Z94" s="92"/>
      <c r="AA94" s="2" t="s">
        <v>376</v>
      </c>
      <c r="AB94">
        <f t="shared" si="20"/>
        <v>3.7631318136769076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68" ht="18" customHeight="1" x14ac:dyDescent="0.2">
      <c r="A95" s="13">
        <v>2011</v>
      </c>
      <c r="B95" s="89"/>
      <c r="C95" s="89"/>
      <c r="D95" s="89"/>
      <c r="E95" s="89"/>
      <c r="F95" s="89"/>
      <c r="G95" s="89"/>
      <c r="H95" s="89"/>
      <c r="I95" s="89"/>
      <c r="J95" s="89">
        <v>2671</v>
      </c>
      <c r="K95" s="89"/>
      <c r="L95" s="89"/>
      <c r="M95" s="89"/>
      <c r="N95" s="89">
        <v>262</v>
      </c>
      <c r="O95" s="89"/>
      <c r="P95" s="89"/>
      <c r="Q95" s="89"/>
      <c r="R95" s="89"/>
      <c r="S95" s="89"/>
      <c r="T95" s="89"/>
      <c r="U95" s="89"/>
      <c r="V95" s="89"/>
      <c r="W95" s="89"/>
      <c r="X95" s="89">
        <v>8400</v>
      </c>
      <c r="Y95" s="11"/>
      <c r="Z95" s="92"/>
      <c r="AA95" s="2" t="s">
        <v>376</v>
      </c>
      <c r="AB95">
        <f t="shared" si="20"/>
        <v>3.1448895544739797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68" ht="18" customHeight="1" x14ac:dyDescent="0.2">
      <c r="A96" s="13">
        <v>2012</v>
      </c>
      <c r="B96" s="13"/>
      <c r="C96" s="13"/>
      <c r="D96" s="13"/>
      <c r="E96" s="13"/>
      <c r="F96" s="107">
        <v>0</v>
      </c>
      <c r="G96" s="107">
        <v>30</v>
      </c>
      <c r="H96" s="107">
        <v>53</v>
      </c>
      <c r="I96" s="13"/>
      <c r="J96" s="13"/>
      <c r="K96" s="108">
        <v>499</v>
      </c>
      <c r="L96" s="108">
        <v>98</v>
      </c>
      <c r="M96" s="109">
        <v>723</v>
      </c>
      <c r="N96" s="13"/>
      <c r="O96" s="13"/>
      <c r="P96" s="109">
        <v>9</v>
      </c>
      <c r="Q96" s="13"/>
      <c r="R96" s="13"/>
      <c r="S96" s="13"/>
      <c r="T96" s="13"/>
      <c r="U96" s="13"/>
      <c r="V96" s="13"/>
      <c r="W96" s="13"/>
      <c r="X96" s="13">
        <v>3351</v>
      </c>
      <c r="Y96" s="7" t="s">
        <v>6</v>
      </c>
      <c r="Z96" s="58"/>
      <c r="AA96" s="2" t="s">
        <v>374</v>
      </c>
      <c r="AB96">
        <f t="shared" si="20"/>
        <v>4.6348547717842328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BF96" s="55"/>
      <c r="BJ96" s="150"/>
      <c r="BK96" s="150"/>
      <c r="BL96" s="150"/>
      <c r="BM96" s="150"/>
      <c r="BN96" s="150"/>
      <c r="BO96" s="150"/>
      <c r="BP96" s="150"/>
    </row>
    <row r="97" spans="1:68" ht="18" customHeight="1" x14ac:dyDescent="0.2">
      <c r="A97" s="13">
        <v>2013</v>
      </c>
      <c r="B97" s="13"/>
      <c r="C97" s="13"/>
      <c r="D97" s="13"/>
      <c r="E97" s="13"/>
      <c r="F97" s="109">
        <v>76</v>
      </c>
      <c r="G97" s="89"/>
      <c r="H97" s="89"/>
      <c r="I97" s="109">
        <v>4197</v>
      </c>
      <c r="J97" s="89"/>
      <c r="K97" s="109">
        <v>8795</v>
      </c>
      <c r="L97" s="89"/>
      <c r="M97" s="109">
        <v>1332</v>
      </c>
      <c r="N97" s="89"/>
      <c r="O97" s="89"/>
      <c r="P97" s="89"/>
      <c r="Q97" s="13"/>
      <c r="R97" s="13"/>
      <c r="S97" s="13"/>
      <c r="T97" s="13"/>
      <c r="U97" s="13"/>
      <c r="V97" s="13"/>
      <c r="W97" s="13"/>
      <c r="X97" s="13">
        <v>16602</v>
      </c>
      <c r="Y97" s="7" t="s">
        <v>5</v>
      </c>
      <c r="Z97" s="58">
        <v>20</v>
      </c>
      <c r="AA97" s="2" t="s">
        <v>374</v>
      </c>
      <c r="AB97">
        <f t="shared" si="20"/>
        <v>1.8876634451392837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BG97" s="150"/>
      <c r="BH97" s="150"/>
      <c r="BI97" s="150"/>
      <c r="BJ97" s="150"/>
      <c r="BK97" s="150"/>
      <c r="BL97" s="150"/>
      <c r="BM97" s="150"/>
      <c r="BN97" s="150"/>
      <c r="BO97" s="150"/>
      <c r="BP97" s="150"/>
    </row>
    <row r="98" spans="1:68" ht="18" customHeight="1" x14ac:dyDescent="0.2">
      <c r="A98" s="13">
        <v>2014</v>
      </c>
      <c r="B98" s="13"/>
      <c r="C98" s="13"/>
      <c r="D98" s="13"/>
      <c r="E98" s="13"/>
      <c r="F98" s="13"/>
      <c r="G98" s="13"/>
      <c r="H98" s="13"/>
      <c r="I98" s="13"/>
      <c r="J98" s="109">
        <v>1030</v>
      </c>
      <c r="K98" s="109">
        <v>5427</v>
      </c>
      <c r="L98" s="13"/>
      <c r="M98" s="13"/>
      <c r="N98" s="13"/>
      <c r="O98" s="13"/>
      <c r="P98" s="89">
        <v>6</v>
      </c>
      <c r="Q98" s="13"/>
      <c r="R98" s="13"/>
      <c r="S98" s="13"/>
      <c r="T98" s="13"/>
      <c r="U98" s="13"/>
      <c r="V98" s="13"/>
      <c r="W98" s="13"/>
      <c r="X98" s="13" t="s">
        <v>336</v>
      </c>
      <c r="Y98" s="7" t="s">
        <v>9</v>
      </c>
      <c r="Z98" s="58"/>
      <c r="AA98" s="2" t="s">
        <v>374</v>
      </c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BG98" s="150"/>
      <c r="BH98" s="150"/>
      <c r="BI98" s="150"/>
    </row>
    <row r="99" spans="1:68" ht="18" customHeight="1" x14ac:dyDescent="0.2">
      <c r="A99" s="13">
        <v>2015</v>
      </c>
      <c r="B99" s="13"/>
      <c r="C99" s="13"/>
      <c r="D99" s="13"/>
      <c r="E99" s="13"/>
      <c r="F99" s="189">
        <v>44</v>
      </c>
      <c r="G99" s="220"/>
      <c r="H99" s="345">
        <v>864</v>
      </c>
      <c r="I99" s="221"/>
      <c r="J99" s="345">
        <v>6533</v>
      </c>
      <c r="K99" s="221"/>
      <c r="L99" s="353">
        <v>872</v>
      </c>
      <c r="M99" s="221"/>
      <c r="N99" s="189">
        <v>133</v>
      </c>
      <c r="O99" s="189">
        <v>4</v>
      </c>
      <c r="P99" s="89"/>
      <c r="Q99" s="13"/>
      <c r="R99" s="13"/>
      <c r="S99" s="13"/>
      <c r="T99" s="13"/>
      <c r="U99" s="13"/>
      <c r="V99" s="13"/>
      <c r="W99" s="13"/>
      <c r="X99" s="13">
        <v>11496</v>
      </c>
      <c r="Y99" s="7" t="s">
        <v>5</v>
      </c>
      <c r="Z99" s="58">
        <v>15</v>
      </c>
      <c r="AA99" s="2" t="s">
        <v>372</v>
      </c>
      <c r="AB99">
        <f t="shared" si="20"/>
        <v>1.7596816164090006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68" ht="18" customHeight="1" x14ac:dyDescent="0.2">
      <c r="A100" s="13">
        <v>2016</v>
      </c>
      <c r="B100" s="13"/>
      <c r="C100" s="13"/>
      <c r="D100" s="13"/>
      <c r="E100" s="13"/>
      <c r="F100" s="13"/>
      <c r="G100" s="189">
        <v>25</v>
      </c>
      <c r="H100" s="189">
        <v>119</v>
      </c>
      <c r="I100" s="189">
        <v>872</v>
      </c>
      <c r="J100" s="109">
        <v>866</v>
      </c>
      <c r="K100" s="13"/>
      <c r="L100" s="321">
        <v>7260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>
        <v>16359</v>
      </c>
      <c r="Y100" s="7" t="s">
        <v>5</v>
      </c>
      <c r="Z100" s="58">
        <v>15</v>
      </c>
      <c r="AA100" s="2" t="s">
        <v>372</v>
      </c>
      <c r="AB100">
        <f t="shared" si="20"/>
        <v>2.2533057851239668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68" ht="18" customHeight="1" x14ac:dyDescent="0.2">
      <c r="A101" s="13">
        <v>2017</v>
      </c>
      <c r="B101" s="13"/>
      <c r="C101" s="13"/>
      <c r="D101" s="13"/>
      <c r="E101" s="13"/>
      <c r="F101" s="189">
        <v>3</v>
      </c>
      <c r="G101" s="189">
        <v>94</v>
      </c>
      <c r="H101" s="189">
        <v>454</v>
      </c>
      <c r="I101" s="189">
        <v>2365</v>
      </c>
      <c r="J101" s="189">
        <v>3173</v>
      </c>
      <c r="K101" s="343">
        <v>2250</v>
      </c>
      <c r="L101" s="1"/>
      <c r="M101" s="343">
        <v>551</v>
      </c>
      <c r="N101" s="353">
        <v>154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>
        <v>5292</v>
      </c>
      <c r="Y101" s="7"/>
      <c r="Z101" s="58"/>
      <c r="AB101">
        <f t="shared" si="20"/>
        <v>1.6678222502363693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</row>
    <row r="102" spans="1:68" ht="18" customHeight="1" x14ac:dyDescent="0.2">
      <c r="A102" s="13">
        <v>2018</v>
      </c>
      <c r="B102" s="13"/>
      <c r="C102" s="13"/>
      <c r="D102" s="13"/>
      <c r="E102" s="13"/>
      <c r="F102" s="109">
        <v>0</v>
      </c>
      <c r="G102" s="109">
        <v>484</v>
      </c>
      <c r="H102" s="13"/>
      <c r="I102" s="345">
        <v>4529</v>
      </c>
      <c r="J102" s="13"/>
      <c r="K102" s="566">
        <v>4472</v>
      </c>
      <c r="L102" s="13"/>
      <c r="M102" s="109">
        <v>508</v>
      </c>
      <c r="N102" s="13"/>
      <c r="O102" s="109">
        <v>211</v>
      </c>
      <c r="P102" s="13"/>
      <c r="Q102" s="13"/>
      <c r="R102" s="13"/>
      <c r="S102" s="13"/>
      <c r="T102" s="13"/>
      <c r="U102" s="13"/>
      <c r="V102" s="13"/>
      <c r="W102" s="13"/>
      <c r="X102" s="13">
        <v>10221</v>
      </c>
      <c r="Y102" s="7"/>
      <c r="Z102" s="58">
        <v>15</v>
      </c>
      <c r="AB102">
        <f t="shared" si="20"/>
        <v>2.2567895782733496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68" ht="18" customHeight="1" x14ac:dyDescent="0.2">
      <c r="A103" s="13">
        <v>2019</v>
      </c>
      <c r="B103" s="13"/>
      <c r="C103" s="13"/>
      <c r="D103" s="13"/>
      <c r="E103" s="13"/>
      <c r="F103" s="109">
        <v>2</v>
      </c>
      <c r="G103" s="13"/>
      <c r="H103" s="338">
        <v>2622</v>
      </c>
      <c r="I103" s="156">
        <v>134</v>
      </c>
      <c r="J103" s="427">
        <v>2004</v>
      </c>
      <c r="K103" s="427">
        <v>1427</v>
      </c>
      <c r="L103" s="155">
        <v>220</v>
      </c>
      <c r="M103" s="155">
        <v>377</v>
      </c>
      <c r="N103" s="590">
        <v>743</v>
      </c>
      <c r="O103" s="109">
        <v>140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7"/>
      <c r="Z103" s="58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68" ht="18" customHeight="1" x14ac:dyDescent="0.2">
      <c r="A104" s="13">
        <v>2020</v>
      </c>
      <c r="B104" s="13"/>
      <c r="C104" s="13"/>
      <c r="D104" s="690">
        <v>0</v>
      </c>
      <c r="E104" s="691">
        <v>0</v>
      </c>
      <c r="F104" s="587">
        <v>11</v>
      </c>
      <c r="G104" s="109">
        <v>0</v>
      </c>
      <c r="H104" s="109">
        <v>21</v>
      </c>
      <c r="I104" s="13"/>
      <c r="J104" s="338">
        <v>2611</v>
      </c>
      <c r="K104" s="590">
        <v>1620</v>
      </c>
      <c r="L104" s="13"/>
      <c r="M104" s="590">
        <v>7895</v>
      </c>
      <c r="N104" s="13"/>
      <c r="O104" s="13"/>
      <c r="P104" s="155">
        <v>8</v>
      </c>
      <c r="Q104" s="13"/>
      <c r="R104" s="13"/>
      <c r="S104" s="13"/>
      <c r="T104" s="13"/>
      <c r="U104" s="13"/>
      <c r="V104" s="13"/>
      <c r="W104" s="13"/>
      <c r="X104" s="13">
        <v>18006</v>
      </c>
      <c r="Y104" s="7" t="s">
        <v>5</v>
      </c>
      <c r="Z104" s="58"/>
      <c r="AB104">
        <f t="shared" si="20"/>
        <v>2.2806839772007601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68" s="150" customFormat="1" ht="18" customHeight="1" x14ac:dyDescent="0.2">
      <c r="A105" s="89">
        <v>2021</v>
      </c>
      <c r="B105" s="89"/>
      <c r="C105" s="89"/>
      <c r="D105" s="220"/>
      <c r="E105" s="220"/>
      <c r="F105" s="587">
        <v>0</v>
      </c>
      <c r="G105" s="338">
        <v>370</v>
      </c>
      <c r="H105" s="109">
        <v>505</v>
      </c>
      <c r="I105" s="590">
        <v>4181</v>
      </c>
      <c r="J105" s="735"/>
      <c r="K105" s="590">
        <v>6511</v>
      </c>
      <c r="L105" s="89"/>
      <c r="M105" s="155">
        <v>6216</v>
      </c>
      <c r="N105" s="89"/>
      <c r="O105" s="89"/>
      <c r="P105" s="737"/>
      <c r="Q105" s="89"/>
      <c r="R105" s="89"/>
      <c r="S105" s="89"/>
      <c r="T105" s="89"/>
      <c r="U105" s="89"/>
      <c r="V105" s="89"/>
      <c r="W105" s="89"/>
      <c r="X105" s="89">
        <v>22585</v>
      </c>
      <c r="Y105" s="11"/>
      <c r="Z105" s="92"/>
      <c r="AB105">
        <f t="shared" si="20"/>
        <v>3.4687452004300416</v>
      </c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  <c r="AT105"/>
      <c r="AU105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s="150" customFormat="1" ht="18" customHeight="1" x14ac:dyDescent="0.2">
      <c r="A106" s="89">
        <v>2022</v>
      </c>
      <c r="B106" s="89"/>
      <c r="C106" s="89"/>
      <c r="D106" s="220"/>
      <c r="E106" s="220"/>
      <c r="F106" s="220"/>
      <c r="G106" s="338">
        <v>82</v>
      </c>
      <c r="H106" s="109">
        <v>13</v>
      </c>
      <c r="I106" s="590">
        <v>22</v>
      </c>
      <c r="J106" s="338">
        <v>0</v>
      </c>
      <c r="K106" s="736"/>
      <c r="L106" s="109">
        <v>621</v>
      </c>
      <c r="M106" s="737"/>
      <c r="N106" s="89"/>
      <c r="O106" s="109">
        <v>795</v>
      </c>
      <c r="P106" s="737"/>
      <c r="Q106" s="89"/>
      <c r="R106" s="89"/>
      <c r="S106" s="89"/>
      <c r="T106" s="89"/>
      <c r="U106" s="89"/>
      <c r="V106" s="89"/>
      <c r="W106" s="89"/>
      <c r="X106" s="89"/>
      <c r="Y106" s="11"/>
      <c r="Z106" s="92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/>
      <c r="AU106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s="150" customFormat="1" ht="18" customHeight="1" x14ac:dyDescent="0.2">
      <c r="A107" s="89">
        <v>2023</v>
      </c>
      <c r="B107" s="89"/>
      <c r="C107" s="89"/>
      <c r="D107" s="220"/>
      <c r="E107" s="587">
        <v>10</v>
      </c>
      <c r="F107" s="587">
        <v>0</v>
      </c>
      <c r="G107" s="587">
        <v>13</v>
      </c>
      <c r="H107" s="220"/>
      <c r="I107" s="587">
        <v>2616</v>
      </c>
      <c r="J107" s="220"/>
      <c r="K107" s="587">
        <v>11115</v>
      </c>
      <c r="L107" s="220"/>
      <c r="M107" s="220"/>
      <c r="N107" s="220"/>
      <c r="O107" s="220"/>
      <c r="P107" s="220"/>
      <c r="Q107" s="220"/>
      <c r="R107" s="220"/>
      <c r="S107" s="89"/>
      <c r="T107" s="89"/>
      <c r="U107" s="89"/>
      <c r="V107" s="89"/>
      <c r="W107" s="89"/>
      <c r="X107" s="89"/>
      <c r="Y107" s="11"/>
      <c r="Z107" s="92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/>
      <c r="AU107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8" customHeight="1" x14ac:dyDescent="0.2">
      <c r="A108" s="64" t="s">
        <v>17</v>
      </c>
      <c r="B108" s="16"/>
      <c r="C108" s="16">
        <f>AVERAGE(C79:C93)</f>
        <v>0</v>
      </c>
      <c r="D108" s="16">
        <f t="shared" ref="D108:U108" si="21">AVERAGE(D79:D93)</f>
        <v>0</v>
      </c>
      <c r="E108" s="16">
        <f t="shared" si="21"/>
        <v>4</v>
      </c>
      <c r="F108" s="16">
        <f t="shared" si="21"/>
        <v>193.25</v>
      </c>
      <c r="G108" s="16">
        <f t="shared" si="21"/>
        <v>97.75</v>
      </c>
      <c r="H108" s="16">
        <f t="shared" si="21"/>
        <v>312.83333333333331</v>
      </c>
      <c r="I108" s="16">
        <f t="shared" si="21"/>
        <v>448.28571428571428</v>
      </c>
      <c r="J108" s="16">
        <f t="shared" si="21"/>
        <v>1846</v>
      </c>
      <c r="K108" s="16">
        <f t="shared" si="21"/>
        <v>7641.833333333333</v>
      </c>
      <c r="L108" s="16">
        <f t="shared" si="21"/>
        <v>13029.1</v>
      </c>
      <c r="M108" s="16">
        <f t="shared" si="21"/>
        <v>15379.285714285714</v>
      </c>
      <c r="N108" s="16">
        <f t="shared" si="21"/>
        <v>7721.8571428571431</v>
      </c>
      <c r="O108" s="16">
        <f t="shared" si="21"/>
        <v>2233.75</v>
      </c>
      <c r="P108" s="16">
        <f t="shared" si="21"/>
        <v>194</v>
      </c>
      <c r="Q108" s="16">
        <f t="shared" si="21"/>
        <v>96.428571428571431</v>
      </c>
      <c r="R108" s="16">
        <f t="shared" si="21"/>
        <v>14.5</v>
      </c>
      <c r="S108" s="16">
        <f t="shared" si="21"/>
        <v>13</v>
      </c>
      <c r="T108" s="16">
        <f t="shared" si="21"/>
        <v>1.5</v>
      </c>
      <c r="U108" s="16">
        <f t="shared" si="21"/>
        <v>3</v>
      </c>
      <c r="V108" s="16"/>
      <c r="W108" s="16"/>
      <c r="X108" s="16">
        <f>AVERAGE(X79:X93)</f>
        <v>36349.071428571428</v>
      </c>
      <c r="Y108" s="17"/>
      <c r="Z108" s="16">
        <f>AVERAGE(Z79:Z93)</f>
        <v>13</v>
      </c>
      <c r="AF108"/>
      <c r="AG108"/>
      <c r="AH108"/>
      <c r="AI108"/>
      <c r="AJ108"/>
      <c r="AK108"/>
      <c r="AL108"/>
      <c r="AM108"/>
      <c r="AN108"/>
      <c r="AO108"/>
      <c r="AT108"/>
      <c r="AU108"/>
    </row>
    <row r="109" spans="1:68" x14ac:dyDescent="0.2">
      <c r="AF109"/>
      <c r="AG109"/>
      <c r="AH109"/>
      <c r="AI109"/>
      <c r="AJ109"/>
      <c r="AK109"/>
      <c r="AL109"/>
      <c r="AM109"/>
      <c r="AN109"/>
      <c r="AO109"/>
      <c r="AT109"/>
      <c r="AU109"/>
    </row>
    <row r="110" spans="1:68" x14ac:dyDescent="0.2">
      <c r="A110" s="1002" t="s">
        <v>649</v>
      </c>
      <c r="B110" s="1003"/>
      <c r="C110" s="1003"/>
      <c r="D110" s="1003"/>
      <c r="E110" s="1003"/>
      <c r="F110" s="1003"/>
      <c r="G110" s="1003"/>
      <c r="H110" s="1003"/>
      <c r="I110" s="100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245" t="s">
        <v>412</v>
      </c>
      <c r="AT110" s="151"/>
      <c r="AU110" s="151"/>
      <c r="BF110" s="150"/>
    </row>
    <row r="111" spans="1:68" ht="13.5" thickBo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"/>
      <c r="AT111" s="151"/>
      <c r="AU111" s="151"/>
      <c r="BF111" s="150"/>
    </row>
    <row r="112" spans="1:68" ht="13.5" thickTop="1" x14ac:dyDescent="0.2">
      <c r="A112" s="1004" t="s">
        <v>0</v>
      </c>
      <c r="B112" s="1006" t="s">
        <v>1</v>
      </c>
      <c r="C112" s="1006"/>
      <c r="D112" s="1006"/>
      <c r="E112" s="1006"/>
      <c r="F112" s="1006"/>
      <c r="G112" s="1006"/>
      <c r="H112" s="1006"/>
      <c r="I112" s="1006"/>
      <c r="J112" s="1006"/>
      <c r="K112" s="1006"/>
      <c r="L112" s="1006"/>
      <c r="M112" s="1006"/>
      <c r="N112" s="1006"/>
      <c r="O112" s="1006"/>
      <c r="P112" s="1006"/>
      <c r="Q112" s="1006"/>
      <c r="R112" s="1006"/>
      <c r="S112" s="1006"/>
      <c r="T112" s="1006"/>
      <c r="U112" s="1006"/>
      <c r="V112" s="1006"/>
      <c r="W112" s="1006"/>
      <c r="X112" s="1004" t="s">
        <v>2</v>
      </c>
      <c r="Y112" s="1010" t="s">
        <v>3</v>
      </c>
      <c r="Z112" s="1008" t="s">
        <v>4</v>
      </c>
    </row>
    <row r="113" spans="1:57" x14ac:dyDescent="0.2">
      <c r="A113" s="1005"/>
      <c r="B113" s="18">
        <v>81</v>
      </c>
      <c r="C113" s="18">
        <v>82</v>
      </c>
      <c r="D113" s="18">
        <v>83</v>
      </c>
      <c r="E113" s="18">
        <v>84</v>
      </c>
      <c r="F113" s="18">
        <v>91</v>
      </c>
      <c r="G113" s="18">
        <v>92</v>
      </c>
      <c r="H113" s="18">
        <v>93</v>
      </c>
      <c r="I113" s="18">
        <v>94</v>
      </c>
      <c r="J113" s="18">
        <v>101</v>
      </c>
      <c r="K113" s="18">
        <v>102</v>
      </c>
      <c r="L113" s="18">
        <v>103</v>
      </c>
      <c r="M113" s="18">
        <v>104</v>
      </c>
      <c r="N113" s="18">
        <v>105</v>
      </c>
      <c r="O113" s="18">
        <v>111</v>
      </c>
      <c r="P113" s="18">
        <v>112</v>
      </c>
      <c r="Q113" s="18">
        <v>113</v>
      </c>
      <c r="R113" s="18">
        <v>114</v>
      </c>
      <c r="S113" s="18">
        <v>115</v>
      </c>
      <c r="T113" s="18">
        <v>121</v>
      </c>
      <c r="U113" s="18">
        <v>122</v>
      </c>
      <c r="V113" s="18">
        <v>123</v>
      </c>
      <c r="W113" s="18">
        <v>124</v>
      </c>
      <c r="X113" s="1005"/>
      <c r="Y113" s="1011"/>
      <c r="Z113" s="1009"/>
      <c r="AA113" s="2" t="s">
        <v>414</v>
      </c>
      <c r="AB113" s="2" t="s">
        <v>418</v>
      </c>
    </row>
    <row r="114" spans="1:57" x14ac:dyDescent="0.2">
      <c r="A114" s="13">
        <v>1995</v>
      </c>
      <c r="B114" s="13"/>
      <c r="C114" s="13"/>
      <c r="D114" s="13"/>
      <c r="E114" s="13"/>
      <c r="F114" s="13"/>
      <c r="G114" s="105">
        <v>35</v>
      </c>
      <c r="H114" s="6"/>
      <c r="I114" s="503">
        <v>127</v>
      </c>
      <c r="J114" s="6"/>
      <c r="K114" s="6"/>
      <c r="L114" s="503">
        <v>14</v>
      </c>
      <c r="M114" s="6"/>
      <c r="N114" s="503">
        <v>48</v>
      </c>
      <c r="O114" s="13"/>
      <c r="P114" s="13"/>
      <c r="Q114" s="13"/>
      <c r="R114" s="13"/>
      <c r="S114" s="13"/>
      <c r="T114" s="13"/>
      <c r="U114" s="13"/>
      <c r="V114" s="13"/>
      <c r="W114" s="13"/>
      <c r="X114" s="316">
        <v>161</v>
      </c>
      <c r="Y114" s="2" t="s">
        <v>5</v>
      </c>
      <c r="Z114" s="225">
        <v>25</v>
      </c>
      <c r="AA114" s="502" t="s">
        <v>316</v>
      </c>
      <c r="AB114" s="2">
        <f t="shared" ref="AB114:AB139" si="22">X114/MAX(B114:W114)</f>
        <v>1.2677165354330708</v>
      </c>
    </row>
    <row r="115" spans="1:57" ht="51" x14ac:dyDescent="0.2">
      <c r="A115" s="13">
        <v>1996</v>
      </c>
      <c r="B115" s="13"/>
      <c r="C115" s="13"/>
      <c r="D115" s="13"/>
      <c r="E115" s="13"/>
      <c r="F115" s="503">
        <v>93</v>
      </c>
      <c r="G115" s="6"/>
      <c r="H115" s="503">
        <v>23</v>
      </c>
      <c r="I115" s="503">
        <v>43</v>
      </c>
      <c r="J115" s="503">
        <v>22</v>
      </c>
      <c r="K115" s="503">
        <v>12</v>
      </c>
      <c r="L115" s="503">
        <v>7</v>
      </c>
      <c r="M115" s="6"/>
      <c r="N115" s="503">
        <v>16</v>
      </c>
      <c r="O115" s="6"/>
      <c r="P115" s="6"/>
      <c r="Q115" s="503">
        <v>2</v>
      </c>
      <c r="R115" s="13"/>
      <c r="S115" s="13"/>
      <c r="T115" s="13"/>
      <c r="U115" s="13"/>
      <c r="V115" s="13"/>
      <c r="W115" s="13"/>
      <c r="X115" s="316">
        <v>116</v>
      </c>
      <c r="Y115" s="2" t="s">
        <v>9</v>
      </c>
      <c r="Z115" s="225"/>
      <c r="AA115" s="502" t="s">
        <v>413</v>
      </c>
      <c r="AB115" s="2">
        <f t="shared" si="22"/>
        <v>1.2473118279569892</v>
      </c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</row>
    <row r="116" spans="1:57" x14ac:dyDescent="0.2">
      <c r="A116" s="13">
        <v>1997</v>
      </c>
      <c r="B116" s="6"/>
      <c r="C116" s="6"/>
      <c r="D116" s="503">
        <v>168</v>
      </c>
      <c r="E116" s="6"/>
      <c r="F116" s="503">
        <v>458</v>
      </c>
      <c r="G116" s="6"/>
      <c r="H116" s="503">
        <v>369</v>
      </c>
      <c r="I116" s="503">
        <v>486</v>
      </c>
      <c r="J116" s="6"/>
      <c r="K116" s="6"/>
      <c r="L116" s="503">
        <v>290</v>
      </c>
      <c r="M116" s="503">
        <v>92</v>
      </c>
      <c r="N116" s="6"/>
      <c r="O116" s="6"/>
      <c r="P116" s="503">
        <v>92</v>
      </c>
      <c r="Q116" s="6"/>
      <c r="R116" s="6"/>
      <c r="S116" s="503">
        <v>4</v>
      </c>
      <c r="T116" s="13"/>
      <c r="U116" s="13"/>
      <c r="V116" s="13"/>
      <c r="W116" s="13"/>
      <c r="X116" s="316">
        <v>962</v>
      </c>
      <c r="Y116" s="2" t="s">
        <v>5</v>
      </c>
      <c r="Z116" s="225">
        <v>35</v>
      </c>
      <c r="AA116" s="502" t="s">
        <v>370</v>
      </c>
      <c r="AB116" s="2">
        <f t="shared" si="22"/>
        <v>1.9794238683127572</v>
      </c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</row>
    <row r="117" spans="1:57" x14ac:dyDescent="0.2">
      <c r="A117" s="13">
        <v>1998</v>
      </c>
      <c r="B117" s="13"/>
      <c r="C117" s="504">
        <v>108</v>
      </c>
      <c r="D117" s="13"/>
      <c r="E117" s="13"/>
      <c r="F117" s="13"/>
      <c r="G117" s="13"/>
      <c r="H117" s="504">
        <v>191</v>
      </c>
      <c r="I117" s="13"/>
      <c r="J117" s="13"/>
      <c r="K117" s="13"/>
      <c r="L117" s="13"/>
      <c r="M117" s="504">
        <v>108</v>
      </c>
      <c r="N117" s="13"/>
      <c r="O117" s="504">
        <v>169</v>
      </c>
      <c r="P117" s="13"/>
      <c r="Q117" s="13"/>
      <c r="R117" s="13"/>
      <c r="S117" s="504">
        <v>10</v>
      </c>
      <c r="T117" s="13"/>
      <c r="U117" s="13"/>
      <c r="V117" s="13"/>
      <c r="W117" s="13"/>
      <c r="X117" s="316">
        <v>546</v>
      </c>
      <c r="Y117" s="2" t="s">
        <v>5</v>
      </c>
      <c r="Z117" s="225">
        <v>35</v>
      </c>
      <c r="AA117" s="502" t="s">
        <v>370</v>
      </c>
      <c r="AB117" s="2">
        <f t="shared" si="22"/>
        <v>2.8586387434554972</v>
      </c>
    </row>
    <row r="118" spans="1:57" x14ac:dyDescent="0.2">
      <c r="A118" s="13">
        <v>1999</v>
      </c>
      <c r="B118" s="13"/>
      <c r="C118" s="13"/>
      <c r="D118" s="13"/>
      <c r="E118" s="13"/>
      <c r="F118" s="13"/>
      <c r="G118" s="503">
        <v>45</v>
      </c>
      <c r="H118" s="6"/>
      <c r="I118" s="6"/>
      <c r="J118" s="503">
        <v>499</v>
      </c>
      <c r="K118" s="503">
        <v>100</v>
      </c>
      <c r="L118" s="6"/>
      <c r="M118" s="503">
        <v>220</v>
      </c>
      <c r="N118" s="6"/>
      <c r="O118" s="503">
        <v>244</v>
      </c>
      <c r="P118" s="6"/>
      <c r="Q118" s="503">
        <v>17</v>
      </c>
      <c r="R118" s="6"/>
      <c r="S118" s="6"/>
      <c r="T118" s="1"/>
      <c r="U118" s="505">
        <v>3</v>
      </c>
      <c r="V118" s="13"/>
      <c r="W118" s="13"/>
      <c r="X118" s="316">
        <v>832</v>
      </c>
      <c r="Y118" s="2" t="s">
        <v>9</v>
      </c>
      <c r="Z118" s="225"/>
      <c r="AA118" s="502" t="s">
        <v>370</v>
      </c>
      <c r="AB118" s="2">
        <f t="shared" si="22"/>
        <v>1.6673346693386772</v>
      </c>
    </row>
    <row r="119" spans="1:57" x14ac:dyDescent="0.2">
      <c r="A119" s="13">
        <v>2000</v>
      </c>
      <c r="B119" s="13"/>
      <c r="C119" s="13"/>
      <c r="D119" s="13"/>
      <c r="E119" s="13"/>
      <c r="F119" s="13"/>
      <c r="G119" s="503">
        <v>205</v>
      </c>
      <c r="H119" s="503">
        <v>247</v>
      </c>
      <c r="I119" s="503">
        <v>108</v>
      </c>
      <c r="J119" s="6"/>
      <c r="K119" s="503">
        <v>128</v>
      </c>
      <c r="L119" s="503">
        <v>132</v>
      </c>
      <c r="M119" s="6"/>
      <c r="N119" s="503">
        <v>40</v>
      </c>
      <c r="O119" s="6"/>
      <c r="P119" s="503">
        <v>13</v>
      </c>
      <c r="Q119" s="6"/>
      <c r="R119" s="503">
        <v>6</v>
      </c>
      <c r="S119" s="6"/>
      <c r="T119" s="505">
        <v>0</v>
      </c>
      <c r="U119" s="13"/>
      <c r="V119" s="13"/>
      <c r="W119" s="13"/>
      <c r="X119" s="316">
        <v>400</v>
      </c>
      <c r="Y119" s="2" t="s">
        <v>5</v>
      </c>
      <c r="Z119" s="225">
        <v>35</v>
      </c>
      <c r="AA119" s="502" t="s">
        <v>370</v>
      </c>
      <c r="AB119" s="2">
        <f t="shared" si="22"/>
        <v>1.6194331983805668</v>
      </c>
    </row>
    <row r="120" spans="1:57" x14ac:dyDescent="0.2">
      <c r="A120" s="13">
        <v>2001</v>
      </c>
      <c r="B120" s="13"/>
      <c r="C120" s="13"/>
      <c r="D120" s="13"/>
      <c r="E120" s="13"/>
      <c r="F120" s="504">
        <v>100</v>
      </c>
      <c r="G120" s="13"/>
      <c r="H120" s="504">
        <v>429</v>
      </c>
      <c r="I120" s="13"/>
      <c r="J120" s="504">
        <v>95</v>
      </c>
      <c r="K120" s="13"/>
      <c r="L120" s="504">
        <v>32</v>
      </c>
      <c r="M120" s="504">
        <v>0</v>
      </c>
      <c r="N120" s="13"/>
      <c r="O120" s="504">
        <v>34</v>
      </c>
      <c r="P120" s="13"/>
      <c r="Q120" s="13"/>
      <c r="R120" s="504">
        <v>7</v>
      </c>
      <c r="S120" s="504">
        <v>5</v>
      </c>
      <c r="T120" s="13"/>
      <c r="U120" s="504">
        <v>0</v>
      </c>
      <c r="V120" s="13"/>
      <c r="W120" s="13"/>
      <c r="X120" s="316">
        <v>517</v>
      </c>
      <c r="Y120" s="2" t="s">
        <v>5</v>
      </c>
      <c r="Z120" s="231">
        <v>22.5</v>
      </c>
      <c r="AA120" s="502" t="s">
        <v>370</v>
      </c>
      <c r="AB120" s="2">
        <f t="shared" si="22"/>
        <v>1.2051282051282051</v>
      </c>
    </row>
    <row r="121" spans="1:57" x14ac:dyDescent="0.2">
      <c r="A121" s="13">
        <v>2002</v>
      </c>
      <c r="B121" s="13"/>
      <c r="C121" s="13"/>
      <c r="D121" s="13"/>
      <c r="E121" s="13"/>
      <c r="F121" s="13"/>
      <c r="G121" s="504">
        <v>50</v>
      </c>
      <c r="H121" s="13"/>
      <c r="I121" s="504">
        <v>139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316">
        <v>174</v>
      </c>
      <c r="Y121" s="2" t="s">
        <v>9</v>
      </c>
      <c r="Z121" s="225"/>
      <c r="AA121" s="502" t="s">
        <v>374</v>
      </c>
      <c r="AB121" s="2">
        <f t="shared" si="22"/>
        <v>1.2517985611510791</v>
      </c>
    </row>
    <row r="122" spans="1:57" x14ac:dyDescent="0.2">
      <c r="A122" s="13">
        <v>2003</v>
      </c>
      <c r="B122" s="13"/>
      <c r="C122" s="13"/>
      <c r="D122" s="13"/>
      <c r="E122" s="13"/>
      <c r="F122" s="504">
        <v>2</v>
      </c>
      <c r="G122" s="504">
        <v>35</v>
      </c>
      <c r="H122" s="13"/>
      <c r="I122" s="13"/>
      <c r="J122" s="504">
        <v>36</v>
      </c>
      <c r="K122" s="504">
        <v>0</v>
      </c>
      <c r="L122" s="13"/>
      <c r="M122" s="13"/>
      <c r="N122" s="504">
        <v>12</v>
      </c>
      <c r="O122" s="13"/>
      <c r="P122" s="13"/>
      <c r="Q122" s="504">
        <v>0</v>
      </c>
      <c r="R122" s="13"/>
      <c r="S122" s="13"/>
      <c r="T122" s="13"/>
      <c r="U122" s="13"/>
      <c r="V122" s="13"/>
      <c r="W122" s="13"/>
      <c r="X122" s="316">
        <v>57</v>
      </c>
      <c r="Y122" s="2" t="s">
        <v>5</v>
      </c>
      <c r="Z122" s="231">
        <v>37.5</v>
      </c>
      <c r="AA122" s="502" t="s">
        <v>374</v>
      </c>
      <c r="AB122" s="2">
        <f t="shared" si="22"/>
        <v>1.5833333333333333</v>
      </c>
    </row>
    <row r="123" spans="1:57" x14ac:dyDescent="0.2">
      <c r="A123" s="13">
        <v>2004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316"/>
      <c r="Z123" s="225"/>
      <c r="AA123" s="502"/>
    </row>
    <row r="124" spans="1:57" x14ac:dyDescent="0.2">
      <c r="A124" s="13">
        <v>2005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316">
        <v>62</v>
      </c>
      <c r="Y124" s="2" t="s">
        <v>5</v>
      </c>
      <c r="Z124" s="225">
        <v>45</v>
      </c>
      <c r="AA124" s="502" t="s">
        <v>372</v>
      </c>
    </row>
    <row r="125" spans="1:57" x14ac:dyDescent="0.2">
      <c r="A125" s="13">
        <v>2006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316">
        <v>20</v>
      </c>
      <c r="Y125" s="2" t="s">
        <v>9</v>
      </c>
      <c r="Z125" s="225"/>
      <c r="AA125" s="502" t="s">
        <v>374</v>
      </c>
    </row>
    <row r="126" spans="1:57" x14ac:dyDescent="0.2">
      <c r="A126" s="13">
        <v>2007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316">
        <v>90</v>
      </c>
      <c r="Y126" s="2" t="s">
        <v>5</v>
      </c>
      <c r="Z126" s="231">
        <v>37.5</v>
      </c>
      <c r="AA126" s="502" t="s">
        <v>374</v>
      </c>
    </row>
    <row r="127" spans="1:57" x14ac:dyDescent="0.2">
      <c r="A127" s="13">
        <v>2008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316">
        <v>29</v>
      </c>
      <c r="Y127" s="2" t="s">
        <v>5</v>
      </c>
      <c r="Z127" s="231">
        <v>37.5</v>
      </c>
      <c r="AA127" s="502" t="s">
        <v>374</v>
      </c>
    </row>
    <row r="128" spans="1:57" x14ac:dyDescent="0.2">
      <c r="A128" s="13">
        <v>2009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316">
        <v>140</v>
      </c>
      <c r="Y128" s="2" t="s">
        <v>5</v>
      </c>
      <c r="Z128" s="225">
        <v>40</v>
      </c>
      <c r="AA128" s="502" t="s">
        <v>376</v>
      </c>
    </row>
    <row r="129" spans="1:68" x14ac:dyDescent="0.2">
      <c r="A129" s="13">
        <v>2010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316">
        <v>83</v>
      </c>
      <c r="Y129" s="2" t="s">
        <v>9</v>
      </c>
      <c r="Z129" s="225"/>
      <c r="AA129" s="502" t="s">
        <v>415</v>
      </c>
    </row>
    <row r="130" spans="1:68" x14ac:dyDescent="0.2">
      <c r="A130" s="13">
        <v>2011</v>
      </c>
      <c r="B130" s="13"/>
      <c r="C130" s="13"/>
      <c r="D130" s="13"/>
      <c r="E130" s="13"/>
      <c r="F130" s="13"/>
      <c r="G130" s="13"/>
      <c r="H130" s="13"/>
      <c r="I130" s="13"/>
      <c r="J130" s="504">
        <v>680</v>
      </c>
      <c r="K130" s="13"/>
      <c r="L130" s="13"/>
      <c r="M130" s="13"/>
      <c r="N130" s="504">
        <v>172</v>
      </c>
      <c r="O130" s="13"/>
      <c r="P130" s="13"/>
      <c r="Q130" s="13"/>
      <c r="R130" s="13"/>
      <c r="S130" s="13"/>
      <c r="T130" s="13"/>
      <c r="U130" s="13"/>
      <c r="V130" s="13"/>
      <c r="W130" s="13"/>
      <c r="X130" s="316">
        <v>945</v>
      </c>
      <c r="Y130" s="2" t="s">
        <v>9</v>
      </c>
      <c r="Z130" s="225"/>
      <c r="AA130" s="502" t="s">
        <v>376</v>
      </c>
    </row>
    <row r="131" spans="1:68" x14ac:dyDescent="0.2">
      <c r="A131" s="13">
        <v>2012</v>
      </c>
      <c r="B131" s="13"/>
      <c r="C131" s="13"/>
      <c r="D131" s="13"/>
      <c r="E131" s="13"/>
      <c r="F131" s="107">
        <v>2</v>
      </c>
      <c r="G131" s="107">
        <v>10</v>
      </c>
      <c r="H131" s="107">
        <v>14</v>
      </c>
      <c r="I131" s="13"/>
      <c r="J131" s="13"/>
      <c r="K131" s="108">
        <v>7</v>
      </c>
      <c r="L131" s="108">
        <v>0</v>
      </c>
      <c r="M131" s="504">
        <v>71</v>
      </c>
      <c r="N131" s="13"/>
      <c r="O131" s="13"/>
      <c r="P131" s="504">
        <v>13</v>
      </c>
      <c r="Q131" s="13"/>
      <c r="R131" s="13"/>
      <c r="S131" s="13"/>
      <c r="T131" s="13"/>
      <c r="U131" s="13"/>
      <c r="V131" s="13"/>
      <c r="W131" s="13"/>
      <c r="X131" s="316" t="s">
        <v>336</v>
      </c>
      <c r="Z131" s="225"/>
      <c r="AA131" s="502" t="s">
        <v>415</v>
      </c>
      <c r="BJ131" s="150"/>
      <c r="BK131" s="150"/>
      <c r="BL131" s="150"/>
      <c r="BM131" s="150"/>
      <c r="BN131" s="150"/>
      <c r="BO131" s="150"/>
      <c r="BP131" s="150"/>
    </row>
    <row r="132" spans="1:68" x14ac:dyDescent="0.2">
      <c r="A132" s="13">
        <v>2013</v>
      </c>
      <c r="B132" s="13"/>
      <c r="C132" s="13"/>
      <c r="D132" s="13"/>
      <c r="E132" s="13"/>
      <c r="F132" s="504">
        <v>105</v>
      </c>
      <c r="G132" s="13"/>
      <c r="H132" s="13"/>
      <c r="I132" s="504">
        <v>83</v>
      </c>
      <c r="J132" s="13"/>
      <c r="K132" s="504">
        <v>56</v>
      </c>
      <c r="L132" s="13"/>
      <c r="M132" s="504">
        <v>78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316">
        <v>306</v>
      </c>
      <c r="Y132" s="2" t="s">
        <v>5</v>
      </c>
      <c r="Z132" s="225">
        <v>25</v>
      </c>
      <c r="AA132" s="502" t="s">
        <v>374</v>
      </c>
      <c r="BG132" s="150"/>
      <c r="BH132" s="150"/>
      <c r="BI132" s="150"/>
      <c r="BJ132" s="150"/>
      <c r="BK132" s="150"/>
      <c r="BL132" s="150"/>
      <c r="BM132" s="150"/>
      <c r="BN132" s="150"/>
      <c r="BO132" s="150"/>
      <c r="BP132" s="150"/>
    </row>
    <row r="133" spans="1:68" x14ac:dyDescent="0.2">
      <c r="A133" s="13">
        <v>2014</v>
      </c>
      <c r="B133" s="13"/>
      <c r="C133" s="13"/>
      <c r="D133" s="13"/>
      <c r="E133" s="13"/>
      <c r="F133" s="504">
        <v>0</v>
      </c>
      <c r="G133" s="504">
        <v>75</v>
      </c>
      <c r="H133" s="13"/>
      <c r="I133" s="504">
        <v>0</v>
      </c>
      <c r="J133" s="504">
        <v>55</v>
      </c>
      <c r="K133" s="504">
        <v>31</v>
      </c>
      <c r="L133" s="13"/>
      <c r="M133" s="13"/>
      <c r="N133" s="13"/>
      <c r="O133" s="13"/>
      <c r="P133" s="504">
        <v>1</v>
      </c>
      <c r="Q133" s="13"/>
      <c r="R133" s="13"/>
      <c r="S133" s="13"/>
      <c r="T133" s="13"/>
      <c r="U133" s="13"/>
      <c r="V133" s="13"/>
      <c r="W133" s="13"/>
      <c r="X133" s="316">
        <v>83</v>
      </c>
      <c r="Y133" s="2" t="s">
        <v>9</v>
      </c>
      <c r="Z133" s="225"/>
      <c r="AA133" s="502" t="s">
        <v>376</v>
      </c>
      <c r="BG133" s="150"/>
      <c r="BH133" s="150"/>
      <c r="BI133" s="150"/>
    </row>
    <row r="134" spans="1:68" x14ac:dyDescent="0.2">
      <c r="A134" s="13">
        <v>2015</v>
      </c>
      <c r="B134" s="13"/>
      <c r="C134" s="13"/>
      <c r="D134" s="13"/>
      <c r="E134" s="13"/>
      <c r="F134" s="13">
        <v>8</v>
      </c>
      <c r="G134" s="13"/>
      <c r="H134" s="13">
        <v>48</v>
      </c>
      <c r="I134" s="13"/>
      <c r="J134" s="13">
        <v>52</v>
      </c>
      <c r="K134" s="13"/>
      <c r="L134" s="13">
        <v>9</v>
      </c>
      <c r="M134" s="130">
        <v>25</v>
      </c>
      <c r="N134" s="13">
        <v>11</v>
      </c>
      <c r="O134" s="13"/>
      <c r="P134" s="13"/>
      <c r="Q134" s="13"/>
      <c r="R134" s="13"/>
      <c r="S134" s="13"/>
      <c r="T134" s="13"/>
      <c r="U134" s="13"/>
      <c r="V134" s="13"/>
      <c r="W134" s="13"/>
      <c r="X134" s="316">
        <v>74</v>
      </c>
      <c r="Y134" s="224" t="s">
        <v>5</v>
      </c>
      <c r="Z134" s="225">
        <v>30</v>
      </c>
      <c r="AA134" s="502" t="s">
        <v>372</v>
      </c>
      <c r="AB134" s="2">
        <f t="shared" si="22"/>
        <v>1.4230769230769231</v>
      </c>
    </row>
    <row r="135" spans="1:68" x14ac:dyDescent="0.2">
      <c r="A135" s="13">
        <v>2016</v>
      </c>
      <c r="G135" s="189">
        <v>51</v>
      </c>
      <c r="H135" s="189">
        <v>30</v>
      </c>
      <c r="I135" s="189">
        <v>19</v>
      </c>
      <c r="J135" s="303">
        <v>14</v>
      </c>
      <c r="L135" s="303">
        <v>38</v>
      </c>
      <c r="X135" s="501">
        <v>67</v>
      </c>
      <c r="Z135" s="60">
        <v>30</v>
      </c>
      <c r="AA135" s="502" t="s">
        <v>372</v>
      </c>
      <c r="AB135" s="2">
        <f t="shared" si="22"/>
        <v>1.3137254901960784</v>
      </c>
    </row>
    <row r="136" spans="1:68" x14ac:dyDescent="0.2">
      <c r="A136" s="13">
        <v>2017</v>
      </c>
      <c r="F136" s="189">
        <v>32</v>
      </c>
      <c r="G136" s="189">
        <v>99</v>
      </c>
      <c r="H136" s="189">
        <v>12</v>
      </c>
      <c r="I136" s="189">
        <v>28</v>
      </c>
      <c r="J136" s="189">
        <v>8</v>
      </c>
      <c r="K136" s="189">
        <v>29</v>
      </c>
      <c r="M136" s="343">
        <v>12</v>
      </c>
      <c r="N136" s="189">
        <v>18</v>
      </c>
      <c r="X136" s="501">
        <v>110</v>
      </c>
      <c r="AB136" s="2">
        <f t="shared" si="22"/>
        <v>1.1111111111111112</v>
      </c>
    </row>
    <row r="137" spans="1:68" x14ac:dyDescent="0.2">
      <c r="A137" s="13">
        <v>2018</v>
      </c>
      <c r="F137" s="464">
        <v>3</v>
      </c>
      <c r="G137" s="464">
        <v>6</v>
      </c>
      <c r="I137" s="464">
        <v>20</v>
      </c>
      <c r="K137" s="189">
        <v>22</v>
      </c>
      <c r="M137" s="189">
        <v>18</v>
      </c>
      <c r="O137" s="189">
        <v>3</v>
      </c>
      <c r="X137" s="2">
        <v>32</v>
      </c>
      <c r="Z137" s="2">
        <v>35</v>
      </c>
      <c r="AB137" s="2">
        <f t="shared" si="22"/>
        <v>1.4545454545454546</v>
      </c>
    </row>
    <row r="138" spans="1:68" x14ac:dyDescent="0.2">
      <c r="A138" s="13">
        <v>2019</v>
      </c>
      <c r="F138" s="464">
        <v>4</v>
      </c>
      <c r="H138" s="464">
        <v>5</v>
      </c>
      <c r="I138" s="240">
        <v>0</v>
      </c>
      <c r="J138" s="240">
        <v>4</v>
      </c>
      <c r="K138" s="106">
        <v>2</v>
      </c>
      <c r="L138" s="464">
        <v>0</v>
      </c>
      <c r="M138" s="464">
        <v>0</v>
      </c>
      <c r="N138" s="464">
        <v>1</v>
      </c>
      <c r="O138" s="464">
        <v>1</v>
      </c>
      <c r="Z138" s="2"/>
    </row>
    <row r="139" spans="1:68" x14ac:dyDescent="0.2">
      <c r="A139" s="13">
        <v>2020</v>
      </c>
      <c r="D139" s="690">
        <v>0</v>
      </c>
      <c r="E139" s="691">
        <v>0</v>
      </c>
      <c r="F139" s="587">
        <v>4</v>
      </c>
      <c r="G139" s="106">
        <v>10</v>
      </c>
      <c r="H139" s="106">
        <v>32</v>
      </c>
      <c r="J139" s="464">
        <v>0</v>
      </c>
      <c r="K139" s="106">
        <v>16</v>
      </c>
      <c r="L139" s="1"/>
      <c r="M139" s="106">
        <v>47</v>
      </c>
      <c r="P139" s="156">
        <v>2</v>
      </c>
      <c r="X139" s="2">
        <v>63</v>
      </c>
      <c r="Y139" s="2" t="s">
        <v>5</v>
      </c>
      <c r="Z139" s="2"/>
      <c r="AB139" s="2">
        <f t="shared" si="22"/>
        <v>1.3404255319148937</v>
      </c>
    </row>
    <row r="140" spans="1:68" s="150" customFormat="1" x14ac:dyDescent="0.2">
      <c r="A140" s="89">
        <v>2021</v>
      </c>
      <c r="D140" s="220"/>
      <c r="E140" s="220"/>
      <c r="F140" s="587">
        <v>0</v>
      </c>
      <c r="G140" s="106">
        <v>31</v>
      </c>
      <c r="H140" s="106">
        <v>0</v>
      </c>
      <c r="I140" s="464">
        <v>23</v>
      </c>
      <c r="J140" s="743"/>
      <c r="K140" s="106">
        <v>16</v>
      </c>
      <c r="L140" s="227"/>
      <c r="M140" s="106">
        <v>16</v>
      </c>
      <c r="P140" s="558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 s="150" customFormat="1" x14ac:dyDescent="0.2">
      <c r="A141" s="89">
        <v>2022</v>
      </c>
      <c r="D141" s="220"/>
      <c r="E141" s="220"/>
      <c r="F141" s="220"/>
      <c r="G141" s="106">
        <v>31</v>
      </c>
      <c r="H141" s="106">
        <v>115</v>
      </c>
      <c r="I141" s="464">
        <v>93</v>
      </c>
      <c r="J141" s="464">
        <v>0</v>
      </c>
      <c r="K141" s="227"/>
      <c r="L141" s="106">
        <v>0</v>
      </c>
      <c r="M141" s="227"/>
      <c r="O141" s="106">
        <v>17</v>
      </c>
      <c r="P141" s="558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1:68" s="150" customFormat="1" x14ac:dyDescent="0.2">
      <c r="A142" s="89">
        <v>2023</v>
      </c>
      <c r="D142" s="220"/>
      <c r="E142" s="587">
        <v>14</v>
      </c>
      <c r="F142" s="587">
        <v>0</v>
      </c>
      <c r="G142" s="703">
        <v>9</v>
      </c>
      <c r="H142" s="220"/>
      <c r="I142" s="704">
        <v>9</v>
      </c>
      <c r="J142" s="220"/>
      <c r="K142" s="587">
        <v>9</v>
      </c>
      <c r="L142" s="220"/>
      <c r="M142" s="220"/>
      <c r="N142" s="220"/>
      <c r="O142" s="220"/>
      <c r="P142" s="220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1:68" x14ac:dyDescent="0.2">
      <c r="A143" s="297" t="s">
        <v>17</v>
      </c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297"/>
      <c r="P143" s="297"/>
      <c r="Q143" s="297"/>
      <c r="R143" s="297"/>
      <c r="S143" s="297"/>
      <c r="T143" s="297"/>
      <c r="U143" s="297"/>
      <c r="V143" s="297"/>
      <c r="W143" s="297"/>
      <c r="X143" s="297"/>
      <c r="Y143" s="297"/>
      <c r="Z143" s="298"/>
    </row>
    <row r="145" spans="46:58" x14ac:dyDescent="0.2">
      <c r="AT145" s="150"/>
      <c r="AU145" s="150"/>
      <c r="BF145" s="150"/>
    </row>
    <row r="146" spans="46:58" x14ac:dyDescent="0.2">
      <c r="AT146" s="150"/>
      <c r="AU146" s="150"/>
      <c r="BF146" s="150"/>
    </row>
    <row r="150" spans="46:58" x14ac:dyDescent="0.2"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</row>
    <row r="151" spans="46:58" x14ac:dyDescent="0.2"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</row>
  </sheetData>
  <mergeCells count="30">
    <mergeCell ref="Y112:Y113"/>
    <mergeCell ref="Z112:Z113"/>
    <mergeCell ref="X42:X43"/>
    <mergeCell ref="X7:X8"/>
    <mergeCell ref="A110:I110"/>
    <mergeCell ref="A112:A113"/>
    <mergeCell ref="B112:W112"/>
    <mergeCell ref="X112:X113"/>
    <mergeCell ref="Z77:Z78"/>
    <mergeCell ref="Y7:Y8"/>
    <mergeCell ref="Z7:Z8"/>
    <mergeCell ref="Y42:Y43"/>
    <mergeCell ref="Z42:Z43"/>
    <mergeCell ref="A75:I75"/>
    <mergeCell ref="A77:A78"/>
    <mergeCell ref="B77:W77"/>
    <mergeCell ref="X77:X78"/>
    <mergeCell ref="Y77:Y78"/>
    <mergeCell ref="A5:I5"/>
    <mergeCell ref="B7:W7"/>
    <mergeCell ref="A40:I40"/>
    <mergeCell ref="A7:A8"/>
    <mergeCell ref="A42:A43"/>
    <mergeCell ref="B42:W42"/>
    <mergeCell ref="AV9:AV10"/>
    <mergeCell ref="AW9:AW10"/>
    <mergeCell ref="AZ9:BA9"/>
    <mergeCell ref="AF9:AF10"/>
    <mergeCell ref="AG9:AG10"/>
    <mergeCell ref="AJ9:AK9"/>
  </mergeCells>
  <phoneticPr fontId="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AU163"/>
  <sheetViews>
    <sheetView zoomScale="75" workbookViewId="0">
      <pane ySplit="4" topLeftCell="A56" activePane="bottomLeft" state="frozen"/>
      <selection pane="bottomLeft" activeCell="AD68" sqref="AD68"/>
    </sheetView>
  </sheetViews>
  <sheetFormatPr defaultColWidth="9.140625" defaultRowHeight="12.75" x14ac:dyDescent="0.2"/>
  <cols>
    <col min="1" max="1" width="10.28515625" style="2" customWidth="1"/>
    <col min="2" max="2" width="8.7109375" style="2" customWidth="1"/>
    <col min="3" max="7" width="6.5703125" style="2" customWidth="1"/>
    <col min="8" max="8" width="7.7109375" style="2" customWidth="1"/>
    <col min="9" max="9" width="8" style="2" bestFit="1" customWidth="1"/>
    <col min="10" max="10" width="8.7109375" style="2" bestFit="1" customWidth="1"/>
    <col min="11" max="12" width="6.5703125" style="2" customWidth="1"/>
    <col min="13" max="13" width="7.85546875" style="2" customWidth="1"/>
    <col min="14" max="23" width="6.5703125" style="2" customWidth="1"/>
    <col min="24" max="24" width="9.140625" style="2"/>
    <col min="25" max="25" width="40.7109375" style="2" bestFit="1" customWidth="1"/>
    <col min="26" max="26" width="11" style="2" customWidth="1"/>
    <col min="27" max="27" width="9.140625" style="2"/>
    <col min="28" max="28" width="11" style="2" bestFit="1" customWidth="1"/>
    <col min="29" max="29" width="13" style="2" customWidth="1"/>
    <col min="30" max="30" width="12.5703125" style="2" bestFit="1" customWidth="1"/>
    <col min="31" max="33" width="9.140625" style="2"/>
    <col min="34" max="34" width="14.42578125" style="2" bestFit="1" customWidth="1"/>
    <col min="35" max="16384" width="9.140625" style="2"/>
  </cols>
  <sheetData>
    <row r="1" spans="1:47" ht="18" customHeight="1" x14ac:dyDescent="0.2">
      <c r="A1" s="1022" t="s">
        <v>12</v>
      </c>
      <c r="B1" s="1023"/>
      <c r="C1" s="1023"/>
      <c r="D1" s="1023"/>
      <c r="E1" s="1023"/>
      <c r="F1" s="1023"/>
      <c r="G1" s="1023"/>
      <c r="H1" s="1023"/>
      <c r="I1" s="1023"/>
      <c r="J1" s="32"/>
      <c r="K1" s="32"/>
      <c r="L1" s="31" t="s">
        <v>13</v>
      </c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B1" s="100" t="s">
        <v>98</v>
      </c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8" customHeight="1" thickBot="1" x14ac:dyDescent="0.25">
      <c r="A2" s="45"/>
      <c r="B2" s="34"/>
      <c r="C2" s="34"/>
      <c r="D2" s="34"/>
      <c r="E2" s="34"/>
      <c r="F2" s="34"/>
      <c r="G2" s="34"/>
      <c r="H2" s="34"/>
      <c r="I2" s="34"/>
      <c r="J2" s="388" t="s">
        <v>313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2"/>
      <c r="Y2" s="32"/>
      <c r="Z2" s="32"/>
      <c r="AB2" s="213" t="s">
        <v>138</v>
      </c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8" customHeight="1" thickTop="1" x14ac:dyDescent="0.2">
      <c r="A3" s="1018" t="s">
        <v>0</v>
      </c>
      <c r="B3" s="1024" t="s">
        <v>1</v>
      </c>
      <c r="C3" s="1024"/>
      <c r="D3" s="1024"/>
      <c r="E3" s="1024"/>
      <c r="F3" s="1024"/>
      <c r="G3" s="1024"/>
      <c r="H3" s="1024"/>
      <c r="I3" s="1024"/>
      <c r="J3" s="1024"/>
      <c r="K3" s="1024"/>
      <c r="L3" s="1024"/>
      <c r="M3" s="1024"/>
      <c r="N3" s="1024"/>
      <c r="O3" s="1024"/>
      <c r="P3" s="1024"/>
      <c r="Q3" s="1024"/>
      <c r="R3" s="1024"/>
      <c r="S3" s="1024"/>
      <c r="T3" s="1024"/>
      <c r="U3" s="1024"/>
      <c r="V3" s="1024"/>
      <c r="W3" s="1024"/>
      <c r="X3" s="1018" t="s">
        <v>2</v>
      </c>
      <c r="Y3" s="1010" t="s">
        <v>3</v>
      </c>
      <c r="Z3" s="1008" t="s">
        <v>4</v>
      </c>
      <c r="AB3" s="214" t="s">
        <v>139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8" customHeight="1" x14ac:dyDescent="0.2">
      <c r="A4" s="1019"/>
      <c r="B4" s="35">
        <v>81</v>
      </c>
      <c r="C4" s="35">
        <v>82</v>
      </c>
      <c r="D4" s="35">
        <v>83</v>
      </c>
      <c r="E4" s="35">
        <v>84</v>
      </c>
      <c r="F4" s="35">
        <v>91</v>
      </c>
      <c r="G4" s="35">
        <v>92</v>
      </c>
      <c r="H4" s="35">
        <v>93</v>
      </c>
      <c r="I4" s="35">
        <v>94</v>
      </c>
      <c r="J4" s="35">
        <v>101</v>
      </c>
      <c r="K4" s="35">
        <v>102</v>
      </c>
      <c r="L4" s="35">
        <v>103</v>
      </c>
      <c r="M4" s="35">
        <v>104</v>
      </c>
      <c r="N4" s="35">
        <v>105</v>
      </c>
      <c r="O4" s="35">
        <v>111</v>
      </c>
      <c r="P4" s="35">
        <v>112</v>
      </c>
      <c r="Q4" s="35">
        <v>113</v>
      </c>
      <c r="R4" s="35">
        <v>114</v>
      </c>
      <c r="S4" s="35">
        <v>115</v>
      </c>
      <c r="T4" s="35">
        <v>121</v>
      </c>
      <c r="U4" s="35">
        <v>122</v>
      </c>
      <c r="V4" s="35">
        <v>123</v>
      </c>
      <c r="W4" s="35">
        <v>124</v>
      </c>
      <c r="X4" s="1019"/>
      <c r="Y4" s="1011"/>
      <c r="Z4" s="1009"/>
      <c r="AA4" s="2" t="s">
        <v>141</v>
      </c>
      <c r="AB4" s="212" t="s">
        <v>140</v>
      </c>
      <c r="AC4" t="s">
        <v>235</v>
      </c>
      <c r="AD4" t="s">
        <v>236</v>
      </c>
      <c r="AE4" t="s">
        <v>575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s="8" customFormat="1" ht="18" customHeight="1" x14ac:dyDescent="0.2">
      <c r="A5" s="32">
        <v>1995</v>
      </c>
      <c r="B5" s="37"/>
      <c r="C5" s="37"/>
      <c r="D5" s="37"/>
      <c r="E5" s="101"/>
      <c r="F5" s="101"/>
      <c r="G5" s="101"/>
      <c r="H5" s="101">
        <v>12</v>
      </c>
      <c r="I5" s="101">
        <v>205</v>
      </c>
      <c r="J5" s="101">
        <v>114</v>
      </c>
      <c r="K5" s="37"/>
      <c r="L5" s="37"/>
      <c r="M5" s="37"/>
      <c r="N5" s="37">
        <v>0</v>
      </c>
      <c r="O5" s="37"/>
      <c r="P5" s="37"/>
      <c r="Q5" s="37"/>
      <c r="R5" s="37"/>
      <c r="S5" s="37"/>
      <c r="T5" s="32"/>
      <c r="U5" s="32"/>
      <c r="V5" s="32"/>
      <c r="W5" s="32"/>
      <c r="X5" s="39">
        <v>710</v>
      </c>
      <c r="Y5" s="241" t="s">
        <v>270</v>
      </c>
      <c r="Z5" s="39"/>
      <c r="AA5" s="2">
        <f>MAX(B5:W5)</f>
        <v>205</v>
      </c>
      <c r="AB5"/>
      <c r="AC5" s="69">
        <v>34943</v>
      </c>
      <c r="AD5" s="69">
        <v>34980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s="8" customFormat="1" ht="18" customHeight="1" x14ac:dyDescent="0.2">
      <c r="A6" s="32">
        <v>1996</v>
      </c>
      <c r="B6" s="37"/>
      <c r="C6" s="37"/>
      <c r="D6" s="37"/>
      <c r="E6" s="101">
        <v>0</v>
      </c>
      <c r="F6" s="101">
        <v>0</v>
      </c>
      <c r="G6" s="101">
        <v>6</v>
      </c>
      <c r="H6" s="101">
        <v>29</v>
      </c>
      <c r="I6" s="101">
        <v>110</v>
      </c>
      <c r="J6" s="101">
        <v>160</v>
      </c>
      <c r="K6" s="37">
        <v>261</v>
      </c>
      <c r="L6" s="37"/>
      <c r="M6" s="37"/>
      <c r="N6" s="37">
        <v>7</v>
      </c>
      <c r="O6" s="37"/>
      <c r="P6" s="37"/>
      <c r="Q6" s="37">
        <v>0</v>
      </c>
      <c r="R6" s="37"/>
      <c r="S6" s="37"/>
      <c r="T6" s="32"/>
      <c r="U6" s="32"/>
      <c r="V6" s="32"/>
      <c r="W6" s="32"/>
      <c r="X6" s="39">
        <v>950</v>
      </c>
      <c r="Y6" s="396" t="s">
        <v>271</v>
      </c>
      <c r="Z6" s="39"/>
      <c r="AA6" s="2">
        <f t="shared" ref="AA6:AA36" si="0">MAX(B6:W6)</f>
        <v>261</v>
      </c>
      <c r="AB6"/>
      <c r="AC6" s="69">
        <v>35308</v>
      </c>
      <c r="AD6" s="69">
        <v>35346</v>
      </c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s="8" customFormat="1" ht="18" customHeight="1" x14ac:dyDescent="0.2">
      <c r="A7" s="32">
        <v>1997</v>
      </c>
      <c r="B7" s="37"/>
      <c r="C7" s="37"/>
      <c r="D7" s="37"/>
      <c r="E7" s="37"/>
      <c r="F7" s="37">
        <v>70</v>
      </c>
      <c r="G7" s="37">
        <v>55</v>
      </c>
      <c r="H7" s="37">
        <v>778</v>
      </c>
      <c r="I7" s="37">
        <v>700</v>
      </c>
      <c r="J7" s="37"/>
      <c r="K7" s="37"/>
      <c r="L7" s="37">
        <v>55</v>
      </c>
      <c r="M7" s="37"/>
      <c r="N7" s="37"/>
      <c r="O7" s="37"/>
      <c r="P7" s="37"/>
      <c r="Q7" s="37"/>
      <c r="R7" s="37"/>
      <c r="S7" s="37">
        <v>0</v>
      </c>
      <c r="T7" s="32"/>
      <c r="U7" s="32"/>
      <c r="V7" s="32"/>
      <c r="W7" s="32"/>
      <c r="X7" s="39">
        <v>1078</v>
      </c>
      <c r="Y7" s="396" t="s">
        <v>299</v>
      </c>
      <c r="Z7" s="39">
        <v>20</v>
      </c>
      <c r="AA7" s="2">
        <f t="shared" si="0"/>
        <v>778</v>
      </c>
      <c r="AB7"/>
      <c r="AC7" s="69">
        <v>35673</v>
      </c>
      <c r="AD7" s="69">
        <v>35699</v>
      </c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8" customFormat="1" ht="18" customHeight="1" x14ac:dyDescent="0.2">
      <c r="A8" s="32">
        <v>1998</v>
      </c>
      <c r="B8" s="37"/>
      <c r="C8" s="37"/>
      <c r="D8" s="37"/>
      <c r="E8" s="37"/>
      <c r="F8" s="37"/>
      <c r="G8" s="101">
        <v>79</v>
      </c>
      <c r="H8" s="101">
        <v>36</v>
      </c>
      <c r="I8" s="101">
        <v>231</v>
      </c>
      <c r="J8" s="101">
        <v>376</v>
      </c>
      <c r="K8" s="37"/>
      <c r="L8" s="37"/>
      <c r="M8" s="37"/>
      <c r="N8" s="37"/>
      <c r="O8" s="37"/>
      <c r="P8" s="37"/>
      <c r="Q8" s="37"/>
      <c r="R8" s="37"/>
      <c r="S8" s="37"/>
      <c r="T8" s="32"/>
      <c r="U8" s="32"/>
      <c r="V8" s="32"/>
      <c r="W8" s="32"/>
      <c r="X8" s="39">
        <v>4816</v>
      </c>
      <c r="Y8" s="241" t="s">
        <v>272</v>
      </c>
      <c r="Z8" s="39"/>
      <c r="AA8" s="2">
        <f t="shared" si="0"/>
        <v>376</v>
      </c>
      <c r="AB8"/>
      <c r="AC8" s="69">
        <v>36047</v>
      </c>
      <c r="AD8" s="69">
        <v>36076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8" customFormat="1" ht="18" customHeight="1" x14ac:dyDescent="0.2">
      <c r="A9" s="32">
        <v>1999</v>
      </c>
      <c r="B9" s="37"/>
      <c r="C9" s="37"/>
      <c r="D9" s="37"/>
      <c r="E9" s="37"/>
      <c r="F9" s="37"/>
      <c r="G9" s="101"/>
      <c r="H9" s="101">
        <v>18</v>
      </c>
      <c r="I9" s="101">
        <v>273</v>
      </c>
      <c r="J9" s="101">
        <v>212</v>
      </c>
      <c r="K9" s="37"/>
      <c r="L9" s="37"/>
      <c r="M9" s="37">
        <v>219</v>
      </c>
      <c r="N9" s="37"/>
      <c r="O9" s="37"/>
      <c r="P9" s="37"/>
      <c r="Q9" s="37"/>
      <c r="R9" s="37"/>
      <c r="S9" s="37"/>
      <c r="T9" s="32"/>
      <c r="U9" s="32"/>
      <c r="V9" s="32"/>
      <c r="W9" s="32"/>
      <c r="X9" s="40">
        <v>1557</v>
      </c>
      <c r="Y9" s="241" t="s">
        <v>272</v>
      </c>
      <c r="Z9" s="40"/>
      <c r="AA9" s="2">
        <f t="shared" si="0"/>
        <v>273</v>
      </c>
      <c r="AB9"/>
      <c r="AC9" s="69">
        <v>36416</v>
      </c>
      <c r="AD9" s="69">
        <v>36440</v>
      </c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8" customFormat="1" ht="18" customHeight="1" x14ac:dyDescent="0.2">
      <c r="A10" s="32">
        <v>2000</v>
      </c>
      <c r="B10" s="37"/>
      <c r="C10" s="37"/>
      <c r="D10" s="37"/>
      <c r="E10" s="37"/>
      <c r="F10" s="37"/>
      <c r="G10" s="101"/>
      <c r="H10" s="101"/>
      <c r="I10" s="101">
        <v>10</v>
      </c>
      <c r="J10" s="101">
        <v>111</v>
      </c>
      <c r="K10" s="37">
        <v>140</v>
      </c>
      <c r="L10" s="37"/>
      <c r="M10" s="37"/>
      <c r="N10" s="37"/>
      <c r="O10" s="37"/>
      <c r="P10" s="37"/>
      <c r="Q10" s="37"/>
      <c r="R10" s="37"/>
      <c r="S10" s="37"/>
      <c r="T10" s="32"/>
      <c r="U10" s="32"/>
      <c r="V10" s="32"/>
      <c r="W10" s="32"/>
      <c r="X10" s="41">
        <v>370</v>
      </c>
      <c r="Y10" s="241" t="s">
        <v>300</v>
      </c>
      <c r="Z10" s="41"/>
      <c r="AA10" s="2">
        <f t="shared" si="0"/>
        <v>140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8" customFormat="1" ht="18" customHeight="1" x14ac:dyDescent="0.2">
      <c r="A11" s="32">
        <v>2001</v>
      </c>
      <c r="B11" s="37"/>
      <c r="C11" s="37"/>
      <c r="D11" s="37"/>
      <c r="E11" s="37"/>
      <c r="F11" s="37"/>
      <c r="G11" s="37">
        <v>37</v>
      </c>
      <c r="H11" s="101">
        <v>135</v>
      </c>
      <c r="I11" s="101">
        <v>201</v>
      </c>
      <c r="J11" s="101">
        <v>114</v>
      </c>
      <c r="K11" s="101">
        <v>11</v>
      </c>
      <c r="L11" s="37"/>
      <c r="M11" s="37"/>
      <c r="N11" s="37">
        <v>3</v>
      </c>
      <c r="O11" s="37">
        <v>1</v>
      </c>
      <c r="P11" s="37"/>
      <c r="Q11" s="37"/>
      <c r="R11" s="37"/>
      <c r="S11" s="37"/>
      <c r="T11" s="32"/>
      <c r="U11" s="32"/>
      <c r="V11" s="32"/>
      <c r="W11" s="32"/>
      <c r="X11" s="39">
        <v>814</v>
      </c>
      <c r="Y11" s="241" t="s">
        <v>161</v>
      </c>
      <c r="Z11" s="39"/>
      <c r="AA11" s="2">
        <f t="shared" si="0"/>
        <v>201</v>
      </c>
      <c r="AB11"/>
      <c r="AC11" s="69">
        <v>37149</v>
      </c>
      <c r="AD11" s="69">
        <v>37173</v>
      </c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8" customFormat="1" ht="18" customHeight="1" x14ac:dyDescent="0.2">
      <c r="A12" s="32">
        <v>2002</v>
      </c>
      <c r="B12" s="37"/>
      <c r="C12" s="37"/>
      <c r="D12" s="37"/>
      <c r="E12" s="37"/>
      <c r="F12" s="37"/>
      <c r="G12" s="37"/>
      <c r="H12" s="101">
        <v>97</v>
      </c>
      <c r="I12" s="101">
        <v>261</v>
      </c>
      <c r="J12" s="101">
        <v>241</v>
      </c>
      <c r="K12" s="101">
        <v>112</v>
      </c>
      <c r="L12" s="37"/>
      <c r="M12" s="37"/>
      <c r="N12" s="37"/>
      <c r="O12" s="37"/>
      <c r="P12" s="37"/>
      <c r="Q12" s="37">
        <v>0</v>
      </c>
      <c r="R12" s="37">
        <v>0</v>
      </c>
      <c r="S12" s="37"/>
      <c r="T12" s="32">
        <v>0</v>
      </c>
      <c r="U12" s="32"/>
      <c r="V12" s="32"/>
      <c r="W12" s="32"/>
      <c r="X12" s="39">
        <v>1457</v>
      </c>
      <c r="Y12" s="241" t="s">
        <v>301</v>
      </c>
      <c r="Z12" s="39"/>
      <c r="AA12" s="2">
        <f t="shared" si="0"/>
        <v>261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s="8" customFormat="1" ht="18" customHeight="1" x14ac:dyDescent="0.2">
      <c r="A13" s="32">
        <v>2003</v>
      </c>
      <c r="B13" s="37"/>
      <c r="C13" s="37"/>
      <c r="D13" s="37"/>
      <c r="E13" s="37"/>
      <c r="F13" s="37"/>
      <c r="G13" s="37"/>
      <c r="H13" s="101">
        <v>111</v>
      </c>
      <c r="I13" s="101">
        <v>276</v>
      </c>
      <c r="J13" s="101">
        <v>418</v>
      </c>
      <c r="K13" s="101">
        <v>553</v>
      </c>
      <c r="L13" s="37">
        <v>113</v>
      </c>
      <c r="M13" s="37"/>
      <c r="N13" s="37">
        <v>4</v>
      </c>
      <c r="O13" s="37">
        <v>0</v>
      </c>
      <c r="P13" s="37">
        <v>0</v>
      </c>
      <c r="Q13" s="37"/>
      <c r="R13" s="37"/>
      <c r="S13" s="37"/>
      <c r="T13" s="32"/>
      <c r="U13" s="32"/>
      <c r="V13" s="32"/>
      <c r="W13" s="32"/>
      <c r="X13" s="39">
        <v>1929</v>
      </c>
      <c r="Y13" s="241" t="s">
        <v>302</v>
      </c>
      <c r="Z13" s="39"/>
      <c r="AA13" s="2">
        <f t="shared" si="0"/>
        <v>553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s="8" customFormat="1" ht="18" customHeight="1" x14ac:dyDescent="0.2">
      <c r="A14" s="32">
        <v>2004</v>
      </c>
      <c r="B14" s="37"/>
      <c r="C14" s="37"/>
      <c r="D14" s="37"/>
      <c r="E14" s="37"/>
      <c r="F14" s="37"/>
      <c r="G14" s="37"/>
      <c r="H14" s="101">
        <v>19</v>
      </c>
      <c r="I14" s="101">
        <v>153</v>
      </c>
      <c r="J14" s="101">
        <v>368</v>
      </c>
      <c r="K14" s="101">
        <v>1508</v>
      </c>
      <c r="L14" s="37">
        <v>310</v>
      </c>
      <c r="M14" s="37"/>
      <c r="N14" s="37">
        <v>2</v>
      </c>
      <c r="O14" s="37"/>
      <c r="P14" s="37">
        <v>0</v>
      </c>
      <c r="Q14" s="37"/>
      <c r="R14" s="37">
        <v>0</v>
      </c>
      <c r="S14" s="37"/>
      <c r="T14" s="32"/>
      <c r="U14" s="32"/>
      <c r="V14" s="32"/>
      <c r="W14" s="32"/>
      <c r="X14" s="39">
        <v>3500</v>
      </c>
      <c r="Y14" s="241" t="s">
        <v>292</v>
      </c>
      <c r="Z14" s="39"/>
      <c r="AA14" s="2">
        <f t="shared" si="0"/>
        <v>1508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8" customFormat="1" ht="18" customHeight="1" x14ac:dyDescent="0.2">
      <c r="A15" s="32">
        <v>2005</v>
      </c>
      <c r="B15" s="37"/>
      <c r="C15" s="37"/>
      <c r="D15" s="37"/>
      <c r="E15" s="37"/>
      <c r="F15" s="37"/>
      <c r="G15" s="37"/>
      <c r="H15" s="37"/>
      <c r="I15" s="101">
        <v>460</v>
      </c>
      <c r="J15" s="101">
        <v>384</v>
      </c>
      <c r="K15" s="101">
        <v>18</v>
      </c>
      <c r="L15" s="37"/>
      <c r="M15" s="37">
        <v>54</v>
      </c>
      <c r="N15" s="37">
        <v>3</v>
      </c>
      <c r="O15" s="37"/>
      <c r="P15" s="37"/>
      <c r="Q15" s="37"/>
      <c r="R15" s="37"/>
      <c r="S15" s="37"/>
      <c r="T15" s="32"/>
      <c r="U15" s="32"/>
      <c r="V15" s="32"/>
      <c r="W15" s="32"/>
      <c r="X15" s="39">
        <v>1200</v>
      </c>
      <c r="Y15" s="241" t="s">
        <v>307</v>
      </c>
      <c r="Z15" s="39"/>
      <c r="AA15" s="2">
        <f t="shared" si="0"/>
        <v>460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8" customFormat="1" ht="18" customHeight="1" x14ac:dyDescent="0.2">
      <c r="A16" s="32">
        <v>2006</v>
      </c>
      <c r="B16" s="37"/>
      <c r="C16" s="37"/>
      <c r="D16" s="37"/>
      <c r="E16" s="37"/>
      <c r="F16" s="101"/>
      <c r="G16" s="101"/>
      <c r="H16" s="101">
        <v>531</v>
      </c>
      <c r="I16" s="101">
        <v>1114</v>
      </c>
      <c r="J16" s="101">
        <v>1011</v>
      </c>
      <c r="K16" s="101">
        <v>141</v>
      </c>
      <c r="L16" s="101"/>
      <c r="M16" s="101"/>
      <c r="N16" s="37">
        <v>88</v>
      </c>
      <c r="O16" s="37"/>
      <c r="P16" s="37"/>
      <c r="Q16" s="37"/>
      <c r="R16" s="37"/>
      <c r="S16" s="37">
        <v>0</v>
      </c>
      <c r="T16" s="32"/>
      <c r="U16" s="32"/>
      <c r="V16" s="32"/>
      <c r="W16" s="32"/>
      <c r="X16" s="42">
        <v>4515</v>
      </c>
      <c r="Y16" s="241" t="s">
        <v>273</v>
      </c>
      <c r="Z16" s="42"/>
      <c r="AA16" s="2">
        <f t="shared" si="0"/>
        <v>1114</v>
      </c>
      <c r="AB16"/>
      <c r="AC16" s="69">
        <v>38979</v>
      </c>
      <c r="AD16" s="69">
        <v>38996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8" customFormat="1" ht="18" customHeight="1" x14ac:dyDescent="0.2">
      <c r="A17" s="32">
        <v>2007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>
        <v>169</v>
      </c>
      <c r="M17" s="37"/>
      <c r="N17" s="37">
        <v>10</v>
      </c>
      <c r="O17" s="37"/>
      <c r="P17" s="37"/>
      <c r="Q17" s="37">
        <v>0</v>
      </c>
      <c r="R17" s="37"/>
      <c r="S17" s="37"/>
      <c r="T17" s="38"/>
      <c r="U17" s="38"/>
      <c r="V17" s="38"/>
      <c r="W17" s="38"/>
      <c r="X17" s="39">
        <v>1890</v>
      </c>
      <c r="Y17" s="241" t="s">
        <v>303</v>
      </c>
      <c r="Z17" s="39"/>
      <c r="AA17" s="2">
        <f t="shared" si="0"/>
        <v>169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8" customFormat="1" ht="18" customHeight="1" x14ac:dyDescent="0.2">
      <c r="A18" s="32">
        <v>2008</v>
      </c>
      <c r="B18" s="38"/>
      <c r="C18" s="38"/>
      <c r="D18" s="38"/>
      <c r="E18" s="38"/>
      <c r="F18" s="38"/>
      <c r="G18" s="38"/>
      <c r="H18" s="38"/>
      <c r="I18" s="38"/>
      <c r="J18" s="38"/>
      <c r="K18" s="38">
        <v>560</v>
      </c>
      <c r="L18" s="38"/>
      <c r="M18" s="38">
        <v>18</v>
      </c>
      <c r="N18" s="38"/>
      <c r="O18" s="38">
        <v>0</v>
      </c>
      <c r="P18" s="38">
        <v>0</v>
      </c>
      <c r="Q18" s="38">
        <v>0</v>
      </c>
      <c r="R18" s="38"/>
      <c r="S18" s="38"/>
      <c r="T18" s="38"/>
      <c r="U18" s="38"/>
      <c r="V18" s="38"/>
      <c r="W18" s="38"/>
      <c r="X18" s="38">
        <v>1700</v>
      </c>
      <c r="Y18" s="241" t="s">
        <v>304</v>
      </c>
      <c r="Z18" s="38"/>
      <c r="AA18" s="2">
        <f t="shared" si="0"/>
        <v>560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8" customFormat="1" ht="18" customHeight="1" x14ac:dyDescent="0.2">
      <c r="A19" s="65">
        <v>2009</v>
      </c>
      <c r="B19" s="66"/>
      <c r="C19" s="66"/>
      <c r="D19" s="66"/>
      <c r="E19" s="66"/>
      <c r="F19" s="66"/>
      <c r="G19" s="66"/>
      <c r="H19" s="66"/>
      <c r="I19" s="66"/>
      <c r="J19" s="67">
        <v>529</v>
      </c>
      <c r="K19" s="67">
        <v>1519</v>
      </c>
      <c r="L19" s="67"/>
      <c r="M19" s="67">
        <v>53</v>
      </c>
      <c r="N19" s="67"/>
      <c r="O19" s="67">
        <v>0</v>
      </c>
      <c r="P19" s="66"/>
      <c r="Q19" s="66"/>
      <c r="R19" s="66"/>
      <c r="S19" s="66"/>
      <c r="T19" s="66"/>
      <c r="U19" s="66"/>
      <c r="V19" s="66"/>
      <c r="W19" s="66"/>
      <c r="X19" s="38">
        <v>2870</v>
      </c>
      <c r="Y19" s="241" t="s">
        <v>305</v>
      </c>
      <c r="Z19" s="38">
        <v>20</v>
      </c>
      <c r="AA19" s="2">
        <f t="shared" si="0"/>
        <v>1519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8" customFormat="1" ht="18" customHeight="1" x14ac:dyDescent="0.2">
      <c r="A20" s="32">
        <v>2010</v>
      </c>
      <c r="B20" s="66"/>
      <c r="C20" s="66"/>
      <c r="D20" s="66"/>
      <c r="E20" s="66"/>
      <c r="F20" s="66"/>
      <c r="G20" s="66"/>
      <c r="H20" s="66"/>
      <c r="I20" s="66"/>
      <c r="J20" s="216">
        <f>340+281</f>
        <v>621</v>
      </c>
      <c r="K20" s="67"/>
      <c r="L20" s="216">
        <f>111+82</f>
        <v>193</v>
      </c>
      <c r="M20" s="67"/>
      <c r="N20" s="67"/>
      <c r="O20" s="216">
        <v>0</v>
      </c>
      <c r="P20" s="66"/>
      <c r="Q20" s="66"/>
      <c r="R20" s="66"/>
      <c r="S20" s="66"/>
      <c r="T20" s="66"/>
      <c r="U20" s="66"/>
      <c r="V20" s="66"/>
      <c r="W20" s="66"/>
      <c r="X20" s="38">
        <v>1300</v>
      </c>
      <c r="Y20" s="241" t="s">
        <v>306</v>
      </c>
      <c r="Z20" s="38"/>
      <c r="AA20" s="2">
        <f t="shared" si="0"/>
        <v>621</v>
      </c>
      <c r="AB20" s="8">
        <v>3</v>
      </c>
      <c r="AD20"/>
      <c r="AE20" t="s">
        <v>45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8" customFormat="1" ht="18" customHeight="1" x14ac:dyDescent="0.2">
      <c r="A21" s="65">
        <v>2011</v>
      </c>
      <c r="B21" s="66"/>
      <c r="C21" s="66"/>
      <c r="D21" s="66"/>
      <c r="E21" s="66"/>
      <c r="F21" s="66"/>
      <c r="G21" s="66"/>
      <c r="H21" s="66"/>
      <c r="I21" s="67"/>
      <c r="J21" s="67"/>
      <c r="K21" s="67"/>
      <c r="L21" s="67">
        <v>212</v>
      </c>
      <c r="M21" s="67">
        <f>5+42</f>
        <v>47</v>
      </c>
      <c r="N21" s="67">
        <f>2+10</f>
        <v>12</v>
      </c>
      <c r="O21" s="66"/>
      <c r="P21" s="67">
        <v>0</v>
      </c>
      <c r="Q21" s="67">
        <v>0</v>
      </c>
      <c r="R21" s="66"/>
      <c r="S21" s="66"/>
      <c r="T21" s="66"/>
      <c r="U21" s="66"/>
      <c r="V21" s="66"/>
      <c r="W21" s="66"/>
      <c r="X21" s="38">
        <v>562</v>
      </c>
      <c r="Y21" s="241" t="s">
        <v>308</v>
      </c>
      <c r="Z21" s="38"/>
      <c r="AA21" s="2">
        <f t="shared" si="0"/>
        <v>212</v>
      </c>
      <c r="AB21" s="8">
        <v>3</v>
      </c>
      <c r="AD21"/>
      <c r="AE21" t="s">
        <v>60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8" customFormat="1" ht="18" customHeight="1" x14ac:dyDescent="0.2">
      <c r="A22" s="92">
        <v>2012</v>
      </c>
      <c r="B22" s="92" t="s">
        <v>267</v>
      </c>
      <c r="C22" s="92"/>
      <c r="D22" s="92"/>
      <c r="E22" s="92"/>
      <c r="F22" s="101">
        <v>0</v>
      </c>
      <c r="G22" s="101">
        <v>3</v>
      </c>
      <c r="H22" s="101">
        <v>362</v>
      </c>
      <c r="I22" s="101">
        <v>574</v>
      </c>
      <c r="J22" s="101">
        <v>683</v>
      </c>
      <c r="K22" s="92">
        <v>435</v>
      </c>
      <c r="L22" s="92">
        <v>28</v>
      </c>
      <c r="M22" s="92">
        <v>31</v>
      </c>
      <c r="N22" s="92"/>
      <c r="O22" s="92">
        <v>0</v>
      </c>
      <c r="P22" s="92">
        <v>0</v>
      </c>
      <c r="Q22" s="92"/>
      <c r="R22" s="92"/>
      <c r="S22" s="92"/>
      <c r="T22" s="92"/>
      <c r="U22" s="92"/>
      <c r="V22" s="92"/>
      <c r="W22" s="92"/>
      <c r="X22" s="92">
        <v>860</v>
      </c>
      <c r="Y22" s="92" t="s">
        <v>284</v>
      </c>
      <c r="Z22" s="92">
        <v>15</v>
      </c>
      <c r="AA22" s="2">
        <f t="shared" si="0"/>
        <v>683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8" customFormat="1" ht="18" customHeight="1" x14ac:dyDescent="0.2">
      <c r="A23" s="92"/>
      <c r="B23" s="92" t="s">
        <v>237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215">
        <v>44</v>
      </c>
      <c r="N23" s="92"/>
      <c r="O23" s="215">
        <v>3</v>
      </c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2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8" customFormat="1" ht="18" customHeight="1" x14ac:dyDescent="0.2">
      <c r="A24" s="92">
        <v>2013</v>
      </c>
      <c r="B24" s="92" t="s">
        <v>267</v>
      </c>
      <c r="C24" s="92"/>
      <c r="D24" s="92"/>
      <c r="E24" s="92"/>
      <c r="F24" s="101">
        <v>0</v>
      </c>
      <c r="G24" s="101">
        <v>0</v>
      </c>
      <c r="H24" s="101">
        <v>150</v>
      </c>
      <c r="I24" s="101">
        <v>379</v>
      </c>
      <c r="J24" s="92">
        <v>1039</v>
      </c>
      <c r="K24" s="92">
        <v>93</v>
      </c>
      <c r="L24" s="92">
        <v>46</v>
      </c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>
        <v>1403</v>
      </c>
      <c r="Y24" s="92" t="s">
        <v>291</v>
      </c>
      <c r="Z24" s="92"/>
      <c r="AA24" s="2">
        <f t="shared" si="0"/>
        <v>1039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s="8" customFormat="1" ht="18" customHeight="1" x14ac:dyDescent="0.2">
      <c r="A25" s="92"/>
      <c r="B25" s="92" t="s">
        <v>268</v>
      </c>
      <c r="C25" s="92"/>
      <c r="D25" s="92"/>
      <c r="E25" s="92"/>
      <c r="F25" s="92"/>
      <c r="G25" s="92"/>
      <c r="H25" s="92"/>
      <c r="I25" s="92"/>
      <c r="J25" s="92"/>
      <c r="K25" s="215">
        <v>69</v>
      </c>
      <c r="L25" s="215">
        <v>25</v>
      </c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2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s="8" customFormat="1" ht="18" customHeight="1" x14ac:dyDescent="0.2">
      <c r="A26" s="92"/>
      <c r="B26" s="92" t="s">
        <v>237</v>
      </c>
      <c r="C26" s="92"/>
      <c r="D26" s="92"/>
      <c r="E26" s="92"/>
      <c r="F26" s="92"/>
      <c r="G26" s="92"/>
      <c r="H26" s="92"/>
      <c r="I26" s="92"/>
      <c r="J26" s="215">
        <v>93</v>
      </c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2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s="8" customFormat="1" ht="18" customHeight="1" x14ac:dyDescent="0.2">
      <c r="A27" s="92"/>
      <c r="B27" s="92" t="s">
        <v>269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215">
        <v>13</v>
      </c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2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ht="18" customHeight="1" x14ac:dyDescent="0.2">
      <c r="A28" s="92">
        <v>2014</v>
      </c>
      <c r="B28" s="92" t="s">
        <v>267</v>
      </c>
      <c r="C28" s="92"/>
      <c r="D28" s="92"/>
      <c r="E28" s="101">
        <v>0</v>
      </c>
      <c r="F28" s="101">
        <v>0</v>
      </c>
      <c r="G28" s="101">
        <v>0</v>
      </c>
      <c r="H28" s="101">
        <v>14</v>
      </c>
      <c r="I28" s="101">
        <v>4016</v>
      </c>
      <c r="J28" s="92">
        <v>2220</v>
      </c>
      <c r="K28" s="92"/>
      <c r="L28" s="92"/>
      <c r="M28" s="92"/>
      <c r="N28" s="92"/>
      <c r="O28" s="92" t="s">
        <v>216</v>
      </c>
      <c r="P28" s="92">
        <v>2</v>
      </c>
      <c r="Q28" s="92"/>
      <c r="R28" s="92"/>
      <c r="S28" s="92"/>
      <c r="T28" s="92"/>
      <c r="U28" s="92"/>
      <c r="V28" s="92"/>
      <c r="W28" s="92"/>
      <c r="X28" s="92">
        <v>4007</v>
      </c>
      <c r="Y28" s="92" t="s">
        <v>309</v>
      </c>
      <c r="Z28" s="92"/>
      <c r="AA28" s="2">
        <f t="shared" si="0"/>
        <v>4016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ht="18" customHeight="1" x14ac:dyDescent="0.2">
      <c r="A29" s="92"/>
      <c r="B29" s="92" t="s">
        <v>268</v>
      </c>
      <c r="C29" s="92"/>
      <c r="D29" s="92"/>
      <c r="E29" s="92"/>
      <c r="F29" s="92"/>
      <c r="G29" s="92"/>
      <c r="H29" s="92"/>
      <c r="I29" s="92"/>
      <c r="J29" s="92"/>
      <c r="K29" s="215">
        <v>26</v>
      </c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ht="18" customHeight="1" x14ac:dyDescent="0.2">
      <c r="A30" s="92"/>
      <c r="B30" s="92" t="s">
        <v>237</v>
      </c>
      <c r="C30" s="92"/>
      <c r="D30" s="92"/>
      <c r="E30" s="92"/>
      <c r="F30" s="92"/>
      <c r="G30" s="92"/>
      <c r="H30" s="92"/>
      <c r="I30" s="92"/>
      <c r="J30" s="92"/>
      <c r="K30" s="215">
        <v>27</v>
      </c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ht="18" customHeight="1" x14ac:dyDescent="0.2">
      <c r="A31" s="92"/>
      <c r="B31" s="92" t="s">
        <v>269</v>
      </c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215">
        <v>10</v>
      </c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ht="18" customHeight="1" x14ac:dyDescent="0.2">
      <c r="A32" s="148">
        <v>2015</v>
      </c>
      <c r="B32" s="149" t="s">
        <v>267</v>
      </c>
      <c r="C32" s="149"/>
      <c r="D32" s="149"/>
      <c r="E32" s="149"/>
      <c r="F32" s="149"/>
      <c r="G32" s="149"/>
      <c r="H32" s="215">
        <v>772</v>
      </c>
      <c r="I32" s="92"/>
      <c r="J32" s="215">
        <v>1008</v>
      </c>
      <c r="K32" s="216">
        <v>576</v>
      </c>
      <c r="L32" s="92"/>
      <c r="M32" s="215">
        <v>1</v>
      </c>
      <c r="N32" s="92"/>
      <c r="O32" s="92"/>
      <c r="P32" s="92"/>
      <c r="Q32" s="210"/>
      <c r="R32" s="215">
        <v>0</v>
      </c>
      <c r="S32" s="92"/>
      <c r="T32" s="92"/>
      <c r="U32" s="92"/>
      <c r="V32" s="92"/>
      <c r="W32" s="92"/>
      <c r="X32" s="92">
        <v>2061</v>
      </c>
      <c r="Y32" s="92" t="s">
        <v>310</v>
      </c>
      <c r="Z32" s="92">
        <v>15</v>
      </c>
      <c r="AA32" s="2">
        <f t="shared" si="0"/>
        <v>1008</v>
      </c>
      <c r="AD32"/>
      <c r="AE32" s="2" t="s">
        <v>137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ht="18" customHeight="1" x14ac:dyDescent="0.2">
      <c r="A33" s="148"/>
      <c r="B33" s="149" t="s">
        <v>268</v>
      </c>
      <c r="C33" s="149"/>
      <c r="D33" s="149"/>
      <c r="E33" s="149"/>
      <c r="F33" s="149"/>
      <c r="G33" s="149"/>
      <c r="H33" s="149"/>
      <c r="I33" s="149"/>
      <c r="J33" s="149"/>
      <c r="K33" s="149"/>
      <c r="L33" s="215">
        <v>6</v>
      </c>
      <c r="M33" s="149"/>
      <c r="N33" s="149"/>
      <c r="O33" s="149"/>
      <c r="P33" s="149"/>
      <c r="Q33" s="149"/>
      <c r="R33" s="149"/>
      <c r="S33" s="149"/>
      <c r="T33" s="92"/>
      <c r="U33" s="92"/>
      <c r="V33" s="92"/>
      <c r="W33" s="92"/>
      <c r="X33" s="92"/>
      <c r="Y33" s="92"/>
      <c r="Z33" s="92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ht="18" customHeight="1" x14ac:dyDescent="0.2">
      <c r="A34" s="148"/>
      <c r="B34" s="149" t="s">
        <v>237</v>
      </c>
      <c r="C34" s="149"/>
      <c r="D34" s="149"/>
      <c r="E34" s="149"/>
      <c r="F34" s="149"/>
      <c r="G34" s="149"/>
      <c r="H34" s="149"/>
      <c r="I34" s="149"/>
      <c r="J34" s="149"/>
      <c r="K34" s="149"/>
      <c r="L34" s="215">
        <v>18</v>
      </c>
      <c r="M34" s="149"/>
      <c r="N34" s="149"/>
      <c r="O34" s="149"/>
      <c r="P34" s="149"/>
      <c r="Q34" s="149"/>
      <c r="R34" s="149"/>
      <c r="S34" s="149"/>
      <c r="T34" s="92"/>
      <c r="U34" s="92"/>
      <c r="V34" s="92"/>
      <c r="W34" s="92"/>
      <c r="X34" s="92"/>
      <c r="Y34" s="92"/>
      <c r="Z34" s="92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ht="18" customHeight="1" x14ac:dyDescent="0.2">
      <c r="A35" s="148"/>
      <c r="B35" s="149" t="s">
        <v>269</v>
      </c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215">
        <v>10</v>
      </c>
      <c r="P35" s="149"/>
      <c r="Q35" s="149"/>
      <c r="R35" s="149"/>
      <c r="S35" s="149"/>
      <c r="T35" s="92"/>
      <c r="U35" s="92"/>
      <c r="V35" s="92"/>
      <c r="W35" s="92"/>
      <c r="X35" s="92"/>
      <c r="Y35" s="92"/>
      <c r="Z35" s="92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ht="18" customHeight="1" x14ac:dyDescent="0.2">
      <c r="A36" s="148">
        <v>2016</v>
      </c>
      <c r="B36" s="149" t="s">
        <v>267</v>
      </c>
      <c r="C36" s="149"/>
      <c r="D36" s="149"/>
      <c r="E36" s="101">
        <v>0</v>
      </c>
      <c r="F36" s="101">
        <v>0</v>
      </c>
      <c r="G36" s="101">
        <v>0</v>
      </c>
      <c r="H36" s="101">
        <v>0</v>
      </c>
      <c r="I36" s="101">
        <v>641</v>
      </c>
      <c r="J36" s="101">
        <v>577</v>
      </c>
      <c r="K36" s="149"/>
      <c r="L36" s="149"/>
      <c r="M36" s="149"/>
      <c r="N36" s="324">
        <v>12</v>
      </c>
      <c r="O36" s="149"/>
      <c r="P36" s="318">
        <v>0</v>
      </c>
      <c r="Q36" s="215">
        <v>0</v>
      </c>
      <c r="R36" s="149"/>
      <c r="S36" s="149"/>
      <c r="T36" s="92"/>
      <c r="U36" s="92"/>
      <c r="V36" s="92"/>
      <c r="W36" s="92"/>
      <c r="X36" s="92">
        <v>1219</v>
      </c>
      <c r="Y36" s="92"/>
      <c r="Z36" s="92"/>
      <c r="AA36" s="2">
        <f t="shared" si="0"/>
        <v>641</v>
      </c>
      <c r="AC36" s="69">
        <v>42624</v>
      </c>
      <c r="AD36" s="69">
        <v>42646</v>
      </c>
      <c r="AE36" s="2" t="s">
        <v>226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ht="18" customHeight="1" x14ac:dyDescent="0.2">
      <c r="A37" s="148"/>
      <c r="B37" s="149" t="s">
        <v>268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215">
        <v>4</v>
      </c>
      <c r="R37" s="149"/>
      <c r="S37" s="149"/>
      <c r="T37" s="92"/>
      <c r="U37" s="92"/>
      <c r="V37" s="92"/>
      <c r="W37" s="92"/>
      <c r="X37" s="92"/>
      <c r="Y37" s="92"/>
      <c r="Z37" s="92"/>
      <c r="AC37" s="69"/>
      <c r="AD37" s="69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ht="18" customHeight="1" x14ac:dyDescent="0.2">
      <c r="A38" s="148"/>
      <c r="B38" s="149" t="s">
        <v>237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215">
        <v>3</v>
      </c>
      <c r="P38" s="149"/>
      <c r="Q38" s="149"/>
      <c r="R38" s="149"/>
      <c r="S38" s="149"/>
      <c r="T38" s="92"/>
      <c r="U38" s="92"/>
      <c r="V38" s="92"/>
      <c r="W38" s="92"/>
      <c r="X38" s="92"/>
      <c r="Y38" s="92"/>
      <c r="Z38" s="92"/>
      <c r="AC38" s="69"/>
      <c r="AD38" s="69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8" customHeight="1" x14ac:dyDescent="0.2">
      <c r="A39" s="148"/>
      <c r="B39" s="149" t="s">
        <v>269</v>
      </c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215">
        <v>0</v>
      </c>
      <c r="R39" s="149"/>
      <c r="S39" s="149"/>
      <c r="T39" s="92"/>
      <c r="U39" s="92"/>
      <c r="V39" s="92"/>
      <c r="W39" s="92"/>
      <c r="X39" s="92"/>
      <c r="Y39" s="92"/>
      <c r="Z39" s="92"/>
      <c r="AC39" s="69"/>
      <c r="AD39" s="6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ht="18" customHeight="1" x14ac:dyDescent="0.2">
      <c r="A40" s="148">
        <v>2017</v>
      </c>
      <c r="B40" s="149" t="s">
        <v>267</v>
      </c>
      <c r="C40" s="149"/>
      <c r="D40" s="149"/>
      <c r="E40" s="149"/>
      <c r="F40" s="149"/>
      <c r="G40" s="149"/>
      <c r="H40" s="101">
        <v>132</v>
      </c>
      <c r="I40" s="101">
        <f>454-132</f>
        <v>322</v>
      </c>
      <c r="J40" s="215">
        <v>1042</v>
      </c>
      <c r="K40" s="215">
        <v>445</v>
      </c>
      <c r="L40" s="149"/>
      <c r="M40" s="324">
        <v>11</v>
      </c>
      <c r="N40" s="149"/>
      <c r="O40" s="149"/>
      <c r="P40" s="149"/>
      <c r="Q40" s="149"/>
      <c r="R40" s="149"/>
      <c r="S40" s="149"/>
      <c r="T40" s="92"/>
      <c r="U40" s="92"/>
      <c r="V40" s="92"/>
      <c r="W40" s="92"/>
      <c r="X40" s="92">
        <v>1156</v>
      </c>
      <c r="Y40" s="92"/>
      <c r="Z40" s="92"/>
      <c r="AC40" s="69">
        <v>42986</v>
      </c>
      <c r="AD40" s="69">
        <v>43007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ht="18" customHeight="1" x14ac:dyDescent="0.2">
      <c r="A41" s="148"/>
      <c r="B41" s="149" t="s">
        <v>268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215">
        <v>33</v>
      </c>
      <c r="O41" s="149"/>
      <c r="P41" s="149"/>
      <c r="Q41" s="149"/>
      <c r="R41" s="149"/>
      <c r="S41" s="149"/>
      <c r="T41" s="92"/>
      <c r="U41" s="92"/>
      <c r="V41" s="92"/>
      <c r="W41" s="92"/>
      <c r="X41" s="92"/>
      <c r="Y41" s="92"/>
      <c r="Z41" s="92"/>
      <c r="AC41" s="69"/>
      <c r="AD41" s="69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ht="18" customHeight="1" x14ac:dyDescent="0.2">
      <c r="A42" s="148"/>
      <c r="B42" s="149" t="s">
        <v>237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215">
        <v>83</v>
      </c>
      <c r="N42" s="149"/>
      <c r="O42" s="149"/>
      <c r="P42" s="149"/>
      <c r="Q42" s="149"/>
      <c r="R42" s="149"/>
      <c r="S42" s="149"/>
      <c r="T42" s="92"/>
      <c r="U42" s="92"/>
      <c r="V42" s="92"/>
      <c r="W42" s="92"/>
      <c r="X42" s="92"/>
      <c r="Y42" s="92"/>
      <c r="Z42" s="92"/>
      <c r="AC42" s="69"/>
      <c r="AD42" s="69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ht="18" customHeight="1" x14ac:dyDescent="0.2">
      <c r="A43" s="148"/>
      <c r="B43" s="149" t="s">
        <v>269</v>
      </c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215">
        <v>21</v>
      </c>
      <c r="N43" s="149"/>
      <c r="O43" s="149"/>
      <c r="P43" s="149"/>
      <c r="Q43" s="149"/>
      <c r="R43" s="149"/>
      <c r="S43" s="149"/>
      <c r="T43" s="92"/>
      <c r="U43" s="92"/>
      <c r="V43" s="92"/>
      <c r="W43" s="92"/>
      <c r="X43" s="92"/>
      <c r="Y43" s="92"/>
      <c r="Z43" s="92"/>
      <c r="AC43" s="69"/>
      <c r="AD43" s="69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ht="18" customHeight="1" x14ac:dyDescent="0.2">
      <c r="A44" s="148">
        <v>2018</v>
      </c>
      <c r="B44" s="149" t="s">
        <v>267</v>
      </c>
      <c r="C44" s="149"/>
      <c r="D44" s="149"/>
      <c r="E44" s="149"/>
      <c r="F44" s="101">
        <v>0</v>
      </c>
      <c r="G44" s="324">
        <v>79</v>
      </c>
      <c r="H44" s="101">
        <v>84</v>
      </c>
      <c r="I44" s="215">
        <v>463</v>
      </c>
      <c r="J44" s="101">
        <v>138</v>
      </c>
      <c r="K44" s="149"/>
      <c r="L44" s="215">
        <v>69</v>
      </c>
      <c r="M44" s="149"/>
      <c r="N44" s="149"/>
      <c r="O44" s="149"/>
      <c r="P44" s="149"/>
      <c r="Q44" s="149"/>
      <c r="R44" s="149"/>
      <c r="S44" s="149"/>
      <c r="T44" s="92"/>
      <c r="U44" s="92"/>
      <c r="V44" s="92"/>
      <c r="W44" s="92"/>
      <c r="X44" s="92">
        <f>580+63</f>
        <v>643</v>
      </c>
      <c r="Y44" s="92" t="s">
        <v>9</v>
      </c>
      <c r="Z44" s="92"/>
      <c r="AC44" s="69">
        <v>43347</v>
      </c>
      <c r="AD44" s="69">
        <v>43373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ht="18" customHeight="1" x14ac:dyDescent="0.2">
      <c r="A45" s="148"/>
      <c r="B45" s="149" t="s">
        <v>268</v>
      </c>
      <c r="C45" s="149"/>
      <c r="D45" s="149"/>
      <c r="E45" s="149"/>
      <c r="F45" s="149"/>
      <c r="G45" s="149"/>
      <c r="H45" s="149"/>
      <c r="I45" s="149"/>
      <c r="J45" s="149"/>
      <c r="K45" s="215">
        <v>27</v>
      </c>
      <c r="L45" s="149"/>
      <c r="M45" s="149"/>
      <c r="N45" s="149"/>
      <c r="O45" s="149"/>
      <c r="P45" s="149"/>
      <c r="Q45" s="149"/>
      <c r="R45" s="149"/>
      <c r="S45" s="149"/>
      <c r="T45" s="92"/>
      <c r="U45" s="92"/>
      <c r="V45" s="92"/>
      <c r="W45" s="92"/>
      <c r="X45" s="92"/>
      <c r="Y45" s="92"/>
      <c r="Z45" s="92"/>
      <c r="AC45" s="69"/>
      <c r="AD45" s="69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ht="18" customHeight="1" x14ac:dyDescent="0.2">
      <c r="A46" s="148"/>
      <c r="B46" s="149" t="s">
        <v>237</v>
      </c>
      <c r="C46" s="149"/>
      <c r="D46" s="149"/>
      <c r="E46" s="149"/>
      <c r="F46" s="149"/>
      <c r="G46" s="149"/>
      <c r="H46" s="149"/>
      <c r="I46" s="149"/>
      <c r="J46" s="149"/>
      <c r="K46" s="149"/>
      <c r="L46" s="215">
        <v>8</v>
      </c>
      <c r="M46" s="149"/>
      <c r="N46" s="149"/>
      <c r="O46" s="149"/>
      <c r="P46" s="149"/>
      <c r="Q46" s="149"/>
      <c r="R46" s="149"/>
      <c r="S46" s="149"/>
      <c r="T46" s="92"/>
      <c r="U46" s="92"/>
      <c r="V46" s="92"/>
      <c r="W46" s="92"/>
      <c r="X46" s="92"/>
      <c r="Y46" s="92"/>
      <c r="Z46" s="92"/>
      <c r="AC46" s="69"/>
      <c r="AD46" s="69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ht="18" customHeight="1" x14ac:dyDescent="0.2">
      <c r="A47" s="148"/>
      <c r="B47" s="149" t="s">
        <v>269</v>
      </c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215">
        <v>16</v>
      </c>
      <c r="P47" s="149"/>
      <c r="Q47" s="149"/>
      <c r="R47" s="149"/>
      <c r="S47" s="149"/>
      <c r="T47" s="92"/>
      <c r="U47" s="92"/>
      <c r="V47" s="92"/>
      <c r="W47" s="92"/>
      <c r="X47" s="92"/>
      <c r="Y47" s="92"/>
      <c r="Z47" s="92"/>
      <c r="AC47" s="69"/>
      <c r="AD47" s="69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ht="18" customHeight="1" x14ac:dyDescent="0.2">
      <c r="A48" s="148">
        <v>2019</v>
      </c>
      <c r="B48" s="149" t="s">
        <v>267</v>
      </c>
      <c r="C48" s="149"/>
      <c r="D48" s="149"/>
      <c r="E48" s="149"/>
      <c r="F48" s="101">
        <v>0</v>
      </c>
      <c r="G48" s="101">
        <v>0</v>
      </c>
      <c r="H48" s="586">
        <v>691</v>
      </c>
      <c r="I48" s="606">
        <f>153+482</f>
        <v>635</v>
      </c>
      <c r="J48" s="149"/>
      <c r="K48" s="149"/>
      <c r="L48" s="149"/>
      <c r="M48" s="149"/>
      <c r="N48" s="606">
        <v>6</v>
      </c>
      <c r="O48" s="606">
        <v>7</v>
      </c>
      <c r="P48" s="149"/>
      <c r="Q48" s="149"/>
      <c r="R48" s="149"/>
      <c r="S48" s="149"/>
      <c r="T48" s="92"/>
      <c r="U48" s="92"/>
      <c r="V48" s="92"/>
      <c r="W48" s="92"/>
      <c r="X48" s="92">
        <v>1374</v>
      </c>
      <c r="Y48" s="92"/>
      <c r="Z48" s="92"/>
      <c r="AC48" s="69">
        <v>43715</v>
      </c>
      <c r="AD48" s="69">
        <v>43722</v>
      </c>
      <c r="AE48" s="2" t="s">
        <v>456</v>
      </c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8" customHeight="1" x14ac:dyDescent="0.2">
      <c r="A49" s="148"/>
      <c r="B49" s="149" t="s">
        <v>268</v>
      </c>
      <c r="C49" s="149"/>
      <c r="D49" s="149"/>
      <c r="E49" s="149"/>
      <c r="F49" s="149"/>
      <c r="G49" s="149"/>
      <c r="H49" s="149"/>
      <c r="I49" s="149"/>
      <c r="J49" s="699">
        <v>171</v>
      </c>
      <c r="K49" s="149"/>
      <c r="L49" s="149"/>
      <c r="M49" s="149"/>
      <c r="N49" s="606">
        <v>5</v>
      </c>
      <c r="O49" s="92"/>
      <c r="P49" s="606">
        <v>0</v>
      </c>
      <c r="Q49" s="92"/>
      <c r="R49" s="92"/>
      <c r="S49" s="92"/>
      <c r="T49" s="92"/>
      <c r="U49" s="92"/>
      <c r="V49" s="92"/>
      <c r="W49" s="92"/>
      <c r="X49" s="92">
        <v>191</v>
      </c>
      <c r="Y49" s="92"/>
      <c r="Z49" s="92"/>
      <c r="AC49" s="69"/>
      <c r="AD49" s="6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8" customHeight="1" x14ac:dyDescent="0.2">
      <c r="A50" s="148"/>
      <c r="B50" s="149" t="s">
        <v>237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606">
        <v>2</v>
      </c>
      <c r="O50" s="92"/>
      <c r="P50" s="606">
        <v>0</v>
      </c>
      <c r="Q50" s="92"/>
      <c r="R50" s="92"/>
      <c r="S50" s="92"/>
      <c r="T50" s="92"/>
      <c r="U50" s="92"/>
      <c r="V50" s="92"/>
      <c r="W50" s="92"/>
      <c r="X50" s="92" t="s">
        <v>336</v>
      </c>
      <c r="Y50" s="92"/>
      <c r="Z50" s="92"/>
      <c r="AC50" s="69"/>
      <c r="AD50" s="69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8" customHeight="1" x14ac:dyDescent="0.2">
      <c r="A51" s="148"/>
      <c r="B51" s="149" t="s">
        <v>269</v>
      </c>
      <c r="C51" s="149"/>
      <c r="D51" s="149"/>
      <c r="E51" s="149"/>
      <c r="F51" s="149"/>
      <c r="G51" s="149"/>
      <c r="H51" s="149"/>
      <c r="I51" s="149"/>
      <c r="J51" s="910">
        <v>137</v>
      </c>
      <c r="K51" s="149"/>
      <c r="L51" s="149"/>
      <c r="M51" s="149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>
        <v>162</v>
      </c>
      <c r="Y51" s="92"/>
      <c r="Z51" s="92"/>
      <c r="AC51" s="69"/>
      <c r="AD51" s="69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8" customHeight="1" x14ac:dyDescent="0.2">
      <c r="A52" s="148">
        <v>2020</v>
      </c>
      <c r="B52" s="149" t="s">
        <v>267</v>
      </c>
      <c r="C52" s="149"/>
      <c r="D52" s="149"/>
      <c r="E52" s="149"/>
      <c r="F52" s="149"/>
      <c r="G52" s="149"/>
      <c r="H52" s="149"/>
      <c r="I52" s="149"/>
      <c r="J52" s="699">
        <v>687</v>
      </c>
      <c r="K52" s="149"/>
      <c r="L52" s="149"/>
      <c r="M52" s="606">
        <v>555</v>
      </c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318">
        <v>854</v>
      </c>
      <c r="Y52" s="92"/>
      <c r="Z52" s="92"/>
      <c r="AC52" s="69"/>
      <c r="AD52" s="69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8" customHeight="1" x14ac:dyDescent="0.2">
      <c r="A53" s="148"/>
      <c r="B53" s="149" t="s">
        <v>268</v>
      </c>
      <c r="C53" s="149"/>
      <c r="D53" s="149"/>
      <c r="E53" s="149"/>
      <c r="F53" s="149"/>
      <c r="G53" s="149"/>
      <c r="H53" s="149"/>
      <c r="I53" s="149"/>
      <c r="J53" s="149"/>
      <c r="K53" s="699">
        <v>208</v>
      </c>
      <c r="L53" s="149"/>
      <c r="M53" s="149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>
        <v>297</v>
      </c>
      <c r="Y53" s="92"/>
      <c r="Z53" s="92"/>
      <c r="AC53" s="69"/>
      <c r="AD53" s="69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8" customHeight="1" x14ac:dyDescent="0.2">
      <c r="A54" s="148"/>
      <c r="B54" s="149" t="s">
        <v>237</v>
      </c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606">
        <v>16</v>
      </c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C54" s="69"/>
      <c r="AD54" s="69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8" customHeight="1" x14ac:dyDescent="0.2">
      <c r="A55" s="148"/>
      <c r="B55" s="149" t="s">
        <v>269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C55" s="69"/>
      <c r="AD55" s="69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8" customHeight="1" x14ac:dyDescent="0.2">
      <c r="A56" s="148">
        <v>2021</v>
      </c>
      <c r="B56" s="149" t="s">
        <v>267</v>
      </c>
      <c r="C56" s="149"/>
      <c r="D56" s="149"/>
      <c r="E56" s="149"/>
      <c r="F56" s="149"/>
      <c r="G56" s="149"/>
      <c r="H56" s="149"/>
      <c r="I56" s="699">
        <v>715</v>
      </c>
      <c r="J56" s="149"/>
      <c r="K56" s="149"/>
      <c r="L56" s="606">
        <v>90</v>
      </c>
      <c r="M56" s="149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>
        <v>1093</v>
      </c>
      <c r="Y56" s="92"/>
      <c r="Z56" s="92"/>
      <c r="AC56" s="69"/>
      <c r="AD56" s="69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8" customHeight="1" x14ac:dyDescent="0.2">
      <c r="A57" s="148"/>
      <c r="B57" s="149" t="s">
        <v>268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C57" s="69"/>
      <c r="AD57" s="69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8" customHeight="1" x14ac:dyDescent="0.2">
      <c r="A58" s="148"/>
      <c r="B58" s="149" t="s">
        <v>237</v>
      </c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C58" s="69"/>
      <c r="AD58" s="69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8" customHeight="1" x14ac:dyDescent="0.2">
      <c r="A59" s="148"/>
      <c r="B59" s="149" t="s">
        <v>269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C59" s="69"/>
      <c r="AD59" s="6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8" customHeight="1" x14ac:dyDescent="0.2">
      <c r="A60" s="148">
        <v>2022</v>
      </c>
      <c r="B60" s="149" t="s">
        <v>267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699">
        <f>401+12+15+16+1</f>
        <v>445</v>
      </c>
      <c r="O60" s="92"/>
      <c r="P60" s="92"/>
      <c r="Q60" s="606">
        <v>1</v>
      </c>
      <c r="R60" s="92"/>
      <c r="S60" s="92"/>
      <c r="T60" s="92"/>
      <c r="U60" s="92"/>
      <c r="V60" s="92"/>
      <c r="W60" s="92"/>
      <c r="X60" s="92">
        <v>494</v>
      </c>
      <c r="Y60" s="92" t="s">
        <v>9</v>
      </c>
      <c r="Z60" s="92"/>
      <c r="AC60" s="69">
        <v>44813</v>
      </c>
      <c r="AD60" s="69">
        <v>44845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8" customHeight="1" x14ac:dyDescent="0.2">
      <c r="A61" s="148"/>
      <c r="B61" s="149" t="s">
        <v>268</v>
      </c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92"/>
      <c r="O61" s="92"/>
      <c r="P61" s="606">
        <v>0</v>
      </c>
      <c r="Q61" s="92"/>
      <c r="R61" s="92"/>
      <c r="S61" s="92"/>
      <c r="T61" s="92"/>
      <c r="U61" s="92"/>
      <c r="V61" s="92"/>
      <c r="W61" s="92"/>
      <c r="X61" s="92"/>
      <c r="Y61" s="92" t="s">
        <v>9</v>
      </c>
      <c r="Z61" s="92"/>
      <c r="AC61" s="69"/>
      <c r="AD61" s="69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8" customHeight="1" x14ac:dyDescent="0.2">
      <c r="A62" s="148"/>
      <c r="B62" s="149" t="s">
        <v>237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92"/>
      <c r="O62" s="92"/>
      <c r="P62" s="92"/>
      <c r="R62" s="92"/>
      <c r="S62" s="92"/>
      <c r="T62" s="92"/>
      <c r="U62" s="92"/>
      <c r="V62" s="92"/>
      <c r="W62" s="92"/>
      <c r="X62" s="92"/>
      <c r="Y62" s="92" t="s">
        <v>9</v>
      </c>
      <c r="Z62" s="92"/>
      <c r="AC62" s="69"/>
      <c r="AD62" s="69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ht="18" customHeight="1" x14ac:dyDescent="0.2">
      <c r="A63" s="148"/>
      <c r="B63" s="149" t="s">
        <v>269</v>
      </c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92"/>
      <c r="O63" s="606">
        <v>1</v>
      </c>
      <c r="P63" s="92"/>
      <c r="Q63" s="92"/>
      <c r="R63" s="92"/>
      <c r="S63" s="92"/>
      <c r="T63" s="92"/>
      <c r="U63" s="92"/>
      <c r="V63" s="92"/>
      <c r="W63" s="92"/>
      <c r="X63" s="92"/>
      <c r="Y63" s="92" t="s">
        <v>9</v>
      </c>
      <c r="Z63" s="92"/>
      <c r="AC63" s="69"/>
      <c r="AD63" s="69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ht="18" customHeight="1" x14ac:dyDescent="0.2">
      <c r="A64" s="148">
        <v>2023</v>
      </c>
      <c r="B64" s="149" t="s">
        <v>267</v>
      </c>
      <c r="C64" s="149"/>
      <c r="D64" s="149"/>
      <c r="E64" s="149"/>
      <c r="F64" s="149"/>
      <c r="G64" s="101">
        <v>0</v>
      </c>
      <c r="H64" s="101">
        <v>119</v>
      </c>
      <c r="I64" s="101">
        <v>210</v>
      </c>
      <c r="J64" s="995">
        <v>2642</v>
      </c>
      <c r="K64" s="996">
        <v>933</v>
      </c>
      <c r="L64" s="97"/>
      <c r="M64" s="154">
        <v>25</v>
      </c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C64" s="69">
        <v>45181</v>
      </c>
      <c r="AD64" s="69">
        <v>45210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ht="18" customHeight="1" x14ac:dyDescent="0.2">
      <c r="A65" s="148"/>
      <c r="B65" s="149" t="s">
        <v>268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C65" s="69"/>
      <c r="AD65" s="69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ht="18" customHeight="1" x14ac:dyDescent="0.2">
      <c r="A66" s="148"/>
      <c r="B66" s="149" t="s">
        <v>237</v>
      </c>
      <c r="C66" s="149"/>
      <c r="D66" s="149"/>
      <c r="E66" s="149"/>
      <c r="F66" s="149"/>
      <c r="G66" s="149"/>
      <c r="H66" s="149"/>
      <c r="I66" s="149"/>
      <c r="J66" s="149"/>
      <c r="K66" s="990">
        <v>18</v>
      </c>
      <c r="L66" s="149"/>
      <c r="M66" s="149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C66" s="69"/>
      <c r="AD66" s="69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ht="18" customHeight="1" x14ac:dyDescent="0.2">
      <c r="A67" s="148"/>
      <c r="B67" s="149" t="s">
        <v>269</v>
      </c>
      <c r="C67" s="149"/>
      <c r="D67" s="149"/>
      <c r="E67" s="149"/>
      <c r="F67" s="149"/>
      <c r="G67" s="149"/>
      <c r="H67" s="149"/>
      <c r="I67" s="149"/>
      <c r="J67" s="149"/>
      <c r="K67" s="149"/>
      <c r="L67" s="990">
        <v>42</v>
      </c>
      <c r="M67" s="149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C67" s="69"/>
      <c r="AD67" s="69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 ht="18" customHeight="1" x14ac:dyDescent="0.2">
      <c r="A68" s="209"/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89"/>
      <c r="Z68" s="89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 s="150" customFormat="1" ht="18" customHeight="1" x14ac:dyDescent="0.2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</row>
    <row r="70" spans="1:47" ht="18" customHeight="1" x14ac:dyDescent="0.2">
      <c r="A70" s="1022" t="s">
        <v>14</v>
      </c>
      <c r="B70" s="1023"/>
      <c r="C70" s="1023"/>
      <c r="D70" s="1023"/>
      <c r="E70" s="1023"/>
      <c r="F70" s="1023"/>
      <c r="G70" s="1023"/>
      <c r="H70" s="1023"/>
      <c r="I70" s="1023"/>
      <c r="J70" s="388" t="s">
        <v>311</v>
      </c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ht="18" customHeight="1" thickBot="1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2"/>
      <c r="Y71" s="32"/>
      <c r="Z71" s="32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ht="18" customHeight="1" thickTop="1" x14ac:dyDescent="0.2">
      <c r="A72" s="1018" t="s">
        <v>0</v>
      </c>
      <c r="B72" s="1024" t="s">
        <v>1</v>
      </c>
      <c r="C72" s="1024"/>
      <c r="D72" s="1024"/>
      <c r="E72" s="1024"/>
      <c r="F72" s="1024"/>
      <c r="G72" s="1024"/>
      <c r="H72" s="1024"/>
      <c r="I72" s="1024"/>
      <c r="J72" s="1024"/>
      <c r="K72" s="1024"/>
      <c r="L72" s="1024"/>
      <c r="M72" s="1024"/>
      <c r="N72" s="1024"/>
      <c r="O72" s="1024"/>
      <c r="P72" s="1024"/>
      <c r="Q72" s="1024"/>
      <c r="R72" s="1024"/>
      <c r="S72" s="1024"/>
      <c r="T72" s="1024"/>
      <c r="U72" s="1024"/>
      <c r="V72" s="1024"/>
      <c r="W72" s="1024"/>
      <c r="X72" s="1018" t="s">
        <v>2</v>
      </c>
      <c r="Y72" s="1010" t="s">
        <v>3</v>
      </c>
      <c r="Z72" s="1008" t="s">
        <v>4</v>
      </c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x14ac:dyDescent="0.2">
      <c r="A73" s="1019"/>
      <c r="B73" s="36">
        <v>81</v>
      </c>
      <c r="C73" s="36">
        <v>82</v>
      </c>
      <c r="D73" s="36">
        <v>83</v>
      </c>
      <c r="E73" s="36">
        <v>84</v>
      </c>
      <c r="F73" s="36">
        <v>91</v>
      </c>
      <c r="G73" s="36">
        <v>92</v>
      </c>
      <c r="H73" s="36">
        <v>93</v>
      </c>
      <c r="I73" s="36">
        <v>94</v>
      </c>
      <c r="J73" s="36">
        <v>101</v>
      </c>
      <c r="K73" s="36">
        <v>102</v>
      </c>
      <c r="L73" s="36">
        <v>103</v>
      </c>
      <c r="M73" s="36">
        <v>104</v>
      </c>
      <c r="N73" s="36">
        <v>105</v>
      </c>
      <c r="O73" s="36">
        <v>111</v>
      </c>
      <c r="P73" s="36">
        <v>112</v>
      </c>
      <c r="Q73" s="36">
        <v>113</v>
      </c>
      <c r="R73" s="36">
        <v>114</v>
      </c>
      <c r="S73" s="36">
        <v>115</v>
      </c>
      <c r="T73" s="36">
        <v>121</v>
      </c>
      <c r="U73" s="36">
        <v>122</v>
      </c>
      <c r="V73" s="36">
        <v>123</v>
      </c>
      <c r="W73" s="36">
        <v>124</v>
      </c>
      <c r="X73" s="1019"/>
      <c r="Y73" s="1011"/>
      <c r="Z73" s="1009"/>
      <c r="AA73" s="2" t="s">
        <v>141</v>
      </c>
      <c r="AB73" t="s">
        <v>235</v>
      </c>
      <c r="AC73" t="s">
        <v>236</v>
      </c>
      <c r="AD73" s="100" t="s">
        <v>98</v>
      </c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ht="15" x14ac:dyDescent="0.25">
      <c r="A74" s="32">
        <v>1995</v>
      </c>
      <c r="B74" s="37"/>
      <c r="C74" s="37"/>
      <c r="D74" s="37"/>
      <c r="E74" s="101"/>
      <c r="F74" s="101"/>
      <c r="G74" s="101"/>
      <c r="H74" s="101"/>
      <c r="I74" s="101">
        <v>0</v>
      </c>
      <c r="J74" s="101">
        <v>13</v>
      </c>
      <c r="K74" s="37"/>
      <c r="L74" s="37"/>
      <c r="M74" s="37"/>
      <c r="N74" s="37">
        <v>202</v>
      </c>
      <c r="O74" s="37"/>
      <c r="P74" s="37"/>
      <c r="Q74" s="37"/>
      <c r="R74" s="37"/>
      <c r="S74" s="37"/>
      <c r="T74" s="38"/>
      <c r="U74" s="38"/>
      <c r="V74" s="38"/>
      <c r="W74" s="38"/>
      <c r="X74" s="46">
        <v>20000</v>
      </c>
      <c r="Y74" s="241" t="s">
        <v>270</v>
      </c>
      <c r="Z74" s="46"/>
      <c r="AA74" s="2">
        <f>MAX(B74:W74)</f>
        <v>202</v>
      </c>
      <c r="AB74" s="69">
        <v>34943</v>
      </c>
      <c r="AC74" s="69">
        <v>34980</v>
      </c>
      <c r="AD74" s="213" t="s">
        <v>138</v>
      </c>
      <c r="AE74"/>
      <c r="AF74"/>
      <c r="AG74" s="1013" t="s">
        <v>117</v>
      </c>
      <c r="AH74" s="1013" t="s">
        <v>118</v>
      </c>
      <c r="AI74" s="389" t="s">
        <v>119</v>
      </c>
      <c r="AJ74"/>
      <c r="AK74" s="158" t="s">
        <v>120</v>
      </c>
      <c r="AL74" s="158"/>
      <c r="AM74" s="159"/>
      <c r="AN74" s="160" t="s">
        <v>121</v>
      </c>
      <c r="AO74" s="160"/>
      <c r="AP74" s="161" t="s">
        <v>122</v>
      </c>
      <c r="AQ74"/>
      <c r="AR74"/>
      <c r="AS74"/>
      <c r="AT74"/>
      <c r="AU74"/>
    </row>
    <row r="75" spans="1:47" ht="38.25" x14ac:dyDescent="0.2">
      <c r="A75" s="32">
        <v>1996</v>
      </c>
      <c r="B75" s="37"/>
      <c r="C75" s="37"/>
      <c r="D75" s="37"/>
      <c r="E75" s="37">
        <v>0</v>
      </c>
      <c r="F75" s="37"/>
      <c r="G75" s="37">
        <v>0</v>
      </c>
      <c r="H75" s="37"/>
      <c r="I75" s="37">
        <v>5</v>
      </c>
      <c r="J75" s="37"/>
      <c r="K75" s="37">
        <v>751</v>
      </c>
      <c r="L75" s="37"/>
      <c r="M75" s="37"/>
      <c r="N75" s="37">
        <v>89</v>
      </c>
      <c r="O75" s="37"/>
      <c r="P75" s="37"/>
      <c r="Q75" s="37">
        <v>159</v>
      </c>
      <c r="R75" s="37"/>
      <c r="S75" s="37"/>
      <c r="T75" s="38"/>
      <c r="U75" s="38"/>
      <c r="V75" s="38"/>
      <c r="W75" s="38"/>
      <c r="X75" s="46">
        <v>19330</v>
      </c>
      <c r="Y75" s="396" t="s">
        <v>271</v>
      </c>
      <c r="Z75" s="46"/>
      <c r="AA75" s="2">
        <f t="shared" ref="AA75:AA94" si="1">MAX(B75:W75)</f>
        <v>751</v>
      </c>
      <c r="AB75" s="69">
        <v>35308</v>
      </c>
      <c r="AC75" s="69">
        <v>35346</v>
      </c>
      <c r="AD75" s="214" t="s">
        <v>139</v>
      </c>
      <c r="AE75"/>
      <c r="AF75"/>
      <c r="AG75" s="1014"/>
      <c r="AH75" s="1014"/>
      <c r="AI75" s="387" t="s">
        <v>123</v>
      </c>
      <c r="AJ75"/>
      <c r="AK75" s="163" t="s">
        <v>124</v>
      </c>
      <c r="AL75" s="163" t="s">
        <v>125</v>
      </c>
      <c r="AM75" s="163"/>
      <c r="AN75" s="164" t="s">
        <v>126</v>
      </c>
      <c r="AO75"/>
      <c r="AP75" s="164" t="s">
        <v>126</v>
      </c>
      <c r="AQ75"/>
      <c r="AR75"/>
      <c r="AS75"/>
      <c r="AT75"/>
      <c r="AU75"/>
    </row>
    <row r="76" spans="1:47" x14ac:dyDescent="0.2">
      <c r="A76" s="32">
        <v>1997</v>
      </c>
      <c r="B76" s="37"/>
      <c r="C76" s="37"/>
      <c r="D76" s="37"/>
      <c r="E76" s="37"/>
      <c r="F76" s="37">
        <v>0</v>
      </c>
      <c r="G76" s="37">
        <v>1</v>
      </c>
      <c r="H76" s="37">
        <v>73</v>
      </c>
      <c r="I76" s="37">
        <v>24</v>
      </c>
      <c r="J76" s="37"/>
      <c r="K76" s="37"/>
      <c r="L76" s="37">
        <v>46</v>
      </c>
      <c r="M76" s="37"/>
      <c r="N76" s="37"/>
      <c r="O76" s="37"/>
      <c r="P76" s="37"/>
      <c r="Q76" s="37"/>
      <c r="R76" s="37"/>
      <c r="S76" s="37">
        <v>4</v>
      </c>
      <c r="T76" s="38"/>
      <c r="U76" s="38"/>
      <c r="V76" s="38"/>
      <c r="W76" s="38"/>
      <c r="X76" s="46">
        <v>4740</v>
      </c>
      <c r="Y76" s="241" t="s">
        <v>272</v>
      </c>
      <c r="Z76" s="46"/>
      <c r="AA76" s="2">
        <f t="shared" si="1"/>
        <v>73</v>
      </c>
      <c r="AB76" s="69">
        <v>35673</v>
      </c>
      <c r="AC76" s="69">
        <v>35699</v>
      </c>
      <c r="AD76" s="212" t="s">
        <v>140</v>
      </c>
      <c r="AE76"/>
      <c r="AF76"/>
      <c r="AG76" s="165"/>
      <c r="AH76" s="166"/>
      <c r="AI76" s="167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 x14ac:dyDescent="0.2">
      <c r="A77" s="32">
        <v>1998</v>
      </c>
      <c r="B77" s="37"/>
      <c r="C77" s="37"/>
      <c r="D77" s="37"/>
      <c r="E77" s="37"/>
      <c r="F77" s="37"/>
      <c r="G77" s="37"/>
      <c r="H77" s="37"/>
      <c r="I77" s="37"/>
      <c r="J77" s="37">
        <v>6350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8"/>
      <c r="V77" s="38"/>
      <c r="W77" s="38"/>
      <c r="X77" s="46">
        <v>50000</v>
      </c>
      <c r="Y77" s="241" t="s">
        <v>272</v>
      </c>
      <c r="Z77" s="46"/>
      <c r="AA77" s="2">
        <f t="shared" si="1"/>
        <v>6350</v>
      </c>
      <c r="AB77" s="69">
        <v>36047</v>
      </c>
      <c r="AC77" s="69">
        <v>36076</v>
      </c>
      <c r="AD77"/>
      <c r="AE77"/>
      <c r="AF77"/>
      <c r="AG77" s="165"/>
      <c r="AH77" s="166"/>
      <c r="AI77" s="16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 x14ac:dyDescent="0.2">
      <c r="A78" s="32">
        <v>1999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>
        <v>2887</v>
      </c>
      <c r="N78" s="37"/>
      <c r="O78" s="37"/>
      <c r="P78" s="37"/>
      <c r="Q78" s="37"/>
      <c r="R78" s="37"/>
      <c r="S78" s="37"/>
      <c r="T78" s="38"/>
      <c r="U78" s="38"/>
      <c r="V78" s="38"/>
      <c r="W78" s="38"/>
      <c r="X78" s="46">
        <v>35000</v>
      </c>
      <c r="Y78" s="241" t="s">
        <v>272</v>
      </c>
      <c r="Z78" s="46"/>
      <c r="AA78" s="2">
        <f t="shared" si="1"/>
        <v>2887</v>
      </c>
      <c r="AB78" s="69">
        <v>36416</v>
      </c>
      <c r="AC78" s="69">
        <v>36440</v>
      </c>
      <c r="AD78"/>
      <c r="AE78"/>
      <c r="AF78"/>
      <c r="AG78" s="165" t="s">
        <v>127</v>
      </c>
      <c r="AH78" s="185">
        <v>42628</v>
      </c>
      <c r="AI78" s="167">
        <v>0</v>
      </c>
      <c r="AJ78"/>
      <c r="AK78"/>
      <c r="AL78" s="169">
        <v>0</v>
      </c>
      <c r="AM78"/>
      <c r="AN78"/>
      <c r="AO78"/>
      <c r="AP78"/>
      <c r="AQ78"/>
      <c r="AR78"/>
      <c r="AS78"/>
      <c r="AT78"/>
      <c r="AU78"/>
    </row>
    <row r="79" spans="1:47" x14ac:dyDescent="0.2">
      <c r="A79" s="32">
        <v>2000</v>
      </c>
      <c r="B79" s="37"/>
      <c r="C79" s="37"/>
      <c r="D79" s="37"/>
      <c r="E79" s="37"/>
      <c r="F79" s="37"/>
      <c r="G79" s="37"/>
      <c r="H79" s="37"/>
      <c r="I79" s="37"/>
      <c r="J79" s="37"/>
      <c r="K79" s="37">
        <v>2547</v>
      </c>
      <c r="L79" s="37"/>
      <c r="M79" s="37"/>
      <c r="N79" s="37"/>
      <c r="O79" s="37"/>
      <c r="P79" s="37"/>
      <c r="Q79" s="37"/>
      <c r="R79" s="37"/>
      <c r="S79" s="37"/>
      <c r="T79" s="38"/>
      <c r="U79" s="38"/>
      <c r="V79" s="38"/>
      <c r="W79" s="38"/>
      <c r="X79" s="46">
        <v>15350</v>
      </c>
      <c r="Y79" s="396" t="s">
        <v>271</v>
      </c>
      <c r="Z79" s="46"/>
      <c r="AA79" s="2">
        <f t="shared" si="1"/>
        <v>2547</v>
      </c>
      <c r="AB79"/>
      <c r="AC79"/>
      <c r="AD79"/>
      <c r="AE79"/>
      <c r="AF79"/>
      <c r="AG79" s="165"/>
      <c r="AH79" s="185">
        <v>42633</v>
      </c>
      <c r="AI79" s="170">
        <v>442</v>
      </c>
      <c r="AJ79"/>
      <c r="AK79" s="171">
        <v>0.8</v>
      </c>
      <c r="AL79" s="172">
        <f>AI79/AK79</f>
        <v>552.5</v>
      </c>
      <c r="AM79"/>
      <c r="AN79" s="172">
        <f>(AH79-AH78)*(AI79+AI78)</f>
        <v>2210</v>
      </c>
      <c r="AO79"/>
      <c r="AP79" s="172">
        <f>(AH79-AH78)*(AL79+AL78)</f>
        <v>2762.5</v>
      </c>
      <c r="AQ79"/>
      <c r="AR79"/>
      <c r="AS79"/>
      <c r="AT79"/>
      <c r="AU79"/>
    </row>
    <row r="80" spans="1:47" x14ac:dyDescent="0.2">
      <c r="A80" s="32">
        <v>2001</v>
      </c>
      <c r="B80" s="37"/>
      <c r="C80" s="37"/>
      <c r="D80" s="37"/>
      <c r="E80" s="37"/>
      <c r="F80" s="37"/>
      <c r="G80" s="101">
        <v>18</v>
      </c>
      <c r="H80" s="101">
        <v>249</v>
      </c>
      <c r="I80" s="101">
        <v>10749</v>
      </c>
      <c r="J80" s="101">
        <v>3555</v>
      </c>
      <c r="K80" s="101">
        <v>80</v>
      </c>
      <c r="L80" s="37"/>
      <c r="M80" s="37"/>
      <c r="N80" s="37">
        <v>14650</v>
      </c>
      <c r="O80" s="37">
        <v>8980</v>
      </c>
      <c r="P80" s="37"/>
      <c r="Q80" s="37"/>
      <c r="R80" s="37"/>
      <c r="S80" s="37"/>
      <c r="T80" s="38"/>
      <c r="U80" s="38"/>
      <c r="V80" s="38"/>
      <c r="W80" s="38"/>
      <c r="X80" s="46">
        <v>40000</v>
      </c>
      <c r="Y80" s="396" t="s">
        <v>271</v>
      </c>
      <c r="Z80" s="46"/>
      <c r="AA80" s="2">
        <f t="shared" si="1"/>
        <v>14650</v>
      </c>
      <c r="AB80" s="69">
        <v>37149</v>
      </c>
      <c r="AC80" s="69">
        <v>37173</v>
      </c>
      <c r="AD80"/>
      <c r="AE80"/>
      <c r="AF80"/>
      <c r="AG80" s="165"/>
      <c r="AH80" s="185">
        <v>42640</v>
      </c>
      <c r="AI80" s="170">
        <v>694</v>
      </c>
      <c r="AJ80"/>
      <c r="AK80" s="171">
        <v>0.8</v>
      </c>
      <c r="AL80" s="172">
        <f>AI80/AK80</f>
        <v>867.5</v>
      </c>
      <c r="AM80"/>
      <c r="AN80" s="172">
        <f>(AH80-AH79)*(AI80+AI79)</f>
        <v>7952</v>
      </c>
      <c r="AO80"/>
      <c r="AP80" s="172">
        <f>(AH80-AH79)*(AL80+AL79)</f>
        <v>9940</v>
      </c>
      <c r="AQ80"/>
      <c r="AR80"/>
      <c r="AS80"/>
      <c r="AT80"/>
      <c r="AU80"/>
    </row>
    <row r="81" spans="1:47" x14ac:dyDescent="0.2">
      <c r="A81" s="32">
        <v>2002</v>
      </c>
      <c r="B81" s="37"/>
      <c r="C81" s="37"/>
      <c r="D81" s="37"/>
      <c r="E81" s="37"/>
      <c r="F81" s="37"/>
      <c r="G81" s="101"/>
      <c r="H81" s="101">
        <v>120</v>
      </c>
      <c r="I81" s="101">
        <v>77</v>
      </c>
      <c r="J81" s="101">
        <v>177</v>
      </c>
      <c r="K81" s="101">
        <v>146</v>
      </c>
      <c r="L81" s="37"/>
      <c r="M81" s="37"/>
      <c r="N81" s="37"/>
      <c r="O81" s="37"/>
      <c r="P81" s="37"/>
      <c r="Q81" s="37">
        <v>80</v>
      </c>
      <c r="R81" s="37">
        <v>932</v>
      </c>
      <c r="S81" s="37"/>
      <c r="T81" s="38">
        <v>1</v>
      </c>
      <c r="U81" s="38"/>
      <c r="V81" s="38"/>
      <c r="W81" s="38"/>
      <c r="X81" s="46">
        <v>10000</v>
      </c>
      <c r="Y81" s="241" t="s">
        <v>274</v>
      </c>
      <c r="Z81" s="46"/>
      <c r="AA81" s="2">
        <f t="shared" si="1"/>
        <v>932</v>
      </c>
      <c r="AB81" s="69">
        <v>37517</v>
      </c>
      <c r="AC81" s="69">
        <v>37543</v>
      </c>
      <c r="AD81"/>
      <c r="AE81"/>
      <c r="AF81"/>
      <c r="AG81" s="8"/>
      <c r="AH81" s="185">
        <v>42667</v>
      </c>
      <c r="AI81" s="170">
        <v>332</v>
      </c>
      <c r="AJ81"/>
      <c r="AK81" s="171">
        <v>0.8</v>
      </c>
      <c r="AL81" s="172">
        <f>AI81/AK81</f>
        <v>415</v>
      </c>
      <c r="AM81"/>
      <c r="AN81" s="172">
        <f t="shared" ref="AN81:AN86" si="2">(AH81-AH80)*(AI81+AI80)</f>
        <v>27702</v>
      </c>
      <c r="AO81"/>
      <c r="AP81" s="172">
        <f t="shared" ref="AP81:AP86" si="3">(AH81-AH80)*(AL81+AL80)</f>
        <v>34627.5</v>
      </c>
      <c r="AQ81"/>
      <c r="AR81"/>
      <c r="AS81"/>
      <c r="AT81"/>
      <c r="AU81"/>
    </row>
    <row r="82" spans="1:47" x14ac:dyDescent="0.2">
      <c r="A82" s="32">
        <v>2003</v>
      </c>
      <c r="B82" s="37"/>
      <c r="C82" s="37"/>
      <c r="D82" s="37"/>
      <c r="E82" s="37"/>
      <c r="F82" s="37"/>
      <c r="G82" s="37"/>
      <c r="H82" s="101">
        <v>45</v>
      </c>
      <c r="I82" s="101">
        <v>74</v>
      </c>
      <c r="J82" s="101">
        <v>247</v>
      </c>
      <c r="K82" s="101">
        <v>4352</v>
      </c>
      <c r="L82" s="37">
        <v>5150</v>
      </c>
      <c r="M82" s="37"/>
      <c r="N82" s="37">
        <v>1380</v>
      </c>
      <c r="O82" s="37">
        <v>2</v>
      </c>
      <c r="P82" s="37">
        <v>382</v>
      </c>
      <c r="Q82" s="37"/>
      <c r="R82" s="37"/>
      <c r="S82" s="37"/>
      <c r="T82" s="38"/>
      <c r="U82" s="38"/>
      <c r="V82" s="38"/>
      <c r="W82" s="38"/>
      <c r="X82" s="46">
        <v>20000</v>
      </c>
      <c r="Y82" s="241" t="s">
        <v>275</v>
      </c>
      <c r="Z82" s="46"/>
      <c r="AA82" s="2">
        <f t="shared" si="1"/>
        <v>5150</v>
      </c>
      <c r="AB82"/>
      <c r="AC82"/>
      <c r="AD82"/>
      <c r="AE82"/>
      <c r="AF82"/>
      <c r="AG82" s="8"/>
      <c r="AH82" s="185">
        <v>42689</v>
      </c>
      <c r="AI82" s="170">
        <v>95</v>
      </c>
      <c r="AJ82"/>
      <c r="AK82" s="171">
        <v>0.8</v>
      </c>
      <c r="AL82" s="172">
        <f>AI82/AK82</f>
        <v>118.75</v>
      </c>
      <c r="AM82"/>
      <c r="AN82" s="172">
        <f t="shared" si="2"/>
        <v>9394</v>
      </c>
      <c r="AO82"/>
      <c r="AP82" s="172">
        <f t="shared" si="3"/>
        <v>11742.5</v>
      </c>
      <c r="AQ82"/>
      <c r="AR82"/>
      <c r="AS82"/>
      <c r="AT82"/>
      <c r="AU82"/>
    </row>
    <row r="83" spans="1:47" x14ac:dyDescent="0.2">
      <c r="A83" s="32">
        <v>2004</v>
      </c>
      <c r="B83" s="37"/>
      <c r="C83" s="37"/>
      <c r="D83" s="37"/>
      <c r="E83" s="37"/>
      <c r="F83" s="37"/>
      <c r="G83" s="37"/>
      <c r="H83" s="101">
        <v>0</v>
      </c>
      <c r="I83" s="101">
        <v>664</v>
      </c>
      <c r="J83" s="101">
        <v>1009</v>
      </c>
      <c r="K83" s="101">
        <v>3039</v>
      </c>
      <c r="L83" s="37">
        <v>4878</v>
      </c>
      <c r="M83" s="37"/>
      <c r="N83" s="37">
        <v>3804</v>
      </c>
      <c r="O83" s="37"/>
      <c r="P83" s="37">
        <v>41</v>
      </c>
      <c r="Q83" s="37"/>
      <c r="R83" s="37">
        <v>418</v>
      </c>
      <c r="S83" s="37"/>
      <c r="T83" s="38"/>
      <c r="U83" s="38"/>
      <c r="V83" s="38"/>
      <c r="W83" s="38"/>
      <c r="X83" s="46">
        <v>4880</v>
      </c>
      <c r="Y83" s="241" t="s">
        <v>276</v>
      </c>
      <c r="Z83" s="46"/>
      <c r="AA83" s="2">
        <f t="shared" si="1"/>
        <v>4878</v>
      </c>
      <c r="AB83"/>
      <c r="AC83"/>
      <c r="AD83"/>
      <c r="AE83"/>
      <c r="AF83"/>
      <c r="AG83" s="8"/>
      <c r="AH83" s="185">
        <v>42705</v>
      </c>
      <c r="AI83" s="170">
        <v>0</v>
      </c>
      <c r="AJ83"/>
      <c r="AK83" s="171"/>
      <c r="AL83" s="172">
        <v>0</v>
      </c>
      <c r="AM83"/>
      <c r="AN83" s="172">
        <f t="shared" si="2"/>
        <v>1520</v>
      </c>
      <c r="AO83"/>
      <c r="AP83" s="172">
        <f t="shared" si="3"/>
        <v>1900</v>
      </c>
      <c r="AQ83"/>
      <c r="AR83"/>
      <c r="AS83"/>
      <c r="AT83"/>
      <c r="AU83"/>
    </row>
    <row r="84" spans="1:47" x14ac:dyDescent="0.2">
      <c r="A84" s="32">
        <v>2005</v>
      </c>
      <c r="B84" s="37"/>
      <c r="C84" s="37"/>
      <c r="D84" s="37"/>
      <c r="E84" s="37"/>
      <c r="F84" s="37"/>
      <c r="G84" s="37"/>
      <c r="H84" s="101"/>
      <c r="I84" s="101">
        <v>6</v>
      </c>
      <c r="J84" s="101">
        <v>65</v>
      </c>
      <c r="K84" s="37">
        <v>1662</v>
      </c>
      <c r="L84" s="37"/>
      <c r="M84" s="37">
        <v>447</v>
      </c>
      <c r="N84" s="37">
        <v>1176</v>
      </c>
      <c r="O84" s="37"/>
      <c r="P84" s="37"/>
      <c r="Q84" s="37"/>
      <c r="R84" s="37"/>
      <c r="S84" s="37"/>
      <c r="T84" s="38"/>
      <c r="U84" s="38"/>
      <c r="V84" s="38"/>
      <c r="W84" s="38"/>
      <c r="X84" s="46">
        <v>5000</v>
      </c>
      <c r="Y84" s="241" t="s">
        <v>277</v>
      </c>
      <c r="Z84" s="46"/>
      <c r="AA84" s="2">
        <f t="shared" si="1"/>
        <v>1662</v>
      </c>
      <c r="AB84"/>
      <c r="AC84"/>
      <c r="AD84"/>
      <c r="AE84"/>
      <c r="AF84"/>
      <c r="AG84" s="8"/>
      <c r="AH84" s="185">
        <v>41958</v>
      </c>
      <c r="AI84" s="170">
        <v>0</v>
      </c>
      <c r="AJ84"/>
      <c r="AK84" s="171"/>
      <c r="AL84" s="172">
        <v>0</v>
      </c>
      <c r="AM84"/>
      <c r="AN84" s="172">
        <f t="shared" si="2"/>
        <v>0</v>
      </c>
      <c r="AO84"/>
      <c r="AP84" s="172">
        <f t="shared" si="3"/>
        <v>0</v>
      </c>
      <c r="AQ84"/>
      <c r="AR84"/>
      <c r="AS84"/>
      <c r="AT84"/>
      <c r="AU84"/>
    </row>
    <row r="85" spans="1:47" x14ac:dyDescent="0.2">
      <c r="A85" s="32">
        <v>2006</v>
      </c>
      <c r="B85" s="37"/>
      <c r="C85" s="37"/>
      <c r="D85" s="37"/>
      <c r="E85" s="37"/>
      <c r="F85" s="101"/>
      <c r="G85" s="101"/>
      <c r="H85" s="101">
        <v>72</v>
      </c>
      <c r="I85" s="101">
        <v>7</v>
      </c>
      <c r="J85" s="101">
        <v>0</v>
      </c>
      <c r="K85" s="318"/>
      <c r="L85" s="318"/>
      <c r="M85" s="318"/>
      <c r="N85" s="37">
        <v>315</v>
      </c>
      <c r="O85" s="37"/>
      <c r="P85" s="37"/>
      <c r="Q85" s="37"/>
      <c r="R85" s="37"/>
      <c r="S85" s="37">
        <v>0</v>
      </c>
      <c r="T85" s="38"/>
      <c r="U85" s="38"/>
      <c r="V85" s="38"/>
      <c r="W85" s="38"/>
      <c r="X85" s="47">
        <v>394</v>
      </c>
      <c r="Y85" s="241" t="s">
        <v>278</v>
      </c>
      <c r="Z85" s="47"/>
      <c r="AA85" s="2">
        <f t="shared" si="1"/>
        <v>315</v>
      </c>
      <c r="AB85" s="69">
        <v>38979</v>
      </c>
      <c r="AC85" s="69">
        <v>38996</v>
      </c>
      <c r="AD85"/>
      <c r="AE85"/>
      <c r="AF85"/>
      <c r="AG85" s="8"/>
      <c r="AH85" s="185"/>
      <c r="AI85" s="170">
        <v>0</v>
      </c>
      <c r="AJ85"/>
      <c r="AK85" s="171"/>
      <c r="AL85" s="172">
        <v>0</v>
      </c>
      <c r="AM85"/>
      <c r="AN85" s="172">
        <f t="shared" si="2"/>
        <v>0</v>
      </c>
      <c r="AO85"/>
      <c r="AP85" s="172">
        <f t="shared" si="3"/>
        <v>0</v>
      </c>
      <c r="AQ85"/>
      <c r="AR85"/>
      <c r="AS85"/>
      <c r="AT85"/>
      <c r="AU85"/>
    </row>
    <row r="86" spans="1:47" x14ac:dyDescent="0.2">
      <c r="A86" s="32">
        <v>2007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>
        <v>1604</v>
      </c>
      <c r="M86" s="37"/>
      <c r="N86" s="37">
        <v>1671</v>
      </c>
      <c r="O86" s="37"/>
      <c r="P86" s="37"/>
      <c r="Q86" s="37">
        <v>461</v>
      </c>
      <c r="R86" s="37"/>
      <c r="S86" s="37"/>
      <c r="T86" s="38"/>
      <c r="U86" s="38"/>
      <c r="V86" s="38"/>
      <c r="W86" s="38"/>
      <c r="X86" s="195">
        <v>2227</v>
      </c>
      <c r="Y86" s="241" t="s">
        <v>280</v>
      </c>
      <c r="Z86" s="397">
        <v>37.5</v>
      </c>
      <c r="AA86" s="2">
        <f t="shared" si="1"/>
        <v>1671</v>
      </c>
      <c r="AB86"/>
      <c r="AC86"/>
      <c r="AD86"/>
      <c r="AE86"/>
      <c r="AF86"/>
      <c r="AG86" s="8"/>
      <c r="AH86" s="185"/>
      <c r="AI86" s="170"/>
      <c r="AJ86"/>
      <c r="AK86" s="171"/>
      <c r="AL86" s="172">
        <v>0</v>
      </c>
      <c r="AM86"/>
      <c r="AN86" s="172">
        <f t="shared" si="2"/>
        <v>0</v>
      </c>
      <c r="AO86"/>
      <c r="AP86" s="172">
        <f t="shared" si="3"/>
        <v>0</v>
      </c>
      <c r="AQ86"/>
      <c r="AR86"/>
      <c r="AS86"/>
      <c r="AT86"/>
      <c r="AU86"/>
    </row>
    <row r="87" spans="1:47" s="55" customFormat="1" x14ac:dyDescent="0.2">
      <c r="A87" s="38">
        <v>2008</v>
      </c>
      <c r="B87" s="38"/>
      <c r="C87" s="38"/>
      <c r="D87" s="38"/>
      <c r="E87" s="38"/>
      <c r="F87" s="38"/>
      <c r="G87" s="38"/>
      <c r="H87" s="38"/>
      <c r="I87" s="38"/>
      <c r="J87" s="38"/>
      <c r="K87" s="38">
        <v>1809</v>
      </c>
      <c r="L87" s="38"/>
      <c r="M87" s="38">
        <v>375</v>
      </c>
      <c r="N87" s="38"/>
      <c r="O87" s="38"/>
      <c r="P87" s="38"/>
      <c r="Q87" s="38">
        <v>152</v>
      </c>
      <c r="R87" s="38"/>
      <c r="S87" s="38"/>
      <c r="T87" s="38"/>
      <c r="U87" s="38"/>
      <c r="V87" s="38"/>
      <c r="W87" s="38"/>
      <c r="X87" s="46">
        <v>1830</v>
      </c>
      <c r="Y87" s="241" t="s">
        <v>281</v>
      </c>
      <c r="Z87" s="46"/>
      <c r="AA87" s="2">
        <f t="shared" si="1"/>
        <v>1809</v>
      </c>
      <c r="AB87"/>
      <c r="AC87"/>
      <c r="AD87"/>
      <c r="AE87"/>
      <c r="AF87"/>
      <c r="AG87" s="165" t="s">
        <v>128</v>
      </c>
      <c r="AH87" s="175"/>
      <c r="AI87" s="176"/>
      <c r="AJ87"/>
      <c r="AK87" s="177"/>
      <c r="AL87" s="178"/>
      <c r="AM87" s="179"/>
      <c r="AN87" s="172">
        <f>(AH87-AH86)*(AI87+AI86)</f>
        <v>0</v>
      </c>
      <c r="AO87"/>
      <c r="AP87" s="172">
        <f>(AH87-AH86)*(AL87+AL86)</f>
        <v>0</v>
      </c>
      <c r="AQ87"/>
      <c r="AR87"/>
      <c r="AS87"/>
      <c r="AT87"/>
      <c r="AU87"/>
    </row>
    <row r="88" spans="1:47" x14ac:dyDescent="0.2">
      <c r="A88" s="38">
        <v>2009</v>
      </c>
      <c r="B88" s="38"/>
      <c r="C88" s="38"/>
      <c r="D88" s="38"/>
      <c r="E88" s="38"/>
      <c r="F88" s="38"/>
      <c r="G88" s="38"/>
      <c r="H88" s="38"/>
      <c r="I88" s="38"/>
      <c r="J88" s="38">
        <v>1398</v>
      </c>
      <c r="K88" s="38">
        <v>3906</v>
      </c>
      <c r="L88" s="38"/>
      <c r="M88" s="38">
        <v>3278</v>
      </c>
      <c r="N88" s="38"/>
      <c r="O88" s="38">
        <v>1606</v>
      </c>
      <c r="P88" s="38"/>
      <c r="Q88" s="38"/>
      <c r="R88" s="38"/>
      <c r="S88" s="38"/>
      <c r="T88" s="38"/>
      <c r="U88" s="38"/>
      <c r="V88" s="38"/>
      <c r="W88" s="38"/>
      <c r="X88" s="46">
        <v>9625</v>
      </c>
      <c r="Y88" s="241" t="s">
        <v>282</v>
      </c>
      <c r="Z88" s="46">
        <v>30</v>
      </c>
      <c r="AA88" s="2">
        <f t="shared" si="1"/>
        <v>3906</v>
      </c>
      <c r="AB88"/>
      <c r="AC88"/>
      <c r="AD88"/>
      <c r="AE88"/>
      <c r="AF88"/>
      <c r="AG88" s="165" t="s">
        <v>2</v>
      </c>
      <c r="AH88" s="167">
        <v>7</v>
      </c>
      <c r="AI88" s="167"/>
      <c r="AJ88" s="167"/>
      <c r="AK88"/>
      <c r="AL88"/>
      <c r="AM88"/>
      <c r="AN88"/>
      <c r="AO88"/>
      <c r="AP88"/>
      <c r="AQ88"/>
      <c r="AR88"/>
      <c r="AS88"/>
      <c r="AT88"/>
      <c r="AU88"/>
    </row>
    <row r="89" spans="1:47" x14ac:dyDescent="0.2">
      <c r="A89" s="38">
        <v>2010</v>
      </c>
      <c r="B89" s="38"/>
      <c r="C89" s="38"/>
      <c r="D89" s="38"/>
      <c r="E89" s="38"/>
      <c r="F89" s="38"/>
      <c r="G89" s="38"/>
      <c r="H89" s="38"/>
      <c r="I89" s="38"/>
      <c r="J89" s="67">
        <f>4186+1370</f>
        <v>5556</v>
      </c>
      <c r="K89" s="67"/>
      <c r="L89" s="67">
        <f>3172+2623</f>
        <v>5795</v>
      </c>
      <c r="M89" s="67"/>
      <c r="N89" s="67"/>
      <c r="O89" s="67">
        <f>24+887</f>
        <v>911</v>
      </c>
      <c r="P89" s="38"/>
      <c r="Q89" s="38"/>
      <c r="R89" s="38"/>
      <c r="S89" s="38"/>
      <c r="T89" s="38"/>
      <c r="U89" s="38"/>
      <c r="V89" s="38"/>
      <c r="W89" s="38"/>
      <c r="X89" s="46">
        <v>7400</v>
      </c>
      <c r="Y89" s="241" t="s">
        <v>275</v>
      </c>
      <c r="Z89" s="46"/>
      <c r="AA89" s="2">
        <f t="shared" si="1"/>
        <v>5795</v>
      </c>
      <c r="AB89"/>
      <c r="AC89"/>
      <c r="AD89" t="s">
        <v>232</v>
      </c>
      <c r="AE89"/>
      <c r="AF89"/>
      <c r="AG89" s="165" t="s">
        <v>129</v>
      </c>
      <c r="AH89" s="167"/>
      <c r="AI89" s="167">
        <f>MAX(AI78:AI87)</f>
        <v>694</v>
      </c>
      <c r="AJ89" s="167"/>
      <c r="AK89" s="167"/>
      <c r="AL89" s="167">
        <f>MAX(AL78:AL87)</f>
        <v>867.5</v>
      </c>
      <c r="AM89" s="167"/>
      <c r="AN89" s="167"/>
      <c r="AO89" s="180"/>
      <c r="AP89"/>
      <c r="AQ89"/>
      <c r="AR89"/>
      <c r="AS89"/>
      <c r="AT89"/>
      <c r="AU89"/>
    </row>
    <row r="90" spans="1:47" x14ac:dyDescent="0.2">
      <c r="A90" s="38">
        <v>2011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>
        <v>3946</v>
      </c>
      <c r="M90" s="38">
        <f>1758+2438</f>
        <v>4196</v>
      </c>
      <c r="N90" s="38">
        <f>284+3046</f>
        <v>3330</v>
      </c>
      <c r="O90" s="38"/>
      <c r="P90" s="38">
        <v>0</v>
      </c>
      <c r="Q90" s="38">
        <v>0</v>
      </c>
      <c r="R90" s="38"/>
      <c r="S90" s="38"/>
      <c r="T90" s="38"/>
      <c r="U90" s="38"/>
      <c r="V90" s="38"/>
      <c r="W90" s="38"/>
      <c r="X90" s="46">
        <v>12831</v>
      </c>
      <c r="Y90" s="241" t="s">
        <v>283</v>
      </c>
      <c r="Z90" s="46"/>
      <c r="AA90" s="2">
        <f t="shared" si="1"/>
        <v>4196</v>
      </c>
      <c r="AB90"/>
      <c r="AC90"/>
      <c r="AD90" s="2" t="s">
        <v>233</v>
      </c>
      <c r="AE90" t="s">
        <v>234</v>
      </c>
      <c r="AF90"/>
      <c r="AG90" s="165" t="s">
        <v>130</v>
      </c>
      <c r="AH90" s="167"/>
      <c r="AI90" s="169">
        <v>6</v>
      </c>
      <c r="AJ90" s="167"/>
      <c r="AK90"/>
      <c r="AL90" s="169">
        <v>6</v>
      </c>
      <c r="AM90" s="8"/>
      <c r="AN90" s="8"/>
      <c r="AO90" s="8"/>
      <c r="AP90" s="8"/>
      <c r="AQ90"/>
      <c r="AR90"/>
      <c r="AS90"/>
      <c r="AT90"/>
      <c r="AU90"/>
    </row>
    <row r="91" spans="1:47" x14ac:dyDescent="0.2">
      <c r="A91" s="38">
        <v>2012</v>
      </c>
      <c r="B91" s="66"/>
      <c r="C91" s="66"/>
      <c r="D91" s="66"/>
      <c r="E91" s="66"/>
      <c r="F91" s="101">
        <v>0</v>
      </c>
      <c r="G91" s="101">
        <v>0</v>
      </c>
      <c r="H91" s="101">
        <v>9</v>
      </c>
      <c r="I91" s="101">
        <v>11</v>
      </c>
      <c r="J91" s="101">
        <v>0</v>
      </c>
      <c r="K91" s="67">
        <v>15</v>
      </c>
      <c r="L91" s="67">
        <v>1479</v>
      </c>
      <c r="M91" s="67">
        <v>3817</v>
      </c>
      <c r="N91" s="67"/>
      <c r="O91" s="67">
        <v>1452</v>
      </c>
      <c r="P91" s="67">
        <v>0</v>
      </c>
      <c r="Q91" s="66"/>
      <c r="R91" s="66"/>
      <c r="S91" s="66"/>
      <c r="T91" s="66"/>
      <c r="U91" s="66"/>
      <c r="V91" s="66"/>
      <c r="W91" s="66"/>
      <c r="X91" s="38">
        <v>6173</v>
      </c>
      <c r="Y91" s="241" t="s">
        <v>284</v>
      </c>
      <c r="Z91" s="38">
        <v>35</v>
      </c>
      <c r="AA91" s="2">
        <f t="shared" si="1"/>
        <v>3817</v>
      </c>
      <c r="AB91"/>
      <c r="AC91"/>
      <c r="AD91">
        <v>20</v>
      </c>
      <c r="AE91"/>
      <c r="AF91"/>
      <c r="AG91" s="165" t="s">
        <v>131</v>
      </c>
      <c r="AH91" s="167"/>
      <c r="AI91" s="181">
        <f>(0.5*SUM(AN79:AN87))/AI90</f>
        <v>4064.8333333333335</v>
      </c>
      <c r="AJ91" s="167"/>
      <c r="AK91"/>
      <c r="AL91" s="181">
        <f>(0.5*SUM(AP79:AP87))/AL90</f>
        <v>5081.041666666667</v>
      </c>
      <c r="AM91" s="8"/>
      <c r="AN91" s="8"/>
      <c r="AO91" s="8"/>
      <c r="AP91" s="8"/>
      <c r="AQ91"/>
      <c r="AR91"/>
      <c r="AS91"/>
      <c r="AT91"/>
      <c r="AU91"/>
    </row>
    <row r="92" spans="1:47" ht="18" customHeight="1" x14ac:dyDescent="0.2">
      <c r="A92" s="38">
        <v>2013</v>
      </c>
      <c r="B92" s="66"/>
      <c r="C92" s="66"/>
      <c r="D92" s="66"/>
      <c r="E92" s="66"/>
      <c r="F92" s="101">
        <v>6</v>
      </c>
      <c r="G92" s="101">
        <v>0</v>
      </c>
      <c r="H92" s="101">
        <v>0</v>
      </c>
      <c r="I92" s="101">
        <v>262</v>
      </c>
      <c r="J92" s="67">
        <v>1401</v>
      </c>
      <c r="K92" s="67">
        <v>3370</v>
      </c>
      <c r="L92" s="67">
        <v>7053</v>
      </c>
      <c r="M92" s="66"/>
      <c r="N92" s="66"/>
      <c r="O92" s="66"/>
      <c r="P92" s="67">
        <v>15</v>
      </c>
      <c r="Q92" s="66"/>
      <c r="R92" s="66"/>
      <c r="S92" s="66"/>
      <c r="T92" s="66"/>
      <c r="U92" s="66"/>
      <c r="V92" s="66"/>
      <c r="W92" s="66"/>
      <c r="X92" s="38">
        <v>7569</v>
      </c>
      <c r="Y92" s="241" t="s">
        <v>279</v>
      </c>
      <c r="Z92" s="38"/>
      <c r="AA92" s="2">
        <f t="shared" si="1"/>
        <v>7053</v>
      </c>
      <c r="AB92"/>
      <c r="AC92"/>
      <c r="AD92">
        <v>429</v>
      </c>
      <c r="AE92">
        <v>400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ht="18" customHeight="1" x14ac:dyDescent="0.2">
      <c r="A93" s="65">
        <v>2014</v>
      </c>
      <c r="B93" s="66"/>
      <c r="C93" s="66"/>
      <c r="D93" s="66"/>
      <c r="E93" s="101">
        <v>0</v>
      </c>
      <c r="F93" s="101">
        <v>0</v>
      </c>
      <c r="G93" s="101">
        <v>0</v>
      </c>
      <c r="H93" s="101">
        <v>1</v>
      </c>
      <c r="I93" s="101">
        <v>7047</v>
      </c>
      <c r="J93" s="32">
        <v>3046</v>
      </c>
      <c r="K93" s="32"/>
      <c r="L93" s="32"/>
      <c r="M93" s="32"/>
      <c r="N93" s="32"/>
      <c r="O93" s="32"/>
      <c r="P93" s="32">
        <v>1202</v>
      </c>
      <c r="Q93" s="32"/>
      <c r="R93" s="32"/>
      <c r="S93" s="32"/>
      <c r="T93" s="32"/>
      <c r="U93" s="32"/>
      <c r="V93" s="32"/>
      <c r="W93" s="32"/>
      <c r="X93" s="38">
        <v>7048</v>
      </c>
      <c r="Y93" s="241" t="s">
        <v>285</v>
      </c>
      <c r="Z93" s="38"/>
      <c r="AA93" s="2">
        <f t="shared" si="1"/>
        <v>7047</v>
      </c>
      <c r="AB93"/>
      <c r="AC93"/>
      <c r="AD93">
        <v>7048</v>
      </c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ht="18" customHeight="1" x14ac:dyDescent="0.2">
      <c r="A94" s="148">
        <v>2015</v>
      </c>
      <c r="B94" s="149"/>
      <c r="C94" s="149"/>
      <c r="D94" s="149"/>
      <c r="E94" s="149"/>
      <c r="F94" s="149"/>
      <c r="G94" s="149"/>
      <c r="H94" s="215">
        <v>8</v>
      </c>
      <c r="I94" s="92"/>
      <c r="J94" s="215">
        <v>713</v>
      </c>
      <c r="K94" s="216">
        <v>2493</v>
      </c>
      <c r="L94" s="92"/>
      <c r="M94" s="215">
        <v>706</v>
      </c>
      <c r="N94" s="92"/>
      <c r="O94" s="92"/>
      <c r="P94" s="92"/>
      <c r="Q94" s="210"/>
      <c r="R94" s="215">
        <v>0</v>
      </c>
      <c r="S94" s="210"/>
      <c r="T94" s="210"/>
      <c r="U94" s="210"/>
      <c r="V94" s="210"/>
      <c r="W94" s="210"/>
      <c r="X94" s="92">
        <v>2770</v>
      </c>
      <c r="Y94" s="241" t="s">
        <v>279</v>
      </c>
      <c r="Z94" s="92"/>
      <c r="AA94" s="2">
        <f t="shared" si="1"/>
        <v>2493</v>
      </c>
      <c r="AB94" s="2" t="s">
        <v>137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ht="18" customHeight="1" x14ac:dyDescent="0.2">
      <c r="A95" s="148">
        <v>2016</v>
      </c>
      <c r="B95" s="149" t="s">
        <v>267</v>
      </c>
      <c r="C95" s="149"/>
      <c r="D95" s="149"/>
      <c r="E95" s="101">
        <v>0</v>
      </c>
      <c r="F95" s="101">
        <v>0</v>
      </c>
      <c r="G95" s="101">
        <v>0</v>
      </c>
      <c r="H95" s="101">
        <v>0</v>
      </c>
      <c r="I95" s="101">
        <v>442</v>
      </c>
      <c r="J95" s="101">
        <v>694</v>
      </c>
      <c r="K95" s="149"/>
      <c r="L95" s="149"/>
      <c r="M95" s="149"/>
      <c r="N95" s="216">
        <v>332</v>
      </c>
      <c r="O95" s="149"/>
      <c r="P95" s="318">
        <v>92</v>
      </c>
      <c r="Q95" s="394">
        <v>0</v>
      </c>
      <c r="R95" s="149"/>
      <c r="S95" s="210"/>
      <c r="T95" s="210"/>
      <c r="U95" s="210"/>
      <c r="V95" s="210"/>
      <c r="W95" s="210"/>
      <c r="X95" s="92"/>
      <c r="Y95" s="92"/>
      <c r="Z95" s="92"/>
      <c r="AC95" s="69">
        <v>42646</v>
      </c>
      <c r="AD95">
        <v>1136</v>
      </c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ht="18" customHeight="1" x14ac:dyDescent="0.2">
      <c r="A96" s="395">
        <v>2016</v>
      </c>
      <c r="B96" s="149" t="s">
        <v>268</v>
      </c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394">
        <v>63</v>
      </c>
      <c r="R96" s="149"/>
      <c r="S96" s="210"/>
      <c r="T96" s="210"/>
      <c r="U96" s="210"/>
      <c r="V96" s="210"/>
      <c r="W96" s="210"/>
      <c r="X96" s="92"/>
      <c r="Y96" s="92"/>
      <c r="Z96" s="92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ht="18" customHeight="1" x14ac:dyDescent="0.2">
      <c r="A97" s="395">
        <v>2016</v>
      </c>
      <c r="B97" s="149" t="s">
        <v>237</v>
      </c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394">
        <v>619</v>
      </c>
      <c r="P97" s="149"/>
      <c r="Q97" s="149"/>
      <c r="R97" s="149"/>
      <c r="S97" s="210"/>
      <c r="T97" s="210"/>
      <c r="U97" s="210"/>
      <c r="V97" s="210"/>
      <c r="W97" s="210"/>
      <c r="X97" s="92"/>
      <c r="Y97" s="92"/>
      <c r="Z97" s="92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ht="18" customHeight="1" x14ac:dyDescent="0.2">
      <c r="A98" s="395">
        <v>2016</v>
      </c>
      <c r="B98" s="149" t="s">
        <v>269</v>
      </c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394">
        <v>256</v>
      </c>
      <c r="R98" s="149"/>
      <c r="S98" s="210"/>
      <c r="T98" s="210"/>
      <c r="U98" s="210"/>
      <c r="V98" s="210"/>
      <c r="W98" s="210"/>
      <c r="X98" s="92"/>
      <c r="Y98" s="92"/>
      <c r="Z98" s="92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ht="18" customHeight="1" x14ac:dyDescent="0.2">
      <c r="A99" s="148">
        <v>2017</v>
      </c>
      <c r="B99" s="149" t="s">
        <v>267</v>
      </c>
      <c r="C99" s="149"/>
      <c r="D99" s="149"/>
      <c r="E99" s="149"/>
      <c r="F99" s="149"/>
      <c r="G99" s="149"/>
      <c r="H99" s="101">
        <v>10</v>
      </c>
      <c r="I99" s="101">
        <v>8</v>
      </c>
      <c r="J99" s="215">
        <v>2</v>
      </c>
      <c r="K99" s="215">
        <v>0</v>
      </c>
      <c r="L99" s="149"/>
      <c r="M99" s="216">
        <v>941</v>
      </c>
      <c r="N99" s="149"/>
      <c r="O99" s="149"/>
      <c r="P99" s="149"/>
      <c r="Q99" s="92"/>
      <c r="R99" s="149"/>
      <c r="S99" s="210"/>
      <c r="T99" s="210"/>
      <c r="U99" s="210"/>
      <c r="V99" s="210"/>
      <c r="W99" s="210"/>
      <c r="X99" s="92"/>
      <c r="Y99" s="92"/>
      <c r="Z99" s="92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ht="18" customHeight="1" x14ac:dyDescent="0.2">
      <c r="A100" s="395">
        <v>2017</v>
      </c>
      <c r="B100" s="149" t="s">
        <v>268</v>
      </c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215">
        <v>593</v>
      </c>
      <c r="O100" s="149"/>
      <c r="P100" s="149"/>
      <c r="Q100" s="92"/>
      <c r="R100" s="149"/>
      <c r="S100" s="210"/>
      <c r="T100" s="210"/>
      <c r="U100" s="210"/>
      <c r="V100" s="210"/>
      <c r="W100" s="210"/>
      <c r="X100" s="92"/>
      <c r="Y100" s="92"/>
      <c r="Z100" s="92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ht="18" customHeight="1" x14ac:dyDescent="0.2">
      <c r="A101" s="395">
        <v>2017</v>
      </c>
      <c r="B101" s="149" t="s">
        <v>237</v>
      </c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215">
        <v>367</v>
      </c>
      <c r="N101" s="149"/>
      <c r="O101" s="149"/>
      <c r="P101" s="149"/>
      <c r="Q101" s="92"/>
      <c r="R101" s="149"/>
      <c r="S101" s="210"/>
      <c r="T101" s="210"/>
      <c r="U101" s="210"/>
      <c r="V101" s="210"/>
      <c r="W101" s="210"/>
      <c r="X101" s="92"/>
      <c r="Y101" s="92"/>
      <c r="Z101" s="92"/>
      <c r="AC101"/>
      <c r="AD101" s="96"/>
      <c r="AE101" s="96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ht="18" customHeight="1" x14ac:dyDescent="0.2">
      <c r="A102" s="395">
        <v>2017</v>
      </c>
      <c r="B102" s="149" t="s">
        <v>269</v>
      </c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215">
        <v>496</v>
      </c>
      <c r="N102" s="149"/>
      <c r="O102" s="149"/>
      <c r="P102" s="149"/>
      <c r="Q102" s="92"/>
      <c r="R102" s="149"/>
      <c r="S102" s="210"/>
      <c r="T102" s="210"/>
      <c r="U102" s="210"/>
      <c r="V102" s="210"/>
      <c r="W102" s="210"/>
      <c r="X102" s="92"/>
      <c r="Y102" s="92"/>
      <c r="Z102" s="9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ht="18" customHeight="1" x14ac:dyDescent="0.2">
      <c r="A103" s="148">
        <v>2018</v>
      </c>
      <c r="B103" s="149" t="s">
        <v>267</v>
      </c>
      <c r="C103" s="149"/>
      <c r="D103" s="149"/>
      <c r="E103" s="149"/>
      <c r="F103" s="101">
        <v>0</v>
      </c>
      <c r="G103" s="101">
        <v>170</v>
      </c>
      <c r="H103" s="101">
        <v>521</v>
      </c>
      <c r="I103" s="215">
        <v>3559</v>
      </c>
      <c r="J103" s="101">
        <v>750</v>
      </c>
      <c r="K103" s="149"/>
      <c r="L103" s="215">
        <v>5606</v>
      </c>
      <c r="M103" s="92"/>
      <c r="N103" s="149"/>
      <c r="O103" s="149"/>
      <c r="P103" s="149"/>
      <c r="Q103" s="92"/>
      <c r="R103" s="149"/>
      <c r="S103" s="210"/>
      <c r="T103" s="210"/>
      <c r="U103" s="210"/>
      <c r="V103" s="210"/>
      <c r="W103" s="210"/>
      <c r="X103" s="92">
        <v>6229</v>
      </c>
      <c r="Y103" s="92" t="s">
        <v>426</v>
      </c>
      <c r="Z103" s="92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 ht="18" customHeight="1" x14ac:dyDescent="0.2">
      <c r="A104" s="148"/>
      <c r="B104" s="149" t="s">
        <v>268</v>
      </c>
      <c r="C104" s="149"/>
      <c r="D104" s="149"/>
      <c r="E104" s="149"/>
      <c r="F104" s="149"/>
      <c r="G104" s="149"/>
      <c r="H104" s="149"/>
      <c r="I104" s="149"/>
      <c r="J104" s="149"/>
      <c r="K104" s="215">
        <v>705</v>
      </c>
      <c r="L104" s="149"/>
      <c r="M104" s="92"/>
      <c r="N104" s="149"/>
      <c r="O104" s="149"/>
      <c r="P104" s="149"/>
      <c r="Q104" s="92"/>
      <c r="R104" s="149"/>
      <c r="S104" s="210"/>
      <c r="T104" s="210"/>
      <c r="U104" s="210"/>
      <c r="V104" s="210"/>
      <c r="W104" s="210"/>
      <c r="X104" s="92"/>
      <c r="Y104" s="92"/>
      <c r="Z104" s="92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 ht="18" customHeight="1" x14ac:dyDescent="0.2">
      <c r="A105" s="148"/>
      <c r="B105" s="149" t="s">
        <v>237</v>
      </c>
      <c r="C105" s="149"/>
      <c r="D105" s="149"/>
      <c r="E105" s="149"/>
      <c r="F105" s="149"/>
      <c r="G105" s="149"/>
      <c r="H105" s="149"/>
      <c r="I105" s="149"/>
      <c r="J105" s="149"/>
      <c r="K105" s="149"/>
      <c r="L105" s="215">
        <v>56</v>
      </c>
      <c r="M105" s="92"/>
      <c r="N105" s="149"/>
      <c r="O105" s="149"/>
      <c r="P105" s="149"/>
      <c r="Q105" s="92"/>
      <c r="R105" s="149"/>
      <c r="S105" s="210"/>
      <c r="T105" s="210"/>
      <c r="U105" s="210"/>
      <c r="V105" s="210"/>
      <c r="W105" s="210"/>
      <c r="X105" s="92"/>
      <c r="Y105" s="92"/>
      <c r="Z105" s="92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 ht="18" customHeight="1" x14ac:dyDescent="0.2">
      <c r="A106" s="148"/>
      <c r="B106" s="149" t="s">
        <v>269</v>
      </c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92"/>
      <c r="N106" s="149"/>
      <c r="O106" s="215">
        <v>698</v>
      </c>
      <c r="P106" s="149"/>
      <c r="Q106" s="92"/>
      <c r="R106" s="149"/>
      <c r="S106" s="210"/>
      <c r="T106" s="210"/>
      <c r="U106" s="210"/>
      <c r="V106" s="210"/>
      <c r="W106" s="210"/>
      <c r="X106" s="92">
        <v>783</v>
      </c>
      <c r="Y106" s="92" t="s">
        <v>442</v>
      </c>
      <c r="Z106" s="92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 ht="18" customHeight="1" x14ac:dyDescent="0.2">
      <c r="A107" s="148">
        <v>2019</v>
      </c>
      <c r="B107" s="149" t="s">
        <v>267</v>
      </c>
      <c r="C107" s="149"/>
      <c r="D107" s="149"/>
      <c r="E107" s="149"/>
      <c r="F107" s="101">
        <v>0</v>
      </c>
      <c r="G107" s="101">
        <v>0</v>
      </c>
      <c r="H107" s="215">
        <v>1077</v>
      </c>
      <c r="I107" s="215">
        <v>1123</v>
      </c>
      <c r="J107" s="149"/>
      <c r="K107" s="149"/>
      <c r="L107" s="149"/>
      <c r="M107" s="92"/>
      <c r="N107" s="606">
        <v>478</v>
      </c>
      <c r="O107" s="607">
        <v>485</v>
      </c>
      <c r="P107" s="149"/>
      <c r="Q107" s="92"/>
      <c r="R107" s="149"/>
      <c r="S107" s="210"/>
      <c r="T107" s="210"/>
      <c r="U107" s="210"/>
      <c r="V107" s="210"/>
      <c r="W107" s="210"/>
      <c r="X107" s="92">
        <v>1793</v>
      </c>
      <c r="Y107" s="92" t="s">
        <v>512</v>
      </c>
      <c r="Z107" s="92"/>
      <c r="AB107" s="727">
        <v>43714</v>
      </c>
      <c r="AC107" s="69">
        <v>43723</v>
      </c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 ht="18" customHeight="1" x14ac:dyDescent="0.2">
      <c r="A108" s="148"/>
      <c r="B108" s="149" t="s">
        <v>268</v>
      </c>
      <c r="C108" s="149"/>
      <c r="D108" s="149"/>
      <c r="E108" s="149"/>
      <c r="F108" s="149"/>
      <c r="G108" s="149"/>
      <c r="H108" s="149"/>
      <c r="I108" s="149"/>
      <c r="J108" s="215">
        <v>330</v>
      </c>
      <c r="K108" s="149"/>
      <c r="L108" s="149"/>
      <c r="M108" s="92"/>
      <c r="N108" s="606">
        <v>614</v>
      </c>
      <c r="O108" s="92"/>
      <c r="P108" s="606">
        <v>558</v>
      </c>
      <c r="Q108" s="92"/>
      <c r="R108" s="92"/>
      <c r="S108" s="210"/>
      <c r="T108" s="210"/>
      <c r="U108" s="210"/>
      <c r="V108" s="210"/>
      <c r="W108" s="210"/>
      <c r="X108" s="92">
        <v>682</v>
      </c>
      <c r="Y108" s="92" t="s">
        <v>513</v>
      </c>
      <c r="Z108" s="92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ht="18" customHeight="1" x14ac:dyDescent="0.2">
      <c r="A109" s="148"/>
      <c r="B109" s="149" t="s">
        <v>237</v>
      </c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92"/>
      <c r="N109" s="606">
        <v>521</v>
      </c>
      <c r="O109" s="92"/>
      <c r="P109" s="606">
        <v>491</v>
      </c>
      <c r="Q109" s="92"/>
      <c r="R109" s="92"/>
      <c r="S109" s="210"/>
      <c r="T109" s="210"/>
      <c r="U109" s="210"/>
      <c r="V109" s="210"/>
      <c r="W109" s="210"/>
      <c r="X109" s="92">
        <v>579</v>
      </c>
      <c r="Y109" s="92" t="s">
        <v>442</v>
      </c>
      <c r="Z109" s="92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ht="18" customHeight="1" x14ac:dyDescent="0.2">
      <c r="A110" s="148"/>
      <c r="B110" s="149" t="s">
        <v>269</v>
      </c>
      <c r="C110" s="149"/>
      <c r="D110" s="149"/>
      <c r="E110" s="149"/>
      <c r="F110" s="149"/>
      <c r="G110" s="149"/>
      <c r="H110" s="149"/>
      <c r="I110" s="149"/>
      <c r="J110" s="215">
        <v>18</v>
      </c>
      <c r="K110" s="149"/>
      <c r="L110" s="149"/>
      <c r="M110" s="92"/>
      <c r="N110" s="92"/>
      <c r="O110" s="92"/>
      <c r="P110" s="92"/>
      <c r="Q110" s="92"/>
      <c r="R110" s="92"/>
      <c r="S110" s="210"/>
      <c r="T110" s="210"/>
      <c r="U110" s="210"/>
      <c r="V110" s="210"/>
      <c r="W110" s="210"/>
      <c r="X110" s="92">
        <v>20</v>
      </c>
      <c r="Y110" s="92" t="s">
        <v>442</v>
      </c>
      <c r="Z110" s="92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 ht="18" customHeight="1" x14ac:dyDescent="0.2">
      <c r="A111" s="148">
        <v>2020</v>
      </c>
      <c r="B111" s="149" t="s">
        <v>267</v>
      </c>
      <c r="C111" s="149"/>
      <c r="D111" s="149"/>
      <c r="E111" s="149"/>
      <c r="F111" s="149"/>
      <c r="G111" s="149"/>
      <c r="H111" s="149"/>
      <c r="I111" s="149"/>
      <c r="J111" s="606">
        <v>3035</v>
      </c>
      <c r="K111" s="149"/>
      <c r="L111" s="149"/>
      <c r="M111" s="606">
        <v>1171</v>
      </c>
      <c r="N111" s="92"/>
      <c r="O111" s="92"/>
      <c r="P111" s="92"/>
      <c r="Q111" s="92"/>
      <c r="R111" s="92"/>
      <c r="S111" s="210"/>
      <c r="T111" s="210"/>
      <c r="U111" s="210"/>
      <c r="V111" s="210"/>
      <c r="W111" s="210"/>
      <c r="X111" s="92">
        <v>3374</v>
      </c>
      <c r="Y111" s="92"/>
      <c r="Z111" s="92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ht="18" customHeight="1" x14ac:dyDescent="0.2">
      <c r="A112" s="148"/>
      <c r="B112" s="149" t="s">
        <v>268</v>
      </c>
      <c r="C112" s="149"/>
      <c r="D112" s="149"/>
      <c r="E112" s="149"/>
      <c r="F112" s="149"/>
      <c r="G112" s="149"/>
      <c r="H112" s="149"/>
      <c r="I112" s="149"/>
      <c r="J112" s="149"/>
      <c r="K112" s="606">
        <v>512</v>
      </c>
      <c r="L112" s="149"/>
      <c r="M112" s="92"/>
      <c r="N112" s="92"/>
      <c r="O112" s="92"/>
      <c r="P112" s="92"/>
      <c r="Q112" s="92"/>
      <c r="R112" s="92"/>
      <c r="S112" s="210"/>
      <c r="T112" s="210"/>
      <c r="U112" s="210"/>
      <c r="V112" s="210"/>
      <c r="W112" s="210"/>
      <c r="X112" s="92">
        <v>567</v>
      </c>
      <c r="Y112" s="92"/>
      <c r="Z112" s="9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:47" ht="18" customHeight="1" x14ac:dyDescent="0.2">
      <c r="A113" s="148"/>
      <c r="B113" s="149" t="s">
        <v>237</v>
      </c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92"/>
      <c r="N113" s="606">
        <v>469</v>
      </c>
      <c r="O113" s="92"/>
      <c r="P113" s="92"/>
      <c r="Q113" s="92"/>
      <c r="R113" s="92"/>
      <c r="S113" s="210"/>
      <c r="T113" s="210"/>
      <c r="U113" s="210"/>
      <c r="V113" s="210"/>
      <c r="W113" s="210"/>
      <c r="X113" s="92"/>
      <c r="Y113" s="92"/>
      <c r="Z113" s="92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 ht="18" customHeight="1" x14ac:dyDescent="0.2">
      <c r="A114" s="148"/>
      <c r="B114" s="149" t="s">
        <v>269</v>
      </c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92"/>
      <c r="N114" s="92"/>
      <c r="O114" s="92"/>
      <c r="P114" s="92"/>
      <c r="Q114" s="92"/>
      <c r="R114" s="92"/>
      <c r="S114" s="210"/>
      <c r="T114" s="210"/>
      <c r="U114" s="210"/>
      <c r="V114" s="210"/>
      <c r="W114" s="210"/>
      <c r="X114" s="92"/>
      <c r="Y114" s="92"/>
      <c r="Z114" s="92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 ht="18" customHeight="1" x14ac:dyDescent="0.2">
      <c r="A115" s="148">
        <v>2021</v>
      </c>
      <c r="B115" s="149" t="s">
        <v>267</v>
      </c>
      <c r="C115" s="149"/>
      <c r="D115" s="149"/>
      <c r="E115" s="149"/>
      <c r="F115" s="149"/>
      <c r="G115" s="149"/>
      <c r="H115" s="149"/>
      <c r="I115" s="606">
        <v>1801</v>
      </c>
      <c r="J115" s="92"/>
      <c r="K115" s="92"/>
      <c r="L115" s="606">
        <v>2959</v>
      </c>
      <c r="M115" s="92"/>
      <c r="N115" s="92"/>
      <c r="O115" s="92"/>
      <c r="P115" s="92"/>
      <c r="Q115" s="92"/>
      <c r="R115" s="92"/>
      <c r="S115" s="210"/>
      <c r="T115" s="210"/>
      <c r="U115" s="210"/>
      <c r="V115" s="210"/>
      <c r="W115" s="210"/>
      <c r="X115" s="92">
        <v>3288</v>
      </c>
      <c r="Y115" s="92"/>
      <c r="Z115" s="92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:47" ht="18" customHeight="1" x14ac:dyDescent="0.2">
      <c r="A116" s="148"/>
      <c r="B116" s="149" t="s">
        <v>268</v>
      </c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92"/>
      <c r="N116" s="92"/>
      <c r="O116" s="92"/>
      <c r="P116" s="92"/>
      <c r="Q116" s="92"/>
      <c r="R116" s="92"/>
      <c r="S116" s="210"/>
      <c r="T116" s="210"/>
      <c r="U116" s="210"/>
      <c r="V116" s="210"/>
      <c r="W116" s="210"/>
      <c r="X116" s="92"/>
      <c r="Y116" s="92"/>
      <c r="Z116" s="92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:47" ht="18" customHeight="1" x14ac:dyDescent="0.2">
      <c r="A117" s="148"/>
      <c r="B117" s="149" t="s">
        <v>237</v>
      </c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92"/>
      <c r="N117" s="92"/>
      <c r="O117" s="92"/>
      <c r="P117" s="92"/>
      <c r="Q117" s="92"/>
      <c r="R117" s="92"/>
      <c r="S117" s="210"/>
      <c r="T117" s="210"/>
      <c r="U117" s="210"/>
      <c r="V117" s="210"/>
      <c r="W117" s="210"/>
      <c r="X117" s="92"/>
      <c r="Y117" s="92"/>
      <c r="Z117" s="92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:47" ht="18" customHeight="1" x14ac:dyDescent="0.2">
      <c r="A118" s="148"/>
      <c r="B118" s="149" t="s">
        <v>269</v>
      </c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92"/>
      <c r="N118" s="92"/>
      <c r="O118" s="92"/>
      <c r="P118" s="92"/>
      <c r="Q118" s="92"/>
      <c r="R118" s="92"/>
      <c r="S118" s="210"/>
      <c r="T118" s="210"/>
      <c r="U118" s="210"/>
      <c r="V118" s="210"/>
      <c r="W118" s="210"/>
      <c r="X118" s="92"/>
      <c r="Y118" s="92"/>
      <c r="Z118" s="92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:47" ht="18" customHeight="1" x14ac:dyDescent="0.2">
      <c r="A119" s="148">
        <v>2022</v>
      </c>
      <c r="B119" s="149" t="s">
        <v>267</v>
      </c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92"/>
      <c r="N119" s="910">
        <f>128+89+1114+1</f>
        <v>1332</v>
      </c>
      <c r="O119" s="92"/>
      <c r="P119" s="92"/>
      <c r="Q119" s="606">
        <f>32+11+46+18+647+47</f>
        <v>801</v>
      </c>
      <c r="R119" s="92"/>
      <c r="S119" s="210"/>
      <c r="T119" s="210"/>
      <c r="U119" s="210"/>
      <c r="V119" s="210"/>
      <c r="W119" s="210"/>
      <c r="X119" s="92"/>
      <c r="Y119" s="92" t="s">
        <v>9</v>
      </c>
      <c r="Z119" s="92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:47" ht="18" customHeight="1" x14ac:dyDescent="0.2">
      <c r="A120" s="148"/>
      <c r="B120" s="149" t="s">
        <v>268</v>
      </c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92"/>
      <c r="N120" s="92"/>
      <c r="O120" s="92"/>
      <c r="P120" s="606">
        <v>1498</v>
      </c>
      <c r="Q120" s="92"/>
      <c r="R120" s="92"/>
      <c r="S120" s="210"/>
      <c r="T120" s="210"/>
      <c r="U120" s="210"/>
      <c r="V120" s="210"/>
      <c r="W120" s="210"/>
      <c r="X120" s="92"/>
      <c r="Y120" s="92" t="s">
        <v>9</v>
      </c>
      <c r="Z120" s="92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:47" ht="18" customHeight="1" x14ac:dyDescent="0.2">
      <c r="A121" s="148"/>
      <c r="B121" s="149" t="s">
        <v>237</v>
      </c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92"/>
      <c r="N121" s="92"/>
      <c r="O121" s="92"/>
      <c r="P121" s="92"/>
      <c r="Q121" s="607">
        <v>735</v>
      </c>
      <c r="R121" s="92"/>
      <c r="S121" s="210"/>
      <c r="T121" s="210"/>
      <c r="U121" s="210"/>
      <c r="V121" s="210"/>
      <c r="W121" s="210"/>
      <c r="X121" s="92"/>
      <c r="Y121" s="92" t="s">
        <v>9</v>
      </c>
      <c r="Z121" s="92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:47" ht="18" customHeight="1" x14ac:dyDescent="0.2">
      <c r="A122" s="148"/>
      <c r="B122" s="149" t="s">
        <v>269</v>
      </c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92"/>
      <c r="N122" s="92"/>
      <c r="O122" s="606">
        <v>1250</v>
      </c>
      <c r="P122" s="92"/>
      <c r="Q122" s="92"/>
      <c r="R122" s="92"/>
      <c r="S122" s="210"/>
      <c r="T122" s="210"/>
      <c r="U122" s="210"/>
      <c r="V122" s="210"/>
      <c r="W122" s="210"/>
      <c r="X122" s="92"/>
      <c r="Y122" s="92" t="s">
        <v>9</v>
      </c>
      <c r="Z122" s="9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1:47" ht="18" customHeight="1" x14ac:dyDescent="0.2">
      <c r="A123" s="148">
        <v>2023</v>
      </c>
      <c r="B123" s="149" t="s">
        <v>267</v>
      </c>
      <c r="C123" s="149"/>
      <c r="D123" s="149"/>
      <c r="E123" s="149"/>
      <c r="F123" s="149"/>
      <c r="G123" s="101">
        <v>0</v>
      </c>
      <c r="H123" s="101">
        <v>0</v>
      </c>
      <c r="I123" s="101">
        <v>179</v>
      </c>
      <c r="J123" s="995">
        <v>372</v>
      </c>
      <c r="K123" s="995">
        <v>1461</v>
      </c>
      <c r="L123" s="149"/>
      <c r="M123" s="606">
        <v>1144</v>
      </c>
      <c r="N123" s="92"/>
      <c r="O123" s="92"/>
      <c r="P123" s="92"/>
      <c r="Q123" s="92"/>
      <c r="R123" s="92"/>
      <c r="S123" s="210"/>
      <c r="T123" s="210"/>
      <c r="U123" s="210"/>
      <c r="V123" s="210"/>
      <c r="W123" s="210"/>
      <c r="X123" s="92"/>
      <c r="Y123" s="92"/>
      <c r="Z123" s="92"/>
      <c r="AC123" s="69">
        <v>45181</v>
      </c>
      <c r="AD123" s="69">
        <v>45210</v>
      </c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1:47" ht="18" customHeight="1" x14ac:dyDescent="0.2">
      <c r="A124" s="148"/>
      <c r="B124" s="149" t="s">
        <v>268</v>
      </c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  <c r="M124" s="92"/>
      <c r="N124" s="92"/>
      <c r="O124" s="92"/>
      <c r="P124" s="92"/>
      <c r="Q124" s="92"/>
      <c r="R124" s="92"/>
      <c r="S124" s="210"/>
      <c r="T124" s="210"/>
      <c r="U124" s="210"/>
      <c r="V124" s="210"/>
      <c r="W124" s="210"/>
      <c r="X124" s="92"/>
      <c r="Y124" s="92"/>
      <c r="Z124" s="92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:47" ht="18" customHeight="1" x14ac:dyDescent="0.2">
      <c r="A125" s="148"/>
      <c r="B125" s="149" t="s">
        <v>237</v>
      </c>
      <c r="C125" s="149"/>
      <c r="D125" s="149"/>
      <c r="E125" s="149"/>
      <c r="F125" s="149"/>
      <c r="G125" s="149"/>
      <c r="H125" s="149"/>
      <c r="I125" s="149"/>
      <c r="J125" s="149"/>
      <c r="K125" s="154">
        <v>0</v>
      </c>
      <c r="L125" s="149"/>
      <c r="M125" s="92"/>
      <c r="N125" s="92"/>
      <c r="O125" s="92"/>
      <c r="P125" s="92"/>
      <c r="Q125" s="92"/>
      <c r="R125" s="92"/>
      <c r="S125" s="210"/>
      <c r="T125" s="210"/>
      <c r="U125" s="210"/>
      <c r="V125" s="210"/>
      <c r="W125" s="210"/>
      <c r="X125" s="92"/>
      <c r="Y125" s="92"/>
      <c r="Z125" s="92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:47" ht="18" customHeight="1" x14ac:dyDescent="0.2">
      <c r="A126" s="148"/>
      <c r="B126" s="149" t="s">
        <v>269</v>
      </c>
      <c r="C126" s="149"/>
      <c r="D126" s="149"/>
      <c r="E126" s="149"/>
      <c r="F126" s="149"/>
      <c r="G126" s="149"/>
      <c r="H126" s="149"/>
      <c r="I126" s="149"/>
      <c r="J126" s="149"/>
      <c r="K126" s="149"/>
      <c r="L126" s="991">
        <v>12</v>
      </c>
      <c r="M126" s="92"/>
      <c r="N126" s="92"/>
      <c r="O126" s="92"/>
      <c r="P126" s="92"/>
      <c r="Q126" s="92"/>
      <c r="R126" s="92"/>
      <c r="S126" s="210"/>
      <c r="T126" s="210"/>
      <c r="U126" s="210"/>
      <c r="V126" s="210"/>
      <c r="W126" s="210"/>
      <c r="X126" s="92"/>
      <c r="Y126" s="92"/>
      <c r="Z126" s="92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 ht="18" customHeight="1" x14ac:dyDescent="0.2">
      <c r="A127" s="207"/>
      <c r="B127" s="206"/>
      <c r="C127" s="208"/>
      <c r="D127" s="208"/>
      <c r="E127" s="208"/>
      <c r="F127" s="208"/>
      <c r="G127" s="208"/>
      <c r="H127" s="208"/>
      <c r="I127" s="208"/>
      <c r="J127" s="208"/>
      <c r="K127" s="209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89"/>
      <c r="Z127" s="89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ht="18" customHeight="1" x14ac:dyDescent="0.2">
      <c r="A128" s="1022" t="s">
        <v>15</v>
      </c>
      <c r="B128" s="1023"/>
      <c r="C128" s="1023"/>
      <c r="D128" s="1023"/>
      <c r="E128" s="1023"/>
      <c r="F128" s="1023"/>
      <c r="G128" s="1023"/>
      <c r="H128" s="1023"/>
      <c r="I128" s="1023"/>
      <c r="J128" s="388" t="s">
        <v>312</v>
      </c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 ht="18" customHeight="1" thickBot="1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2"/>
      <c r="Y129" s="32"/>
      <c r="Z129" s="32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 ht="18" customHeight="1" thickTop="1" x14ac:dyDescent="0.2">
      <c r="A130" s="1018" t="s">
        <v>0</v>
      </c>
      <c r="B130" s="1024" t="s">
        <v>1</v>
      </c>
      <c r="C130" s="1024"/>
      <c r="D130" s="1024"/>
      <c r="E130" s="1024"/>
      <c r="F130" s="1024"/>
      <c r="G130" s="1024"/>
      <c r="H130" s="1024"/>
      <c r="I130" s="1024"/>
      <c r="J130" s="1024"/>
      <c r="K130" s="1024"/>
      <c r="L130" s="1024"/>
      <c r="M130" s="1024"/>
      <c r="N130" s="1024"/>
      <c r="O130" s="1024"/>
      <c r="P130" s="1024"/>
      <c r="Q130" s="1024"/>
      <c r="R130" s="1024"/>
      <c r="S130" s="1024"/>
      <c r="T130" s="1024"/>
      <c r="U130" s="1024"/>
      <c r="V130" s="1024"/>
      <c r="W130" s="1024"/>
      <c r="X130" s="1018" t="s">
        <v>2</v>
      </c>
      <c r="Y130" s="1010" t="s">
        <v>3</v>
      </c>
      <c r="Z130" s="1008" t="s">
        <v>4</v>
      </c>
      <c r="AB130"/>
      <c r="AC130"/>
      <c r="AD130" s="100" t="s">
        <v>98</v>
      </c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 ht="18" customHeight="1" x14ac:dyDescent="0.2">
      <c r="A131" s="1019"/>
      <c r="B131" s="36">
        <v>81</v>
      </c>
      <c r="C131" s="36">
        <v>82</v>
      </c>
      <c r="D131" s="36">
        <v>83</v>
      </c>
      <c r="E131" s="36">
        <v>84</v>
      </c>
      <c r="F131" s="36">
        <v>91</v>
      </c>
      <c r="G131" s="36">
        <v>92</v>
      </c>
      <c r="H131" s="36">
        <v>93</v>
      </c>
      <c r="I131" s="36">
        <v>94</v>
      </c>
      <c r="J131" s="36">
        <v>101</v>
      </c>
      <c r="K131" s="36">
        <v>102</v>
      </c>
      <c r="L131" s="36">
        <v>103</v>
      </c>
      <c r="M131" s="36">
        <v>104</v>
      </c>
      <c r="N131" s="36">
        <v>105</v>
      </c>
      <c r="O131" s="36">
        <v>111</v>
      </c>
      <c r="P131" s="36">
        <v>112</v>
      </c>
      <c r="Q131" s="36">
        <v>113</v>
      </c>
      <c r="R131" s="36">
        <v>114</v>
      </c>
      <c r="S131" s="36">
        <v>115</v>
      </c>
      <c r="T131" s="36">
        <v>121</v>
      </c>
      <c r="U131" s="36">
        <v>122</v>
      </c>
      <c r="V131" s="36">
        <v>123</v>
      </c>
      <c r="W131" s="36">
        <v>124</v>
      </c>
      <c r="X131" s="1019"/>
      <c r="Y131" s="1011"/>
      <c r="Z131" s="1009"/>
      <c r="AB131"/>
      <c r="AC131"/>
      <c r="AD131" s="213" t="s">
        <v>138</v>
      </c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:47" ht="18" customHeight="1" x14ac:dyDescent="0.2">
      <c r="A132" s="32">
        <v>1995</v>
      </c>
      <c r="B132" s="37"/>
      <c r="C132" s="37"/>
      <c r="D132" s="37"/>
      <c r="E132" s="37"/>
      <c r="F132" s="37"/>
      <c r="G132" s="37"/>
      <c r="H132" s="37"/>
      <c r="I132" s="37">
        <v>6</v>
      </c>
      <c r="J132" s="37">
        <v>0</v>
      </c>
      <c r="K132" s="37"/>
      <c r="L132" s="37"/>
      <c r="M132" s="37"/>
      <c r="N132" s="37">
        <v>48</v>
      </c>
      <c r="O132" s="37"/>
      <c r="P132" s="37"/>
      <c r="Q132" s="37"/>
      <c r="R132" s="37"/>
      <c r="S132" s="37"/>
      <c r="T132" s="38"/>
      <c r="U132" s="38"/>
      <c r="V132" s="38"/>
      <c r="W132" s="38"/>
      <c r="X132" s="39">
        <v>48</v>
      </c>
      <c r="Y132" s="241" t="s">
        <v>286</v>
      </c>
      <c r="Z132" s="39"/>
      <c r="AA132" s="2">
        <f t="shared" ref="AA132:AA153" si="4">MAX(B132:W132)</f>
        <v>48</v>
      </c>
      <c r="AB132"/>
      <c r="AC132"/>
      <c r="AD132" s="214" t="s">
        <v>139</v>
      </c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:47" ht="18" customHeight="1" x14ac:dyDescent="0.2">
      <c r="A133" s="32">
        <v>1996</v>
      </c>
      <c r="B133" s="37"/>
      <c r="C133" s="37"/>
      <c r="D133" s="37"/>
      <c r="E133" s="37">
        <v>0</v>
      </c>
      <c r="F133" s="37"/>
      <c r="G133" s="37">
        <v>0</v>
      </c>
      <c r="H133" s="37"/>
      <c r="I133" s="37">
        <v>0</v>
      </c>
      <c r="J133" s="37"/>
      <c r="K133" s="37">
        <v>12</v>
      </c>
      <c r="L133" s="37"/>
      <c r="M133" s="37"/>
      <c r="N133" s="37">
        <v>9</v>
      </c>
      <c r="O133" s="37"/>
      <c r="P133" s="37"/>
      <c r="Q133" s="37">
        <v>5</v>
      </c>
      <c r="R133" s="37"/>
      <c r="S133" s="37"/>
      <c r="T133" s="38"/>
      <c r="U133" s="38"/>
      <c r="V133" s="38"/>
      <c r="W133" s="38"/>
      <c r="X133" s="39">
        <v>26</v>
      </c>
      <c r="Y133" s="241" t="s">
        <v>287</v>
      </c>
      <c r="Z133" s="39">
        <v>20</v>
      </c>
      <c r="AA133" s="2">
        <f t="shared" si="4"/>
        <v>12</v>
      </c>
      <c r="AB133"/>
      <c r="AC133"/>
      <c r="AD133" s="212" t="s">
        <v>140</v>
      </c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:47" ht="18" customHeight="1" x14ac:dyDescent="0.2">
      <c r="A134" s="32">
        <v>1997</v>
      </c>
      <c r="B134" s="37"/>
      <c r="C134" s="37"/>
      <c r="D134" s="37"/>
      <c r="E134" s="37"/>
      <c r="F134" s="37">
        <v>0</v>
      </c>
      <c r="G134" s="37">
        <v>0</v>
      </c>
      <c r="H134" s="37">
        <v>0</v>
      </c>
      <c r="I134" s="37">
        <v>0</v>
      </c>
      <c r="J134" s="37"/>
      <c r="K134" s="37"/>
      <c r="L134" s="37">
        <v>18</v>
      </c>
      <c r="M134" s="37"/>
      <c r="N134" s="37"/>
      <c r="O134" s="37"/>
      <c r="P134" s="37"/>
      <c r="Q134" s="37"/>
      <c r="R134" s="37"/>
      <c r="S134" s="37">
        <v>0</v>
      </c>
      <c r="T134" s="38"/>
      <c r="U134" s="38"/>
      <c r="V134" s="38"/>
      <c r="W134" s="38"/>
      <c r="X134" s="39">
        <v>1500</v>
      </c>
      <c r="Y134" s="396" t="s">
        <v>271</v>
      </c>
      <c r="Z134" s="39"/>
      <c r="AA134" s="2">
        <f t="shared" si="4"/>
        <v>18</v>
      </c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:47" ht="18" customHeight="1" x14ac:dyDescent="0.2">
      <c r="A135" s="32">
        <v>1998</v>
      </c>
      <c r="B135" s="37"/>
      <c r="C135" s="37"/>
      <c r="D135" s="37"/>
      <c r="E135" s="37"/>
      <c r="F135" s="37"/>
      <c r="G135" s="37"/>
      <c r="H135" s="37"/>
      <c r="I135" s="37"/>
      <c r="J135" s="37">
        <v>3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8"/>
      <c r="V135" s="38"/>
      <c r="W135" s="38"/>
      <c r="X135" s="39">
        <v>500</v>
      </c>
      <c r="Y135" s="241" t="s">
        <v>270</v>
      </c>
      <c r="Z135" s="39"/>
      <c r="AA135" s="2">
        <f t="shared" si="4"/>
        <v>3</v>
      </c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:47" ht="18" customHeight="1" x14ac:dyDescent="0.2">
      <c r="A136" s="32">
        <v>1999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>
        <v>21</v>
      </c>
      <c r="N136" s="37"/>
      <c r="O136" s="37"/>
      <c r="P136" s="37"/>
      <c r="Q136" s="37"/>
      <c r="R136" s="37"/>
      <c r="S136" s="37"/>
      <c r="T136" s="38"/>
      <c r="U136" s="38"/>
      <c r="V136" s="38"/>
      <c r="W136" s="38"/>
      <c r="X136" s="40">
        <v>200</v>
      </c>
      <c r="Y136" s="241" t="s">
        <v>288</v>
      </c>
      <c r="Z136" s="40"/>
      <c r="AA136" s="2">
        <f t="shared" si="4"/>
        <v>21</v>
      </c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:47" ht="18" customHeight="1" x14ac:dyDescent="0.2">
      <c r="A137" s="32">
        <v>2000</v>
      </c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1" t="s">
        <v>16</v>
      </c>
      <c r="Y137" s="241"/>
      <c r="Z137" s="41"/>
      <c r="AA137" s="2">
        <f t="shared" si="4"/>
        <v>0</v>
      </c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1:47" ht="18" customHeight="1" x14ac:dyDescent="0.2">
      <c r="A138" s="32">
        <v>2001</v>
      </c>
      <c r="B138" s="37"/>
      <c r="C138" s="37"/>
      <c r="D138" s="37"/>
      <c r="E138" s="37"/>
      <c r="F138" s="37"/>
      <c r="G138" s="37">
        <v>6</v>
      </c>
      <c r="H138" s="37">
        <v>1</v>
      </c>
      <c r="I138" s="37"/>
      <c r="J138" s="37"/>
      <c r="K138" s="37"/>
      <c r="L138" s="37"/>
      <c r="M138" s="37"/>
      <c r="N138" s="37">
        <v>217</v>
      </c>
      <c r="O138" s="37">
        <v>76</v>
      </c>
      <c r="P138" s="37"/>
      <c r="Q138" s="37"/>
      <c r="R138" s="37"/>
      <c r="S138" s="37"/>
      <c r="T138" s="38"/>
      <c r="U138" s="38"/>
      <c r="V138" s="38"/>
      <c r="W138" s="38"/>
      <c r="X138" s="39">
        <v>241</v>
      </c>
      <c r="Y138" s="241" t="s">
        <v>289</v>
      </c>
      <c r="Z138" s="39"/>
      <c r="AA138" s="2">
        <f t="shared" si="4"/>
        <v>217</v>
      </c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1:47" ht="18" customHeight="1" x14ac:dyDescent="0.2">
      <c r="A139" s="32">
        <v>2002</v>
      </c>
      <c r="B139" s="37"/>
      <c r="C139" s="37"/>
      <c r="D139" s="37"/>
      <c r="E139" s="37"/>
      <c r="F139" s="37"/>
      <c r="G139" s="37"/>
      <c r="H139" s="37"/>
      <c r="I139" s="37"/>
      <c r="J139" s="37"/>
      <c r="K139" s="37">
        <v>0</v>
      </c>
      <c r="L139" s="37"/>
      <c r="M139" s="37"/>
      <c r="N139" s="37"/>
      <c r="O139" s="37"/>
      <c r="P139" s="37"/>
      <c r="Q139" s="37">
        <v>0</v>
      </c>
      <c r="R139" s="37">
        <v>8</v>
      </c>
      <c r="S139" s="37"/>
      <c r="T139" s="38">
        <v>0</v>
      </c>
      <c r="U139" s="38"/>
      <c r="V139" s="38"/>
      <c r="W139" s="38"/>
      <c r="X139" s="39">
        <v>9</v>
      </c>
      <c r="Y139" s="241" t="s">
        <v>290</v>
      </c>
      <c r="Z139" s="39"/>
      <c r="AA139" s="2">
        <f t="shared" si="4"/>
        <v>8</v>
      </c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1:47" ht="18" customHeight="1" x14ac:dyDescent="0.2">
      <c r="A140" s="32">
        <v>2003</v>
      </c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>
        <v>53</v>
      </c>
      <c r="M140" s="37"/>
      <c r="N140" s="37">
        <v>65</v>
      </c>
      <c r="O140" s="37">
        <v>0</v>
      </c>
      <c r="P140" s="37">
        <v>98</v>
      </c>
      <c r="Q140" s="37"/>
      <c r="R140" s="37"/>
      <c r="S140" s="37"/>
      <c r="T140" s="38"/>
      <c r="U140" s="38"/>
      <c r="V140" s="38"/>
      <c r="W140" s="38"/>
      <c r="X140" s="39">
        <v>102</v>
      </c>
      <c r="Y140" s="241" t="s">
        <v>291</v>
      </c>
      <c r="Z140" s="39"/>
      <c r="AA140" s="2">
        <f t="shared" si="4"/>
        <v>98</v>
      </c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1:47" ht="18" customHeight="1" x14ac:dyDescent="0.2">
      <c r="A141" s="32">
        <v>2004</v>
      </c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>
        <v>129</v>
      </c>
      <c r="M141" s="37"/>
      <c r="N141" s="37">
        <v>138</v>
      </c>
      <c r="O141" s="37"/>
      <c r="P141" s="37">
        <v>0</v>
      </c>
      <c r="Q141" s="37"/>
      <c r="R141" s="37">
        <v>43</v>
      </c>
      <c r="S141" s="37"/>
      <c r="T141" s="38"/>
      <c r="U141" s="38"/>
      <c r="V141" s="38"/>
      <c r="W141" s="38"/>
      <c r="X141" s="39"/>
      <c r="Y141" s="241" t="s">
        <v>292</v>
      </c>
      <c r="Z141" s="39"/>
      <c r="AA141" s="2">
        <f t="shared" si="4"/>
        <v>138</v>
      </c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1:47" ht="18" customHeight="1" x14ac:dyDescent="0.2">
      <c r="A142" s="32">
        <v>2005</v>
      </c>
      <c r="B142" s="37"/>
      <c r="C142" s="37"/>
      <c r="D142" s="37"/>
      <c r="E142" s="37"/>
      <c r="F142" s="37"/>
      <c r="G142" s="37"/>
      <c r="H142" s="37"/>
      <c r="I142" s="37"/>
      <c r="J142" s="37"/>
      <c r="K142" s="37">
        <v>74</v>
      </c>
      <c r="L142" s="37"/>
      <c r="M142" s="37">
        <v>345</v>
      </c>
      <c r="N142" s="37">
        <v>1102</v>
      </c>
      <c r="O142" s="37"/>
      <c r="P142" s="37"/>
      <c r="Q142" s="37"/>
      <c r="R142" s="37"/>
      <c r="S142" s="37"/>
      <c r="T142" s="38"/>
      <c r="U142" s="38"/>
      <c r="V142" s="38"/>
      <c r="W142" s="38"/>
      <c r="X142" s="39">
        <v>1516</v>
      </c>
      <c r="Y142" s="241" t="s">
        <v>293</v>
      </c>
      <c r="Z142" s="39"/>
      <c r="AA142" s="2">
        <f t="shared" si="4"/>
        <v>1102</v>
      </c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1:47" ht="18" customHeight="1" x14ac:dyDescent="0.2">
      <c r="A143" s="32">
        <v>2006</v>
      </c>
      <c r="B143" s="37"/>
      <c r="C143" s="37"/>
      <c r="D143" s="37"/>
      <c r="E143" s="37"/>
      <c r="F143" s="101"/>
      <c r="G143" s="101"/>
      <c r="H143" s="101">
        <v>2</v>
      </c>
      <c r="I143" s="101"/>
      <c r="J143" s="101"/>
      <c r="K143" s="101"/>
      <c r="L143" s="101"/>
      <c r="M143" s="101"/>
      <c r="N143" s="37">
        <v>79</v>
      </c>
      <c r="O143" s="37"/>
      <c r="P143" s="37"/>
      <c r="Q143" s="37"/>
      <c r="R143" s="37"/>
      <c r="S143" s="37">
        <v>0</v>
      </c>
      <c r="T143" s="38"/>
      <c r="U143" s="38"/>
      <c r="V143" s="38"/>
      <c r="W143" s="38"/>
      <c r="X143" s="42">
        <v>278</v>
      </c>
      <c r="Y143" s="241" t="s">
        <v>294</v>
      </c>
      <c r="Z143" s="42"/>
      <c r="AA143" s="2">
        <f t="shared" si="4"/>
        <v>79</v>
      </c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1:47" ht="18" customHeight="1" x14ac:dyDescent="0.2">
      <c r="A144" s="32">
        <v>2007</v>
      </c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>
        <v>45</v>
      </c>
      <c r="M144" s="37"/>
      <c r="N144" s="37">
        <v>757</v>
      </c>
      <c r="O144" s="37"/>
      <c r="P144" s="37"/>
      <c r="Q144" s="37">
        <v>34</v>
      </c>
      <c r="R144" s="37"/>
      <c r="S144" s="37"/>
      <c r="T144" s="38"/>
      <c r="U144" s="38"/>
      <c r="V144" s="38"/>
      <c r="W144" s="38"/>
      <c r="X144" s="42">
        <v>1276</v>
      </c>
      <c r="Y144" s="241" t="s">
        <v>295</v>
      </c>
      <c r="Z144" s="42">
        <v>12</v>
      </c>
      <c r="AA144" s="2">
        <f t="shared" si="4"/>
        <v>757</v>
      </c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1:47" s="55" customFormat="1" ht="18" customHeight="1" x14ac:dyDescent="0.2">
      <c r="A145" s="38">
        <v>2008</v>
      </c>
      <c r="B145" s="37"/>
      <c r="C145" s="37"/>
      <c r="D145" s="37"/>
      <c r="E145" s="37"/>
      <c r="F145" s="37"/>
      <c r="G145" s="37"/>
      <c r="H145" s="37"/>
      <c r="I145" s="37"/>
      <c r="J145" s="37"/>
      <c r="K145" s="37">
        <v>28</v>
      </c>
      <c r="L145" s="37"/>
      <c r="M145" s="37">
        <v>96</v>
      </c>
      <c r="N145" s="37"/>
      <c r="O145" s="37"/>
      <c r="P145" s="37"/>
      <c r="Q145" s="37">
        <v>1</v>
      </c>
      <c r="R145" s="37"/>
      <c r="S145" s="37"/>
      <c r="T145" s="38"/>
      <c r="U145" s="38"/>
      <c r="V145" s="38"/>
      <c r="W145" s="38"/>
      <c r="X145" s="38">
        <v>96</v>
      </c>
      <c r="Y145" s="241" t="s">
        <v>291</v>
      </c>
      <c r="Z145" s="38"/>
      <c r="AA145" s="2">
        <f t="shared" si="4"/>
        <v>96</v>
      </c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1:47" ht="18" customHeight="1" x14ac:dyDescent="0.2">
      <c r="A146" s="38">
        <v>2009</v>
      </c>
      <c r="B146" s="37"/>
      <c r="C146" s="37"/>
      <c r="D146" s="37"/>
      <c r="E146" s="37"/>
      <c r="F146" s="37"/>
      <c r="G146" s="37"/>
      <c r="H146" s="37"/>
      <c r="I146" s="37"/>
      <c r="J146" s="37">
        <v>2</v>
      </c>
      <c r="K146" s="37">
        <v>1</v>
      </c>
      <c r="L146" s="37"/>
      <c r="M146" s="37">
        <v>254</v>
      </c>
      <c r="N146" s="37"/>
      <c r="O146" s="37">
        <v>92</v>
      </c>
      <c r="P146" s="37"/>
      <c r="Q146" s="37"/>
      <c r="R146" s="37"/>
      <c r="S146" s="37"/>
      <c r="T146" s="38"/>
      <c r="U146" s="38"/>
      <c r="V146" s="38"/>
      <c r="W146" s="38"/>
      <c r="X146" s="38">
        <v>435</v>
      </c>
      <c r="Y146" s="241" t="s">
        <v>296</v>
      </c>
      <c r="Z146" s="38">
        <v>15</v>
      </c>
      <c r="AA146" s="2">
        <f t="shared" si="4"/>
        <v>254</v>
      </c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1:47" ht="18" customHeight="1" x14ac:dyDescent="0.2">
      <c r="A147" s="38">
        <v>2010</v>
      </c>
      <c r="B147" s="37"/>
      <c r="C147" s="37"/>
      <c r="D147" s="37"/>
      <c r="E147" s="37"/>
      <c r="F147" s="37"/>
      <c r="G147" s="37"/>
      <c r="H147" s="37"/>
      <c r="I147" s="37"/>
      <c r="J147" s="67">
        <f>38+3</f>
        <v>41</v>
      </c>
      <c r="K147" s="67"/>
      <c r="L147" s="67">
        <f>72+82</f>
        <v>154</v>
      </c>
      <c r="M147" s="67"/>
      <c r="N147" s="67"/>
      <c r="O147" s="67">
        <f>18+2</f>
        <v>20</v>
      </c>
      <c r="P147" s="37"/>
      <c r="Q147" s="37"/>
      <c r="R147" s="37"/>
      <c r="S147" s="37"/>
      <c r="T147" s="38"/>
      <c r="U147" s="38"/>
      <c r="V147" s="38"/>
      <c r="W147" s="38"/>
      <c r="X147" s="38">
        <v>400</v>
      </c>
      <c r="Y147" s="241" t="s">
        <v>297</v>
      </c>
      <c r="Z147" s="38"/>
      <c r="AA147" s="2">
        <f t="shared" si="4"/>
        <v>154</v>
      </c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1:47" ht="18" customHeight="1" x14ac:dyDescent="0.2">
      <c r="A148" s="38">
        <v>2011</v>
      </c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>
        <v>11</v>
      </c>
      <c r="M148" s="37">
        <f>189+786</f>
        <v>975</v>
      </c>
      <c r="N148" s="67">
        <f>1635+956</f>
        <v>2591</v>
      </c>
      <c r="O148" s="37"/>
      <c r="P148" s="37">
        <v>6</v>
      </c>
      <c r="Q148" s="37">
        <v>3</v>
      </c>
      <c r="R148" s="37"/>
      <c r="S148" s="37"/>
      <c r="T148" s="38"/>
      <c r="U148" s="38"/>
      <c r="V148" s="38"/>
      <c r="W148" s="38"/>
      <c r="X148" s="38">
        <v>4256</v>
      </c>
      <c r="Y148" s="241" t="s">
        <v>283</v>
      </c>
      <c r="Z148" s="38"/>
      <c r="AA148" s="2">
        <f t="shared" si="4"/>
        <v>2591</v>
      </c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1:47" ht="18" customHeight="1" x14ac:dyDescent="0.2">
      <c r="A149" s="38">
        <v>2012</v>
      </c>
      <c r="B149" s="37"/>
      <c r="C149" s="37"/>
      <c r="D149" s="37"/>
      <c r="E149" s="37"/>
      <c r="F149" s="102">
        <v>0</v>
      </c>
      <c r="G149" s="102">
        <v>0</v>
      </c>
      <c r="H149" s="102">
        <v>1</v>
      </c>
      <c r="I149" s="102">
        <v>6</v>
      </c>
      <c r="J149" s="102">
        <v>0</v>
      </c>
      <c r="K149" s="37">
        <v>0</v>
      </c>
      <c r="L149" s="37">
        <v>169</v>
      </c>
      <c r="M149" s="37">
        <v>405</v>
      </c>
      <c r="N149" s="67"/>
      <c r="O149" s="37">
        <v>68</v>
      </c>
      <c r="P149" s="37">
        <v>0</v>
      </c>
      <c r="Q149" s="37"/>
      <c r="R149" s="37"/>
      <c r="S149" s="37"/>
      <c r="T149" s="38"/>
      <c r="U149" s="38"/>
      <c r="V149" s="38"/>
      <c r="W149" s="38"/>
      <c r="X149" s="38">
        <v>966</v>
      </c>
      <c r="Y149" s="241" t="s">
        <v>298</v>
      </c>
      <c r="Z149" s="38">
        <v>15</v>
      </c>
      <c r="AA149" s="2">
        <f t="shared" si="4"/>
        <v>405</v>
      </c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1:47" ht="18" customHeight="1" x14ac:dyDescent="0.2">
      <c r="A150" s="38">
        <v>2013</v>
      </c>
      <c r="B150" s="37"/>
      <c r="C150" s="37"/>
      <c r="D150" s="37"/>
      <c r="E150" s="37"/>
      <c r="F150" s="102">
        <v>12</v>
      </c>
      <c r="G150" s="102">
        <v>0</v>
      </c>
      <c r="H150" s="102">
        <v>0</v>
      </c>
      <c r="I150" s="102">
        <v>0</v>
      </c>
      <c r="J150" s="37">
        <v>1</v>
      </c>
      <c r="K150" s="37">
        <v>11</v>
      </c>
      <c r="L150" s="37">
        <v>16</v>
      </c>
      <c r="M150" s="37"/>
      <c r="N150" s="67"/>
      <c r="O150" s="37"/>
      <c r="P150" s="37"/>
      <c r="Q150" s="37"/>
      <c r="R150" s="37"/>
      <c r="S150" s="37"/>
      <c r="T150" s="38"/>
      <c r="U150" s="38"/>
      <c r="V150" s="38"/>
      <c r="W150" s="38"/>
      <c r="X150" s="38">
        <v>62</v>
      </c>
      <c r="Y150" s="241" t="s">
        <v>291</v>
      </c>
      <c r="Z150" s="38"/>
      <c r="AA150" s="2">
        <f t="shared" si="4"/>
        <v>16</v>
      </c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1:47" ht="18" customHeight="1" x14ac:dyDescent="0.2">
      <c r="A151" s="65">
        <v>2014</v>
      </c>
      <c r="B151" s="66"/>
      <c r="C151" s="66"/>
      <c r="D151" s="66"/>
      <c r="E151" s="101">
        <v>0</v>
      </c>
      <c r="F151" s="101">
        <v>0</v>
      </c>
      <c r="G151" s="101">
        <v>0</v>
      </c>
      <c r="H151" s="101">
        <v>0</v>
      </c>
      <c r="I151" s="101">
        <v>15</v>
      </c>
      <c r="J151" s="67">
        <v>3</v>
      </c>
      <c r="K151" s="67"/>
      <c r="L151" s="67"/>
      <c r="M151" s="67"/>
      <c r="N151" s="67"/>
      <c r="O151" s="67"/>
      <c r="P151" s="67">
        <v>75</v>
      </c>
      <c r="Q151" s="67"/>
      <c r="R151" s="66"/>
      <c r="S151" s="66"/>
      <c r="T151" s="66"/>
      <c r="U151" s="66"/>
      <c r="V151" s="66"/>
      <c r="W151" s="66"/>
      <c r="X151" s="103">
        <v>83</v>
      </c>
      <c r="Y151" s="241" t="s">
        <v>291</v>
      </c>
      <c r="Z151" s="103"/>
      <c r="AA151" s="2">
        <f t="shared" si="4"/>
        <v>75</v>
      </c>
    </row>
    <row r="152" spans="1:47" ht="18" customHeight="1" x14ac:dyDescent="0.2">
      <c r="A152" s="148">
        <v>2015</v>
      </c>
      <c r="B152" s="149"/>
      <c r="C152" s="149"/>
      <c r="D152" s="149"/>
      <c r="E152" s="149"/>
      <c r="F152" s="149"/>
      <c r="G152" s="149"/>
      <c r="H152" s="215">
        <v>0</v>
      </c>
      <c r="I152" s="92"/>
      <c r="J152" s="215">
        <v>5</v>
      </c>
      <c r="K152" s="216">
        <v>48</v>
      </c>
      <c r="L152" s="92"/>
      <c r="M152" s="215">
        <v>511</v>
      </c>
      <c r="N152" s="92"/>
      <c r="O152" s="92"/>
      <c r="P152" s="92"/>
      <c r="Q152" s="210"/>
      <c r="R152" s="215">
        <v>0</v>
      </c>
      <c r="S152" s="92"/>
      <c r="T152" s="92"/>
      <c r="U152" s="92"/>
      <c r="V152" s="92"/>
      <c r="W152" s="92"/>
      <c r="X152" s="211">
        <v>593</v>
      </c>
      <c r="Y152" s="241" t="s">
        <v>293</v>
      </c>
      <c r="Z152" s="211"/>
      <c r="AA152" s="2">
        <f t="shared" si="4"/>
        <v>511</v>
      </c>
      <c r="AB152" s="2" t="s">
        <v>137</v>
      </c>
    </row>
    <row r="153" spans="1:47" ht="18" customHeight="1" x14ac:dyDescent="0.2">
      <c r="A153" s="148">
        <v>2016</v>
      </c>
      <c r="B153" s="149"/>
      <c r="C153" s="149"/>
      <c r="D153" s="149"/>
      <c r="E153" s="101">
        <v>0</v>
      </c>
      <c r="F153" s="101">
        <v>0</v>
      </c>
      <c r="G153" s="101">
        <v>0</v>
      </c>
      <c r="H153" s="101">
        <v>0</v>
      </c>
      <c r="I153" s="101">
        <v>2</v>
      </c>
      <c r="J153" s="101">
        <v>2</v>
      </c>
      <c r="K153" s="149"/>
      <c r="L153" s="149"/>
      <c r="M153" s="149"/>
      <c r="N153" s="324">
        <f>256+274</f>
        <v>530</v>
      </c>
      <c r="O153" s="149"/>
      <c r="P153" s="318">
        <v>96</v>
      </c>
      <c r="Q153" s="149"/>
      <c r="R153" s="149"/>
      <c r="S153" s="149"/>
      <c r="T153" s="92"/>
      <c r="U153" s="92"/>
      <c r="V153" s="92"/>
      <c r="W153" s="92"/>
      <c r="X153" s="211">
        <v>593</v>
      </c>
      <c r="Y153" s="241" t="s">
        <v>293</v>
      </c>
      <c r="Z153" s="211"/>
      <c r="AA153" s="2">
        <f t="shared" si="4"/>
        <v>530</v>
      </c>
      <c r="AB153" s="2" t="s">
        <v>225</v>
      </c>
    </row>
    <row r="154" spans="1:47" ht="18" customHeight="1" x14ac:dyDescent="0.2">
      <c r="A154" s="148">
        <v>2017</v>
      </c>
      <c r="B154" s="149"/>
      <c r="C154" s="149"/>
      <c r="D154" s="149"/>
      <c r="E154" s="149"/>
      <c r="F154" s="149"/>
      <c r="G154" s="149"/>
      <c r="H154" s="101">
        <v>0</v>
      </c>
      <c r="I154" s="101">
        <v>2</v>
      </c>
      <c r="J154" s="215">
        <v>0</v>
      </c>
      <c r="K154" s="215">
        <v>0</v>
      </c>
      <c r="L154" s="149"/>
      <c r="M154" s="324">
        <v>438</v>
      </c>
      <c r="N154" s="149"/>
      <c r="O154" s="149"/>
      <c r="P154" s="149"/>
      <c r="Q154" s="149"/>
      <c r="R154" s="149"/>
      <c r="S154" s="149"/>
      <c r="T154" s="92"/>
      <c r="U154" s="92"/>
      <c r="V154" s="92"/>
      <c r="W154" s="92"/>
      <c r="X154" s="211">
        <v>550</v>
      </c>
      <c r="Y154" s="241"/>
      <c r="Z154" s="211"/>
    </row>
    <row r="155" spans="1:47" ht="18" customHeight="1" x14ac:dyDescent="0.2">
      <c r="A155" s="148">
        <v>2018</v>
      </c>
      <c r="B155" s="149"/>
      <c r="C155" s="149"/>
      <c r="D155" s="149"/>
      <c r="E155" s="149"/>
      <c r="F155" s="101">
        <v>0</v>
      </c>
      <c r="G155" s="101">
        <v>0</v>
      </c>
      <c r="H155" s="101">
        <v>1</v>
      </c>
      <c r="I155" s="215">
        <v>9</v>
      </c>
      <c r="J155" s="101">
        <v>3</v>
      </c>
      <c r="K155" s="149"/>
      <c r="L155" s="215">
        <v>28</v>
      </c>
      <c r="M155" s="149"/>
      <c r="N155" s="149"/>
      <c r="O155" s="149"/>
      <c r="P155" s="149"/>
      <c r="Q155" s="149"/>
      <c r="R155" s="149"/>
      <c r="S155" s="149"/>
      <c r="T155" s="92"/>
      <c r="U155" s="92"/>
      <c r="V155" s="92"/>
      <c r="W155" s="92"/>
      <c r="X155" s="211">
        <v>31</v>
      </c>
      <c r="Y155" s="241"/>
      <c r="Z155" s="211"/>
    </row>
    <row r="156" spans="1:47" ht="18" customHeight="1" x14ac:dyDescent="0.2">
      <c r="A156" s="148">
        <v>2019</v>
      </c>
      <c r="B156" s="149"/>
      <c r="C156" s="149"/>
      <c r="D156" s="149"/>
      <c r="E156" s="149"/>
      <c r="F156" s="101">
        <v>0</v>
      </c>
      <c r="G156" s="101">
        <v>0</v>
      </c>
      <c r="H156" s="215">
        <v>6</v>
      </c>
      <c r="I156" s="149"/>
      <c r="J156" s="149"/>
      <c r="K156" s="149"/>
      <c r="L156" s="149"/>
      <c r="M156" s="149"/>
      <c r="N156" s="606">
        <v>116</v>
      </c>
      <c r="O156" s="606">
        <v>70</v>
      </c>
      <c r="P156" s="149"/>
      <c r="Q156" s="149"/>
      <c r="R156" s="149"/>
      <c r="S156" s="149"/>
      <c r="T156" s="92"/>
      <c r="U156" s="92"/>
      <c r="V156" s="92"/>
      <c r="W156" s="92"/>
      <c r="X156" s="211">
        <v>129</v>
      </c>
      <c r="Y156" s="241"/>
      <c r="Z156" s="211"/>
    </row>
    <row r="157" spans="1:47" ht="18" customHeight="1" x14ac:dyDescent="0.2">
      <c r="A157" s="148">
        <v>2020</v>
      </c>
      <c r="B157" s="149"/>
      <c r="C157" s="149"/>
      <c r="D157" s="149"/>
      <c r="E157" s="149"/>
      <c r="F157" s="92"/>
      <c r="G157" s="92"/>
      <c r="H157" s="92"/>
      <c r="I157" s="149"/>
      <c r="J157" s="606">
        <v>9</v>
      </c>
      <c r="K157" s="92"/>
      <c r="L157" s="92"/>
      <c r="M157" s="606">
        <v>21</v>
      </c>
      <c r="N157" s="92"/>
      <c r="O157" s="92"/>
      <c r="P157" s="149"/>
      <c r="Q157" s="149"/>
      <c r="R157" s="149"/>
      <c r="S157" s="149"/>
      <c r="T157" s="92"/>
      <c r="U157" s="92"/>
      <c r="V157" s="92"/>
      <c r="W157" s="92"/>
      <c r="X157" s="211">
        <v>23</v>
      </c>
      <c r="Y157" s="241"/>
      <c r="Z157" s="211"/>
    </row>
    <row r="158" spans="1:47" ht="18" customHeight="1" x14ac:dyDescent="0.2">
      <c r="A158" s="148">
        <v>2021</v>
      </c>
      <c r="B158" s="149"/>
      <c r="C158" s="149"/>
      <c r="D158" s="149"/>
      <c r="E158" s="149"/>
      <c r="F158" s="92"/>
      <c r="G158" s="92"/>
      <c r="H158" s="92"/>
      <c r="I158" s="606">
        <v>0</v>
      </c>
      <c r="J158" s="92"/>
      <c r="K158" s="92"/>
      <c r="L158" s="606">
        <v>34</v>
      </c>
      <c r="M158" s="149"/>
      <c r="N158" s="92"/>
      <c r="O158" s="92"/>
      <c r="P158" s="149"/>
      <c r="Q158" s="149"/>
      <c r="R158" s="149"/>
      <c r="S158" s="149"/>
      <c r="T158" s="92"/>
      <c r="U158" s="92"/>
      <c r="V158" s="92"/>
      <c r="W158" s="92"/>
      <c r="X158" s="211"/>
      <c r="Y158" s="241"/>
      <c r="Z158" s="211"/>
    </row>
    <row r="159" spans="1:47" s="150" customFormat="1" ht="18" customHeight="1" x14ac:dyDescent="0.2">
      <c r="A159" s="148">
        <v>2022</v>
      </c>
      <c r="B159" s="149"/>
      <c r="C159" s="149"/>
      <c r="D159" s="149"/>
      <c r="E159" s="149"/>
      <c r="F159" s="92"/>
      <c r="G159" s="92"/>
      <c r="H159" s="92"/>
      <c r="I159" s="92"/>
      <c r="J159" s="92"/>
      <c r="K159" s="92"/>
      <c r="L159" s="92"/>
      <c r="M159" s="980">
        <f>10+119</f>
        <v>129</v>
      </c>
      <c r="N159" s="92"/>
      <c r="O159" s="92"/>
      <c r="P159" s="149"/>
      <c r="Q159" s="806">
        <f>5+9+7+17+59</f>
        <v>97</v>
      </c>
      <c r="R159" s="149"/>
      <c r="S159" s="149"/>
      <c r="T159" s="92"/>
      <c r="U159" s="92"/>
      <c r="V159" s="92"/>
      <c r="W159" s="92"/>
      <c r="X159" s="211">
        <v>150</v>
      </c>
      <c r="Y159" s="11" t="s">
        <v>9</v>
      </c>
      <c r="Z159" s="211"/>
    </row>
    <row r="160" spans="1:47" s="150" customFormat="1" ht="18" customHeight="1" x14ac:dyDescent="0.2">
      <c r="A160" s="148">
        <v>2023</v>
      </c>
      <c r="B160" s="149"/>
      <c r="C160" s="149"/>
      <c r="D160" s="149"/>
      <c r="E160" s="149"/>
      <c r="F160" s="92"/>
      <c r="G160" s="101">
        <v>0</v>
      </c>
      <c r="H160" s="101">
        <v>0</v>
      </c>
      <c r="I160" s="101">
        <v>0</v>
      </c>
      <c r="J160" s="154">
        <v>6</v>
      </c>
      <c r="K160" s="154">
        <v>5</v>
      </c>
      <c r="L160" s="149"/>
      <c r="M160" s="993">
        <v>168</v>
      </c>
      <c r="N160" s="992"/>
      <c r="O160" s="992"/>
      <c r="P160" s="992"/>
      <c r="Q160" s="992"/>
      <c r="R160" s="92"/>
      <c r="S160" s="92"/>
      <c r="T160" s="92"/>
      <c r="U160" s="92"/>
      <c r="V160" s="92"/>
      <c r="W160" s="92"/>
      <c r="X160" s="211"/>
      <c r="Y160" s="11"/>
      <c r="Z160" s="211"/>
      <c r="AC160" s="69">
        <v>45181</v>
      </c>
      <c r="AD160" s="69">
        <v>45210</v>
      </c>
    </row>
    <row r="161" spans="1:26" x14ac:dyDescent="0.2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55"/>
      <c r="N161" s="55"/>
      <c r="O161" s="55" t="s">
        <v>457</v>
      </c>
      <c r="P161" s="55"/>
      <c r="Q161" s="55"/>
      <c r="R161" s="206"/>
      <c r="S161" s="206"/>
      <c r="T161" s="206"/>
      <c r="U161" s="206"/>
      <c r="V161" s="206"/>
      <c r="W161" s="206"/>
      <c r="X161" s="206"/>
      <c r="Y161" s="55"/>
      <c r="Z161" s="55"/>
    </row>
    <row r="162" spans="1:26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</sheetData>
  <mergeCells count="20">
    <mergeCell ref="AG74:AG75"/>
    <mergeCell ref="AH74:AH75"/>
    <mergeCell ref="Y3:Y4"/>
    <mergeCell ref="Z3:Z4"/>
    <mergeCell ref="Y72:Y73"/>
    <mergeCell ref="Z72:Z73"/>
    <mergeCell ref="Y130:Y131"/>
    <mergeCell ref="Z130:Z131"/>
    <mergeCell ref="A72:A73"/>
    <mergeCell ref="B72:W72"/>
    <mergeCell ref="X72:X73"/>
    <mergeCell ref="A128:I128"/>
    <mergeCell ref="A130:A131"/>
    <mergeCell ref="B130:W130"/>
    <mergeCell ref="X130:X131"/>
    <mergeCell ref="A1:I1"/>
    <mergeCell ref="B3:W3"/>
    <mergeCell ref="X3:X4"/>
    <mergeCell ref="A70:I70"/>
    <mergeCell ref="A3:A4"/>
  </mergeCells>
  <phoneticPr fontId="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/>
  <dimension ref="A1:CZ187"/>
  <sheetViews>
    <sheetView topLeftCell="A28" zoomScale="70" zoomScaleNormal="70" workbookViewId="0">
      <selection activeCell="W52" sqref="W52"/>
    </sheetView>
  </sheetViews>
  <sheetFormatPr defaultRowHeight="12.75" x14ac:dyDescent="0.2"/>
  <cols>
    <col min="5" max="11" width="5.28515625" customWidth="1"/>
    <col min="12" max="12" width="8" customWidth="1"/>
    <col min="13" max="13" width="7.140625" customWidth="1"/>
    <col min="14" max="14" width="7.85546875" customWidth="1"/>
    <col min="15" max="15" width="6.85546875" bestFit="1" customWidth="1"/>
    <col min="16" max="16" width="6.7109375" bestFit="1" customWidth="1"/>
    <col min="17" max="17" width="7.42578125" bestFit="1" customWidth="1"/>
    <col min="18" max="18" width="6" bestFit="1" customWidth="1"/>
    <col min="19" max="19" width="6.5703125" customWidth="1"/>
    <col min="20" max="20" width="5.28515625" customWidth="1"/>
    <col min="21" max="21" width="6" bestFit="1" customWidth="1"/>
    <col min="22" max="26" width="5.28515625" customWidth="1"/>
    <col min="28" max="28" width="11.28515625" customWidth="1"/>
    <col min="29" max="29" width="10.140625" customWidth="1"/>
    <col min="30" max="32" width="10.42578125" customWidth="1"/>
    <col min="35" max="35" width="9.42578125" bestFit="1" customWidth="1"/>
    <col min="37" max="37" width="2.28515625" customWidth="1"/>
    <col min="40" max="40" width="1.85546875" customWidth="1"/>
    <col min="42" max="42" width="2.5703125" customWidth="1"/>
    <col min="46" max="46" width="9.42578125" bestFit="1" customWidth="1"/>
    <col min="48" max="48" width="2.140625" customWidth="1"/>
    <col min="51" max="51" width="2" customWidth="1"/>
    <col min="53" max="53" width="2.28515625" customWidth="1"/>
    <col min="58" max="60" width="5.5703125" customWidth="1"/>
    <col min="61" max="61" width="10.42578125" customWidth="1"/>
    <col min="62" max="62" width="8.7109375" customWidth="1"/>
    <col min="63" max="64" width="6.28515625" customWidth="1"/>
    <col min="65" max="65" width="8.5703125" customWidth="1"/>
    <col min="66" max="66" width="1.5703125" customWidth="1"/>
    <col min="67" max="67" width="7.7109375" customWidth="1"/>
    <col min="68" max="68" width="2.140625" customWidth="1"/>
    <col min="69" max="69" width="7.5703125" customWidth="1"/>
    <col min="70" max="70" width="6.28515625" customWidth="1"/>
    <col min="71" max="71" width="8.140625" customWidth="1"/>
    <col min="72" max="72" width="12" bestFit="1" customWidth="1"/>
    <col min="73" max="73" width="10.28515625" customWidth="1"/>
    <col min="74" max="74" width="2.5703125" customWidth="1"/>
    <col min="75" max="75" width="7.7109375" customWidth="1"/>
    <col min="76" max="76" width="9.28515625" customWidth="1"/>
    <col min="77" max="77" width="2" customWidth="1"/>
    <col min="78" max="78" width="8.28515625" customWidth="1"/>
    <col min="79" max="79" width="1.5703125" customWidth="1"/>
    <col min="80" max="80" width="9.5703125" customWidth="1"/>
    <col min="81" max="81" width="6.28515625" customWidth="1"/>
    <col min="82" max="82" width="8.140625" customWidth="1"/>
    <col min="83" max="83" width="6.28515625" customWidth="1"/>
    <col min="84" max="84" width="12.140625" bestFit="1" customWidth="1"/>
    <col min="86" max="86" width="9.42578125" customWidth="1"/>
    <col min="87" max="87" width="9.85546875" customWidth="1"/>
    <col min="90" max="90" width="12" bestFit="1" customWidth="1"/>
    <col min="92" max="92" width="11.7109375" bestFit="1" customWidth="1"/>
    <col min="96" max="96" width="16.5703125" customWidth="1"/>
  </cols>
  <sheetData>
    <row r="1" spans="1:104" x14ac:dyDescent="0.2">
      <c r="A1" s="1002" t="s">
        <v>522</v>
      </c>
      <c r="B1" s="1002"/>
      <c r="C1" s="1002"/>
      <c r="D1" s="1002"/>
      <c r="E1" s="1003"/>
      <c r="F1" s="1003"/>
      <c r="G1" s="1003"/>
      <c r="H1" s="1003"/>
      <c r="I1" s="1003"/>
      <c r="J1" s="1003"/>
      <c r="K1" s="1003"/>
      <c r="L1" s="100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56"/>
      <c r="AD1" s="56"/>
      <c r="AE1" s="56"/>
      <c r="AF1" s="56"/>
    </row>
    <row r="2" spans="1:104" x14ac:dyDescent="0.2">
      <c r="A2" s="246"/>
      <c r="B2" s="246"/>
      <c r="C2" s="246"/>
      <c r="D2" s="246"/>
      <c r="E2" s="86"/>
      <c r="F2" s="86"/>
      <c r="G2" s="86"/>
      <c r="H2" s="86"/>
      <c r="I2" s="86"/>
      <c r="J2" s="86"/>
      <c r="K2" s="86"/>
      <c r="L2" s="8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56"/>
      <c r="AD2" s="56"/>
      <c r="AE2" s="56"/>
      <c r="AF2" s="56"/>
    </row>
    <row r="3" spans="1:104" ht="13.5" thickBot="1" x14ac:dyDescent="0.2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1"/>
      <c r="AB3" s="2"/>
      <c r="AC3" s="56"/>
      <c r="AD3" s="56"/>
      <c r="AE3" s="56"/>
      <c r="AF3" s="56"/>
    </row>
    <row r="4" spans="1:104" ht="39" customHeight="1" thickTop="1" x14ac:dyDescent="0.25">
      <c r="A4" s="70" t="s">
        <v>0</v>
      </c>
      <c r="B4" s="1004" t="s">
        <v>1</v>
      </c>
      <c r="C4" s="1004"/>
      <c r="D4" s="1004"/>
      <c r="E4" s="1004"/>
      <c r="F4" s="1004"/>
      <c r="G4" s="1004"/>
      <c r="H4" s="1004"/>
      <c r="I4" s="1004"/>
      <c r="J4" s="1004"/>
      <c r="K4" s="1004"/>
      <c r="L4" s="1004"/>
      <c r="M4" s="1004"/>
      <c r="N4" s="1004"/>
      <c r="O4" s="1004"/>
      <c r="P4" s="1004"/>
      <c r="Q4" s="1004"/>
      <c r="R4" s="1004"/>
      <c r="S4" s="1004"/>
      <c r="T4" s="1004"/>
      <c r="U4" s="1004"/>
      <c r="V4" s="1004"/>
      <c r="W4" s="1004"/>
      <c r="X4" s="1004"/>
      <c r="Y4" s="1004"/>
      <c r="Z4" s="1004"/>
      <c r="AA4" s="1004" t="s">
        <v>2</v>
      </c>
      <c r="AB4" s="1010" t="s">
        <v>3</v>
      </c>
      <c r="AC4" s="1008" t="s">
        <v>4</v>
      </c>
      <c r="AD4" s="1027" t="s">
        <v>150</v>
      </c>
      <c r="AE4" s="302"/>
      <c r="AF4" s="254"/>
      <c r="AH4" s="1013" t="s">
        <v>117</v>
      </c>
      <c r="AI4" s="1013" t="s">
        <v>118</v>
      </c>
      <c r="AJ4" s="157" t="s">
        <v>119</v>
      </c>
      <c r="AL4" s="1012" t="s">
        <v>120</v>
      </c>
      <c r="AM4" s="1012"/>
      <c r="AO4" s="160" t="s">
        <v>121</v>
      </c>
      <c r="AP4" s="160"/>
      <c r="AQ4" s="161" t="s">
        <v>122</v>
      </c>
      <c r="AS4" s="222" t="s">
        <v>117</v>
      </c>
      <c r="AT4" s="222" t="s">
        <v>118</v>
      </c>
      <c r="AU4" s="157" t="s">
        <v>119</v>
      </c>
      <c r="AW4" s="157" t="s">
        <v>120</v>
      </c>
      <c r="AX4" s="157"/>
      <c r="AZ4" s="160" t="s">
        <v>121</v>
      </c>
      <c r="BB4" s="161" t="s">
        <v>122</v>
      </c>
      <c r="BH4" s="222" t="s">
        <v>117</v>
      </c>
      <c r="BI4" s="222" t="s">
        <v>118</v>
      </c>
      <c r="BJ4" s="157" t="s">
        <v>119</v>
      </c>
      <c r="BL4" s="157" t="s">
        <v>120</v>
      </c>
      <c r="BM4" s="157"/>
      <c r="BO4" s="160" t="s">
        <v>121</v>
      </c>
      <c r="BQ4" s="161" t="s">
        <v>122</v>
      </c>
      <c r="BS4" s="1013" t="s">
        <v>117</v>
      </c>
      <c r="BT4" s="1013" t="s">
        <v>118</v>
      </c>
      <c r="BU4" s="157" t="s">
        <v>119</v>
      </c>
      <c r="BW4" s="1012" t="s">
        <v>120</v>
      </c>
      <c r="BX4" s="1012"/>
      <c r="BZ4" s="160" t="s">
        <v>121</v>
      </c>
      <c r="CA4" s="160"/>
      <c r="CB4" s="161" t="s">
        <v>122</v>
      </c>
      <c r="CE4" s="1013" t="s">
        <v>117</v>
      </c>
      <c r="CF4" s="1013" t="s">
        <v>118</v>
      </c>
      <c r="CG4" s="710" t="s">
        <v>119</v>
      </c>
      <c r="CI4" s="1012" t="s">
        <v>120</v>
      </c>
      <c r="CJ4" s="1012"/>
      <c r="CL4" s="160" t="s">
        <v>121</v>
      </c>
      <c r="CM4" s="160"/>
      <c r="CN4" s="161" t="s">
        <v>122</v>
      </c>
      <c r="CQ4" s="1013" t="s">
        <v>117</v>
      </c>
      <c r="CR4" s="1013" t="s">
        <v>118</v>
      </c>
      <c r="CS4" s="907" t="s">
        <v>119</v>
      </c>
      <c r="CU4" s="1012" t="s">
        <v>120</v>
      </c>
      <c r="CV4" s="1012"/>
      <c r="CX4" s="160" t="s">
        <v>121</v>
      </c>
      <c r="CY4" s="160"/>
      <c r="CZ4" s="161" t="s">
        <v>122</v>
      </c>
    </row>
    <row r="5" spans="1:104" x14ac:dyDescent="0.2">
      <c r="A5" s="75"/>
      <c r="B5" s="5">
        <v>73</v>
      </c>
      <c r="C5" s="5">
        <v>74</v>
      </c>
      <c r="D5" s="5">
        <v>75</v>
      </c>
      <c r="E5" s="5">
        <v>81</v>
      </c>
      <c r="F5" s="5">
        <v>82</v>
      </c>
      <c r="G5" s="5">
        <v>83</v>
      </c>
      <c r="H5" s="5">
        <v>84</v>
      </c>
      <c r="I5" s="5">
        <v>91</v>
      </c>
      <c r="J5" s="5">
        <v>92</v>
      </c>
      <c r="K5" s="5">
        <v>93</v>
      </c>
      <c r="L5" s="5">
        <v>94</v>
      </c>
      <c r="M5" s="5">
        <v>101</v>
      </c>
      <c r="N5" s="5">
        <v>102</v>
      </c>
      <c r="O5" s="5">
        <v>103</v>
      </c>
      <c r="P5" s="5">
        <v>104</v>
      </c>
      <c r="Q5" s="5">
        <v>105</v>
      </c>
      <c r="R5" s="5">
        <v>111</v>
      </c>
      <c r="S5" s="5">
        <v>112</v>
      </c>
      <c r="T5" s="5">
        <v>113</v>
      </c>
      <c r="U5" s="5">
        <v>114</v>
      </c>
      <c r="V5" s="5">
        <v>115</v>
      </c>
      <c r="W5" s="5">
        <v>121</v>
      </c>
      <c r="X5" s="5">
        <v>122</v>
      </c>
      <c r="Y5" s="5">
        <v>123</v>
      </c>
      <c r="Z5" s="5">
        <v>124</v>
      </c>
      <c r="AA5" s="1005"/>
      <c r="AB5" s="1011"/>
      <c r="AC5" s="1009"/>
      <c r="AD5" s="1027"/>
      <c r="AE5" s="302" t="s">
        <v>141</v>
      </c>
      <c r="AF5" t="s">
        <v>142</v>
      </c>
      <c r="AH5" s="1014"/>
      <c r="AI5" s="1014"/>
      <c r="AJ5" s="162" t="s">
        <v>146</v>
      </c>
      <c r="AL5" s="163" t="s">
        <v>148</v>
      </c>
      <c r="AM5" s="163" t="s">
        <v>147</v>
      </c>
      <c r="AO5" s="164"/>
      <c r="AQ5" s="164"/>
      <c r="AS5" s="162"/>
      <c r="AT5" s="162"/>
      <c r="AU5" s="162" t="s">
        <v>146</v>
      </c>
      <c r="AW5" s="163" t="s">
        <v>148</v>
      </c>
      <c r="AX5" s="163" t="s">
        <v>147</v>
      </c>
      <c r="AZ5" s="164"/>
      <c r="BB5" s="164"/>
      <c r="BH5" s="162"/>
      <c r="BI5" s="162"/>
      <c r="BJ5" s="162" t="s">
        <v>146</v>
      </c>
      <c r="BL5" s="163" t="s">
        <v>148</v>
      </c>
      <c r="BM5" s="163" t="s">
        <v>147</v>
      </c>
      <c r="BO5" s="164"/>
      <c r="BQ5" s="164"/>
      <c r="BS5" s="1014"/>
      <c r="BT5" s="1014"/>
      <c r="BU5" s="162" t="s">
        <v>146</v>
      </c>
      <c r="BW5" s="163" t="s">
        <v>148</v>
      </c>
      <c r="BX5" s="163" t="s">
        <v>147</v>
      </c>
      <c r="BZ5" s="164"/>
      <c r="CB5" s="164"/>
      <c r="CE5" s="1014"/>
      <c r="CF5" s="1014"/>
      <c r="CG5" s="711" t="s">
        <v>146</v>
      </c>
      <c r="CI5" s="163" t="s">
        <v>148</v>
      </c>
      <c r="CJ5" s="163" t="s">
        <v>147</v>
      </c>
      <c r="CL5" s="164"/>
      <c r="CN5" s="164"/>
      <c r="CQ5" s="1014"/>
      <c r="CR5" s="1014"/>
      <c r="CS5" s="908" t="s">
        <v>146</v>
      </c>
      <c r="CU5" s="163" t="s">
        <v>148</v>
      </c>
      <c r="CV5" s="163" t="s">
        <v>147</v>
      </c>
      <c r="CX5" s="164"/>
      <c r="CZ5" s="164"/>
    </row>
    <row r="6" spans="1:104" x14ac:dyDescent="0.2">
      <c r="A6" s="1">
        <v>1981</v>
      </c>
      <c r="B6" s="1"/>
      <c r="C6" s="1"/>
      <c r="D6" s="1"/>
      <c r="E6" s="13"/>
      <c r="F6" s="13"/>
      <c r="G6" s="13"/>
      <c r="H6" s="13"/>
      <c r="I6" s="13"/>
      <c r="J6" s="13"/>
      <c r="K6" s="13"/>
      <c r="L6" s="13"/>
      <c r="M6" s="13">
        <v>0</v>
      </c>
      <c r="N6" s="13"/>
      <c r="O6" s="13">
        <v>31715</v>
      </c>
      <c r="P6" s="13">
        <v>31095</v>
      </c>
      <c r="Q6" s="13"/>
      <c r="R6" s="13"/>
      <c r="S6" s="13">
        <v>3827</v>
      </c>
      <c r="T6" s="13"/>
      <c r="U6" s="13"/>
      <c r="V6" s="13"/>
      <c r="W6" s="13"/>
      <c r="X6" s="13"/>
      <c r="Y6" s="13"/>
      <c r="Z6" s="13"/>
      <c r="AA6" s="13">
        <v>58000</v>
      </c>
      <c r="AB6" s="224"/>
      <c r="AC6" s="231">
        <v>14.5</v>
      </c>
      <c r="AD6" s="225"/>
      <c r="AE6" s="225">
        <f>MAX(B6:Z6)</f>
        <v>31715</v>
      </c>
      <c r="AF6">
        <f>AA6/MAX(B6:Z6)</f>
        <v>1.8287876399180198</v>
      </c>
      <c r="AH6" s="165"/>
      <c r="AI6" s="166"/>
      <c r="AJ6" s="167"/>
      <c r="AS6" s="165"/>
      <c r="AT6" s="166"/>
      <c r="AU6" s="167"/>
      <c r="BH6" s="165"/>
      <c r="BI6" s="166"/>
      <c r="BJ6" s="167"/>
      <c r="BS6" s="165"/>
      <c r="BT6" s="166"/>
      <c r="BU6" s="167"/>
      <c r="CE6" s="165"/>
      <c r="CF6" s="166"/>
      <c r="CG6" s="167"/>
      <c r="CQ6" s="165"/>
      <c r="CR6" s="166"/>
      <c r="CS6" s="167"/>
    </row>
    <row r="7" spans="1:104" x14ac:dyDescent="0.2">
      <c r="A7" s="1">
        <v>1982</v>
      </c>
      <c r="B7" s="1"/>
      <c r="C7" s="1"/>
      <c r="D7" s="1"/>
      <c r="E7" s="13"/>
      <c r="F7" s="13"/>
      <c r="G7" s="13"/>
      <c r="H7" s="13"/>
      <c r="I7" s="13"/>
      <c r="J7" s="13"/>
      <c r="K7" s="13"/>
      <c r="L7" s="13"/>
      <c r="M7" s="13">
        <v>2085</v>
      </c>
      <c r="N7" s="13"/>
      <c r="O7" s="13">
        <v>13670</v>
      </c>
      <c r="P7" s="13"/>
      <c r="Q7" s="13"/>
      <c r="R7" s="13">
        <v>14490</v>
      </c>
      <c r="S7" s="13"/>
      <c r="T7" s="13"/>
      <c r="U7" s="13"/>
      <c r="V7" s="13"/>
      <c r="W7" s="13"/>
      <c r="X7" s="13"/>
      <c r="Y7" s="13"/>
      <c r="Z7" s="13"/>
      <c r="AA7" s="13">
        <v>36700</v>
      </c>
      <c r="AB7" s="224"/>
      <c r="AC7" s="257">
        <v>17</v>
      </c>
      <c r="AD7" s="225"/>
      <c r="AE7" s="225">
        <f t="shared" ref="AE7:AE40" si="0">MAX(B7:Z7)</f>
        <v>14490</v>
      </c>
      <c r="AF7">
        <f t="shared" ref="AF7:AF43" si="1">AA7/MAX(B7:Z7)</f>
        <v>2.5327812284334024</v>
      </c>
      <c r="AH7" s="165" t="s">
        <v>145</v>
      </c>
      <c r="AI7" s="166"/>
      <c r="AJ7" s="167"/>
      <c r="AS7" s="165" t="s">
        <v>145</v>
      </c>
      <c r="AT7" s="166"/>
      <c r="AU7" s="167"/>
      <c r="BH7" s="165" t="s">
        <v>145</v>
      </c>
      <c r="BI7" s="166"/>
      <c r="BJ7" s="167"/>
      <c r="BS7" s="165" t="s">
        <v>145</v>
      </c>
      <c r="BT7" s="166"/>
      <c r="BU7" s="167"/>
      <c r="CE7" s="165" t="s">
        <v>145</v>
      </c>
      <c r="CF7" s="166"/>
      <c r="CG7" s="167"/>
      <c r="CQ7" s="165" t="s">
        <v>145</v>
      </c>
      <c r="CR7" s="166"/>
      <c r="CS7" s="167"/>
    </row>
    <row r="8" spans="1:104" ht="15" x14ac:dyDescent="0.25">
      <c r="A8" s="1">
        <v>1983</v>
      </c>
      <c r="B8" s="1"/>
      <c r="C8" s="1"/>
      <c r="D8" s="1"/>
      <c r="E8" s="13"/>
      <c r="F8" s="13"/>
      <c r="G8" s="13"/>
      <c r="H8" s="13"/>
      <c r="I8" s="13"/>
      <c r="J8" s="13"/>
      <c r="K8" s="13"/>
      <c r="L8" s="13"/>
      <c r="M8" s="13">
        <v>4061</v>
      </c>
      <c r="N8" s="13"/>
      <c r="O8" s="13">
        <v>6429</v>
      </c>
      <c r="P8" s="13">
        <v>9853</v>
      </c>
      <c r="Q8" s="13"/>
      <c r="R8" s="13">
        <v>15343</v>
      </c>
      <c r="S8" s="13"/>
      <c r="T8" s="13"/>
      <c r="U8" s="13"/>
      <c r="V8" s="13"/>
      <c r="W8" s="13"/>
      <c r="X8" s="13"/>
      <c r="Y8" s="13"/>
      <c r="Z8" s="13"/>
      <c r="AA8" s="13">
        <v>31000</v>
      </c>
      <c r="AB8" s="224"/>
      <c r="AC8" s="225">
        <v>11</v>
      </c>
      <c r="AD8" s="225"/>
      <c r="AE8" s="225">
        <f t="shared" si="0"/>
        <v>15343</v>
      </c>
      <c r="AF8">
        <f t="shared" si="1"/>
        <v>2.0204653587955419</v>
      </c>
      <c r="AH8" s="165" t="s">
        <v>127</v>
      </c>
      <c r="AI8" s="185">
        <v>29830</v>
      </c>
      <c r="AJ8" s="167"/>
      <c r="AM8" s="169">
        <v>0</v>
      </c>
      <c r="AS8" s="165" t="s">
        <v>127</v>
      </c>
      <c r="AT8" s="229">
        <v>33117</v>
      </c>
      <c r="AU8" s="167"/>
      <c r="AX8" s="169">
        <v>0</v>
      </c>
      <c r="BH8" s="165" t="s">
        <v>127</v>
      </c>
      <c r="BI8" s="229">
        <v>36770</v>
      </c>
      <c r="BJ8" s="167"/>
      <c r="BM8" s="169">
        <v>0</v>
      </c>
      <c r="BS8" s="165" t="s">
        <v>127</v>
      </c>
      <c r="BT8" s="229">
        <v>40787</v>
      </c>
      <c r="BU8" s="167"/>
      <c r="BX8" s="169">
        <v>0</v>
      </c>
      <c r="CE8" s="165" t="s">
        <v>127</v>
      </c>
      <c r="CF8" s="714">
        <v>44075</v>
      </c>
      <c r="CG8" s="715"/>
      <c r="CJ8" s="169">
        <v>0</v>
      </c>
      <c r="CQ8" s="165" t="s">
        <v>127</v>
      </c>
      <c r="CR8" s="714">
        <v>44788</v>
      </c>
      <c r="CS8" s="715"/>
      <c r="CV8" s="169">
        <v>0</v>
      </c>
    </row>
    <row r="9" spans="1:104" ht="15" x14ac:dyDescent="0.25">
      <c r="A9" s="1">
        <v>1984</v>
      </c>
      <c r="B9" s="1"/>
      <c r="C9" s="1"/>
      <c r="D9" s="1"/>
      <c r="E9" s="13"/>
      <c r="F9" s="13"/>
      <c r="G9" s="13"/>
      <c r="H9" s="13"/>
      <c r="I9" s="13"/>
      <c r="J9" s="13"/>
      <c r="K9" s="13"/>
      <c r="L9" s="13">
        <v>7175</v>
      </c>
      <c r="M9" s="13"/>
      <c r="N9" s="13"/>
      <c r="O9" s="13">
        <v>26330</v>
      </c>
      <c r="P9" s="13">
        <v>36171</v>
      </c>
      <c r="Q9" s="13"/>
      <c r="R9" s="13"/>
      <c r="S9" s="13">
        <v>5937</v>
      </c>
      <c r="T9" s="13"/>
      <c r="U9" s="13"/>
      <c r="V9" s="13"/>
      <c r="W9" s="13"/>
      <c r="X9" s="13"/>
      <c r="Y9" s="13"/>
      <c r="Z9" s="13"/>
      <c r="AA9" s="13">
        <v>73400</v>
      </c>
      <c r="AB9" s="224" t="s">
        <v>5</v>
      </c>
      <c r="AC9" s="231">
        <v>14</v>
      </c>
      <c r="AD9" s="231"/>
      <c r="AE9" s="225">
        <f t="shared" si="0"/>
        <v>36171</v>
      </c>
      <c r="AF9">
        <f t="shared" si="1"/>
        <v>2.0292499516186999</v>
      </c>
      <c r="AH9" s="165"/>
      <c r="AI9" s="185">
        <v>29857</v>
      </c>
      <c r="AJ9" s="170">
        <v>0</v>
      </c>
      <c r="AL9" s="171">
        <v>0.9</v>
      </c>
      <c r="AM9" s="172">
        <f t="shared" ref="AM9:AM14" si="2">AJ9/AL9</f>
        <v>0</v>
      </c>
      <c r="AO9" s="172">
        <f t="shared" ref="AO9:AO15" si="3">(AI9-AI8)*(AJ9+AJ8)</f>
        <v>0</v>
      </c>
      <c r="AQ9" s="172">
        <f t="shared" ref="AQ9:AQ15" si="4">(AI9-AI8)*(AM9+AM8)</f>
        <v>0</v>
      </c>
      <c r="AS9" s="165"/>
      <c r="AT9" s="229">
        <v>33136</v>
      </c>
      <c r="AU9" s="170">
        <v>447</v>
      </c>
      <c r="AW9" s="171">
        <v>0.9</v>
      </c>
      <c r="AX9" s="172">
        <f t="shared" ref="AX9:AX16" si="5">AU9/AW9</f>
        <v>496.66666666666663</v>
      </c>
      <c r="AZ9" s="172">
        <f t="shared" ref="AZ9:AZ17" si="6">(AT9-AT8)*(AU9+AU8)</f>
        <v>8493</v>
      </c>
      <c r="BB9" s="172">
        <f t="shared" ref="BB9:BB17" si="7">(AT9-AT8)*(AX9+AX8)</f>
        <v>9436.6666666666661</v>
      </c>
      <c r="BH9" s="165"/>
      <c r="BI9" s="229">
        <v>36812</v>
      </c>
      <c r="BJ9" s="170">
        <v>3978</v>
      </c>
      <c r="BL9" s="171">
        <v>0.9</v>
      </c>
      <c r="BM9" s="172">
        <f>BJ9/BL9</f>
        <v>4420</v>
      </c>
      <c r="BO9" s="172">
        <f>(BI9-BI8)*(BJ9+BJ8)</f>
        <v>167076</v>
      </c>
      <c r="BQ9" s="172">
        <f>(BI9-BI8)*(BM9+BM8)</f>
        <v>185640</v>
      </c>
      <c r="BS9" s="165"/>
      <c r="BT9" s="229">
        <v>40802</v>
      </c>
      <c r="BU9" s="170">
        <v>1827</v>
      </c>
      <c r="BW9" s="171">
        <v>0.9</v>
      </c>
      <c r="BX9" s="172">
        <f t="shared" ref="BX9:BX14" si="8">BU9/BW9</f>
        <v>2030</v>
      </c>
      <c r="BZ9" s="172">
        <f t="shared" ref="BZ9:BZ15" si="9">(BT9-BT8)*(BU9+BU8)</f>
        <v>27405</v>
      </c>
      <c r="CB9" s="172">
        <f t="shared" ref="CB9:CB15" si="10">(BT9-BT8)*(BX9+BX8)</f>
        <v>30450</v>
      </c>
      <c r="CE9" s="165"/>
      <c r="CF9" s="713">
        <v>44082</v>
      </c>
      <c r="CG9" s="170">
        <v>1032</v>
      </c>
      <c r="CI9" s="171">
        <v>0.8</v>
      </c>
      <c r="CJ9" s="172">
        <f>CG9/CI9</f>
        <v>1290</v>
      </c>
      <c r="CL9" s="172">
        <f>(CF9-CF8)*(CG9+CG8)</f>
        <v>7224</v>
      </c>
      <c r="CN9" s="172">
        <f>(CF9-CF8)*(CJ9+CJ8)</f>
        <v>9030</v>
      </c>
      <c r="CQ9" s="165"/>
      <c r="CR9" s="713">
        <v>44797</v>
      </c>
      <c r="CS9" s="170">
        <v>38</v>
      </c>
      <c r="CU9" s="171">
        <v>0.8</v>
      </c>
      <c r="CV9" s="172">
        <f>CS9/CU9</f>
        <v>47.5</v>
      </c>
      <c r="CX9" s="172">
        <f>(CR9-CR8)*(CS9+CS8)</f>
        <v>342</v>
      </c>
      <c r="CZ9" s="172">
        <f>(CR9-CR8)*(CV9+CV8)</f>
        <v>427.5</v>
      </c>
    </row>
    <row r="10" spans="1:104" ht="15" x14ac:dyDescent="0.25">
      <c r="A10" s="1">
        <v>1985</v>
      </c>
      <c r="B10" s="1"/>
      <c r="C10" s="1"/>
      <c r="D10" s="1"/>
      <c r="E10" s="13"/>
      <c r="F10" s="13"/>
      <c r="G10" s="13"/>
      <c r="H10" s="13"/>
      <c r="I10" s="13"/>
      <c r="J10" s="13"/>
      <c r="K10" s="13"/>
      <c r="L10" s="13"/>
      <c r="M10" s="13">
        <v>1000</v>
      </c>
      <c r="N10" s="13"/>
      <c r="O10" s="13">
        <v>5000</v>
      </c>
      <c r="P10" s="13"/>
      <c r="Q10" s="13"/>
      <c r="R10" s="13">
        <v>7640</v>
      </c>
      <c r="S10" s="13"/>
      <c r="T10" s="13"/>
      <c r="U10" s="13">
        <v>300</v>
      </c>
      <c r="V10" s="13"/>
      <c r="W10" s="13"/>
      <c r="X10" s="13"/>
      <c r="Y10" s="13"/>
      <c r="Z10" s="13"/>
      <c r="AA10" s="13">
        <v>18500</v>
      </c>
      <c r="AB10" s="224" t="s">
        <v>5</v>
      </c>
      <c r="AC10" s="231">
        <v>14.5</v>
      </c>
      <c r="AD10" s="231"/>
      <c r="AE10" s="225">
        <f t="shared" si="0"/>
        <v>7640</v>
      </c>
      <c r="AF10">
        <f t="shared" si="1"/>
        <v>2.4214659685863875</v>
      </c>
      <c r="AH10" s="165"/>
      <c r="AI10" s="185">
        <v>29874</v>
      </c>
      <c r="AJ10" s="170">
        <v>31715</v>
      </c>
      <c r="AL10" s="171">
        <v>0.9</v>
      </c>
      <c r="AM10" s="172">
        <f t="shared" si="2"/>
        <v>35238.888888888891</v>
      </c>
      <c r="AO10" s="172">
        <f t="shared" si="3"/>
        <v>539155</v>
      </c>
      <c r="AQ10" s="172">
        <f t="shared" si="4"/>
        <v>599061.11111111112</v>
      </c>
      <c r="AS10" s="165"/>
      <c r="AT10" s="229">
        <v>33151</v>
      </c>
      <c r="AU10" s="170">
        <v>2696</v>
      </c>
      <c r="AW10" s="171">
        <v>0.9</v>
      </c>
      <c r="AX10" s="172">
        <f t="shared" si="5"/>
        <v>2995.5555555555557</v>
      </c>
      <c r="AZ10" s="172">
        <f t="shared" si="6"/>
        <v>47145</v>
      </c>
      <c r="BB10" s="172">
        <f t="shared" si="7"/>
        <v>52383.333333333336</v>
      </c>
      <c r="BH10" s="165"/>
      <c r="BI10" s="229">
        <v>36830</v>
      </c>
      <c r="BJ10" s="170">
        <v>11876</v>
      </c>
      <c r="BL10" s="171">
        <v>0.9</v>
      </c>
      <c r="BM10" s="172">
        <f>BJ10/BL10</f>
        <v>13195.555555555555</v>
      </c>
      <c r="BO10" s="172">
        <f>(BI10-BI9)*(BJ10+BJ9)</f>
        <v>285372</v>
      </c>
      <c r="BQ10" s="172">
        <f>(BI10-BI9)*(BM10+BM9)</f>
        <v>317080</v>
      </c>
      <c r="BS10" s="165"/>
      <c r="BT10" s="229">
        <v>40822</v>
      </c>
      <c r="BU10" s="170">
        <v>17541</v>
      </c>
      <c r="BW10" s="171">
        <v>0.9</v>
      </c>
      <c r="BX10" s="172">
        <f t="shared" si="8"/>
        <v>19490</v>
      </c>
      <c r="BZ10" s="172">
        <f t="shared" si="9"/>
        <v>387360</v>
      </c>
      <c r="CB10" s="172">
        <f t="shared" si="10"/>
        <v>430400</v>
      </c>
      <c r="CE10" s="165"/>
      <c r="CF10" s="713">
        <v>44091</v>
      </c>
      <c r="CG10" s="170">
        <v>1093</v>
      </c>
      <c r="CI10" s="171">
        <v>0.8</v>
      </c>
      <c r="CJ10" s="172">
        <f>CG10/CI10</f>
        <v>1366.25</v>
      </c>
      <c r="CL10" s="172">
        <f>(CF10-CF9)*(CG10+CG9)</f>
        <v>19125</v>
      </c>
      <c r="CN10" s="172">
        <f>(CF10-CF9)*(CJ10+CJ9)</f>
        <v>23906.25</v>
      </c>
      <c r="CQ10" s="165"/>
      <c r="CR10" s="713">
        <v>44812</v>
      </c>
      <c r="CS10" s="170">
        <v>498</v>
      </c>
      <c r="CU10" s="171">
        <v>0.8</v>
      </c>
      <c r="CV10" s="172">
        <f>CS10/CU10</f>
        <v>622.5</v>
      </c>
      <c r="CX10" s="172">
        <f>(CR10-CR9)*(CS10+CS9)</f>
        <v>8040</v>
      </c>
      <c r="CZ10" s="172">
        <f>(CR10-CR9)*(CV10+CV9)</f>
        <v>10050</v>
      </c>
    </row>
    <row r="11" spans="1:104" ht="15" x14ac:dyDescent="0.25">
      <c r="A11" s="1">
        <v>1986</v>
      </c>
      <c r="B11" s="1"/>
      <c r="C11" s="1"/>
      <c r="D11" s="1"/>
      <c r="E11" s="13"/>
      <c r="F11" s="13"/>
      <c r="G11" s="13"/>
      <c r="H11" s="13"/>
      <c r="I11" s="13"/>
      <c r="J11" s="13"/>
      <c r="K11" s="13"/>
      <c r="L11" s="13">
        <v>197</v>
      </c>
      <c r="M11" s="13">
        <v>805</v>
      </c>
      <c r="N11" s="13">
        <v>1132</v>
      </c>
      <c r="O11" s="13">
        <v>1134</v>
      </c>
      <c r="P11" s="13">
        <v>970</v>
      </c>
      <c r="Q11" s="13">
        <v>465</v>
      </c>
      <c r="R11" s="13">
        <v>1679</v>
      </c>
      <c r="S11" s="13">
        <v>805</v>
      </c>
      <c r="T11" s="13"/>
      <c r="U11" s="13"/>
      <c r="V11" s="13"/>
      <c r="W11" s="13"/>
      <c r="X11" s="13"/>
      <c r="Y11" s="13"/>
      <c r="Z11" s="13"/>
      <c r="AA11" s="13">
        <v>3900</v>
      </c>
      <c r="AB11" s="224" t="s">
        <v>5</v>
      </c>
      <c r="AC11" s="231">
        <v>14.5</v>
      </c>
      <c r="AD11" s="231"/>
      <c r="AE11" s="225">
        <f t="shared" si="0"/>
        <v>1679</v>
      </c>
      <c r="AF11">
        <f t="shared" si="1"/>
        <v>2.3228111971411556</v>
      </c>
      <c r="AH11" s="173"/>
      <c r="AI11" s="185">
        <v>29882</v>
      </c>
      <c r="AJ11" s="170">
        <v>31095</v>
      </c>
      <c r="AL11" s="171">
        <v>0.9</v>
      </c>
      <c r="AM11" s="172">
        <f t="shared" si="2"/>
        <v>34550</v>
      </c>
      <c r="AO11" s="172">
        <f t="shared" si="3"/>
        <v>502480</v>
      </c>
      <c r="AQ11" s="172">
        <f t="shared" si="4"/>
        <v>558311.11111111112</v>
      </c>
      <c r="AS11" s="173"/>
      <c r="AT11" s="229">
        <v>33153</v>
      </c>
      <c r="AU11" s="170">
        <v>3716</v>
      </c>
      <c r="AW11" s="171">
        <v>0.9</v>
      </c>
      <c r="AX11" s="172">
        <f t="shared" si="5"/>
        <v>4128.8888888888887</v>
      </c>
      <c r="AZ11" s="172">
        <f t="shared" si="6"/>
        <v>12824</v>
      </c>
      <c r="BB11" s="172">
        <f t="shared" si="7"/>
        <v>14248.888888888889</v>
      </c>
      <c r="BH11" s="173"/>
      <c r="BI11" s="229">
        <v>36842</v>
      </c>
      <c r="BJ11" s="170">
        <v>4726</v>
      </c>
      <c r="BL11" s="171">
        <v>0.9</v>
      </c>
      <c r="BM11" s="172">
        <f>BJ11/BL11</f>
        <v>5251.1111111111113</v>
      </c>
      <c r="BO11" s="172">
        <f>(BI11-BI10)*(BJ11+BJ10)</f>
        <v>199224</v>
      </c>
      <c r="BQ11" s="172">
        <f>(BI11-BI10)*(BM11+BM10)</f>
        <v>221359.99999999997</v>
      </c>
      <c r="BS11" s="173"/>
      <c r="BT11" s="229">
        <v>40830</v>
      </c>
      <c r="BU11" s="170">
        <v>3464</v>
      </c>
      <c r="BW11" s="171">
        <v>0.9</v>
      </c>
      <c r="BX11" s="172">
        <f t="shared" si="8"/>
        <v>3848.8888888888887</v>
      </c>
      <c r="BZ11" s="172">
        <f t="shared" si="9"/>
        <v>168040</v>
      </c>
      <c r="CB11" s="172">
        <f t="shared" si="10"/>
        <v>186711.11111111112</v>
      </c>
      <c r="CE11" s="173"/>
      <c r="CF11" s="713">
        <v>44106</v>
      </c>
      <c r="CG11" s="170">
        <v>1395</v>
      </c>
      <c r="CI11" s="171">
        <v>0.8</v>
      </c>
      <c r="CJ11" s="172">
        <f>CG11/CI11</f>
        <v>1743.75</v>
      </c>
      <c r="CL11" s="172">
        <f>(CF11-CF10)*(CG11+CG10)</f>
        <v>37320</v>
      </c>
      <c r="CN11" s="172">
        <f>(CF11-CF10)*(CJ11+CJ10)</f>
        <v>46650</v>
      </c>
      <c r="CQ11" s="173"/>
      <c r="CR11" s="713">
        <v>44817</v>
      </c>
      <c r="CS11" s="170">
        <v>380</v>
      </c>
      <c r="CU11" s="171">
        <v>0.8</v>
      </c>
      <c r="CV11" s="172">
        <f>CS11/CU11</f>
        <v>475</v>
      </c>
      <c r="CX11" s="172">
        <f>(CR11-CR10)*(CS11+CS10)</f>
        <v>4390</v>
      </c>
      <c r="CZ11" s="172">
        <f>(CR11-CR10)*(CV11+CV10)</f>
        <v>5487.5</v>
      </c>
    </row>
    <row r="12" spans="1:104" ht="15" x14ac:dyDescent="0.25">
      <c r="A12" s="1">
        <v>1987</v>
      </c>
      <c r="B12" s="1"/>
      <c r="C12" s="1"/>
      <c r="D12" s="1"/>
      <c r="E12" s="13"/>
      <c r="F12" s="13"/>
      <c r="G12" s="13"/>
      <c r="H12" s="13"/>
      <c r="I12" s="13"/>
      <c r="J12" s="13"/>
      <c r="K12" s="13"/>
      <c r="L12" s="13">
        <v>1844</v>
      </c>
      <c r="M12" s="13"/>
      <c r="N12" s="13">
        <v>3173</v>
      </c>
      <c r="O12" s="13">
        <v>4478</v>
      </c>
      <c r="P12" s="13">
        <v>3750</v>
      </c>
      <c r="Q12" s="13"/>
      <c r="R12" s="13">
        <v>14145</v>
      </c>
      <c r="S12" s="13"/>
      <c r="T12" s="13">
        <v>7607</v>
      </c>
      <c r="U12" s="13"/>
      <c r="V12" s="13"/>
      <c r="W12" s="13"/>
      <c r="X12" s="13"/>
      <c r="Y12" s="13"/>
      <c r="Z12" s="13"/>
      <c r="AA12" s="13">
        <v>30800</v>
      </c>
      <c r="AB12" s="224" t="s">
        <v>5</v>
      </c>
      <c r="AC12" s="231">
        <v>12.5</v>
      </c>
      <c r="AD12" s="231"/>
      <c r="AE12" s="225">
        <f t="shared" si="0"/>
        <v>14145</v>
      </c>
      <c r="AF12">
        <f t="shared" si="1"/>
        <v>2.177447861435136</v>
      </c>
      <c r="AI12" s="185">
        <v>29898</v>
      </c>
      <c r="AJ12" s="170">
        <v>3827</v>
      </c>
      <c r="AL12" s="171">
        <v>0.9</v>
      </c>
      <c r="AM12" s="172">
        <f t="shared" si="2"/>
        <v>4252.2222222222217</v>
      </c>
      <c r="AO12" s="172">
        <f t="shared" si="3"/>
        <v>558752</v>
      </c>
      <c r="AQ12" s="172">
        <f t="shared" si="4"/>
        <v>620835.5555555555</v>
      </c>
      <c r="AT12" s="229">
        <v>33154</v>
      </c>
      <c r="AU12" s="170">
        <v>3850</v>
      </c>
      <c r="AW12" s="171">
        <v>0.9</v>
      </c>
      <c r="AX12" s="172">
        <f t="shared" si="5"/>
        <v>4277.7777777777774</v>
      </c>
      <c r="AZ12" s="172">
        <f t="shared" si="6"/>
        <v>7566</v>
      </c>
      <c r="BB12" s="172">
        <f t="shared" si="7"/>
        <v>8406.6666666666661</v>
      </c>
      <c r="BI12" s="229">
        <v>36853</v>
      </c>
      <c r="BJ12" s="170">
        <v>2050</v>
      </c>
      <c r="BL12" s="171">
        <v>0.9</v>
      </c>
      <c r="BM12" s="172">
        <f>BJ12/BL12</f>
        <v>2277.7777777777778</v>
      </c>
      <c r="BO12" s="172">
        <f>(BI12-BI11)*(BJ12+BJ11)</f>
        <v>74536</v>
      </c>
      <c r="BQ12" s="172">
        <f>(BI12-BI11)*(BM12+BM11)</f>
        <v>82817.777777777781</v>
      </c>
      <c r="BT12" s="229">
        <v>40840</v>
      </c>
      <c r="BU12" s="170">
        <v>10329</v>
      </c>
      <c r="BW12" s="171">
        <v>0.9</v>
      </c>
      <c r="BX12" s="172">
        <f t="shared" si="8"/>
        <v>11476.666666666666</v>
      </c>
      <c r="BZ12" s="172">
        <f t="shared" si="9"/>
        <v>137930</v>
      </c>
      <c r="CB12" s="172">
        <f t="shared" si="10"/>
        <v>153255.55555555556</v>
      </c>
      <c r="CF12" s="713">
        <v>44118</v>
      </c>
      <c r="CG12" s="170">
        <v>475</v>
      </c>
      <c r="CI12" s="171">
        <v>0.8</v>
      </c>
      <c r="CJ12" s="172">
        <f>CG12/CI12</f>
        <v>593.75</v>
      </c>
      <c r="CL12" s="172">
        <f>(CF12-CF11)*(CG12+CG11)</f>
        <v>22440</v>
      </c>
      <c r="CN12" s="172">
        <f>(CF12-CF11)*(CJ12+CJ11)</f>
        <v>28050</v>
      </c>
      <c r="CR12" s="713">
        <v>44826</v>
      </c>
      <c r="CS12" s="170">
        <v>319</v>
      </c>
      <c r="CU12" s="171">
        <v>0.8</v>
      </c>
      <c r="CV12" s="172">
        <f>CS12/CU12</f>
        <v>398.75</v>
      </c>
      <c r="CX12" s="172">
        <f>(CR12-CR11)*(CS12+CS11)</f>
        <v>6291</v>
      </c>
      <c r="CZ12" s="172">
        <f>(CR12-CR11)*(CV12+CV11)</f>
        <v>7863.75</v>
      </c>
    </row>
    <row r="13" spans="1:104" ht="15" x14ac:dyDescent="0.25">
      <c r="A13" s="1">
        <v>1988</v>
      </c>
      <c r="B13" s="1"/>
      <c r="C13" s="1"/>
      <c r="D13" s="1"/>
      <c r="E13" s="13"/>
      <c r="F13" s="13"/>
      <c r="G13" s="13"/>
      <c r="H13" s="13"/>
      <c r="I13" s="13"/>
      <c r="J13" s="13"/>
      <c r="K13" s="13"/>
      <c r="L13" s="13"/>
      <c r="M13" s="13">
        <v>5248</v>
      </c>
      <c r="N13" s="13">
        <v>10230</v>
      </c>
      <c r="O13" s="13"/>
      <c r="P13" s="13">
        <v>14326</v>
      </c>
      <c r="Q13" s="13">
        <v>15652</v>
      </c>
      <c r="R13" s="13"/>
      <c r="S13" s="13"/>
      <c r="T13" s="13">
        <v>2609</v>
      </c>
      <c r="U13" s="13"/>
      <c r="V13" s="13">
        <v>118</v>
      </c>
      <c r="W13" s="13"/>
      <c r="X13" s="13"/>
      <c r="Y13" s="13"/>
      <c r="Z13" s="13"/>
      <c r="AA13" s="13">
        <v>40300</v>
      </c>
      <c r="AB13" s="224" t="s">
        <v>5</v>
      </c>
      <c r="AC13" s="231">
        <v>15</v>
      </c>
      <c r="AD13" s="231"/>
      <c r="AE13" s="225">
        <f t="shared" si="0"/>
        <v>15652</v>
      </c>
      <c r="AF13">
        <f t="shared" si="1"/>
        <v>2.5747508305647839</v>
      </c>
      <c r="AI13" s="185">
        <v>29921</v>
      </c>
      <c r="AJ13" s="170">
        <v>0</v>
      </c>
      <c r="AL13" s="171">
        <v>0.9</v>
      </c>
      <c r="AM13" s="172">
        <f t="shared" si="2"/>
        <v>0</v>
      </c>
      <c r="AO13" s="172">
        <f t="shared" si="3"/>
        <v>88021</v>
      </c>
      <c r="AQ13" s="172">
        <f t="shared" si="4"/>
        <v>97801.111111111095</v>
      </c>
      <c r="AT13" s="229">
        <v>33165</v>
      </c>
      <c r="AU13" s="170">
        <v>11869</v>
      </c>
      <c r="AW13" s="171">
        <v>0.9</v>
      </c>
      <c r="AX13" s="172">
        <f t="shared" si="5"/>
        <v>13187.777777777777</v>
      </c>
      <c r="AZ13" s="172">
        <f t="shared" si="6"/>
        <v>172909</v>
      </c>
      <c r="BB13" s="172">
        <f t="shared" si="7"/>
        <v>192121.11111111109</v>
      </c>
      <c r="BH13" s="165" t="s">
        <v>128</v>
      </c>
      <c r="BI13" s="229">
        <v>36861</v>
      </c>
      <c r="BJ13" s="176"/>
      <c r="BL13" s="177"/>
      <c r="BM13" s="178">
        <v>0</v>
      </c>
      <c r="BN13" s="179"/>
      <c r="BO13" s="172">
        <f>(BI13-BI12)*(BJ13+BJ12)</f>
        <v>16400</v>
      </c>
      <c r="BQ13" s="172">
        <f>(BI13-BI12)*(BM13+BM12)</f>
        <v>18222.222222222223</v>
      </c>
      <c r="BT13" s="229">
        <v>40843</v>
      </c>
      <c r="BU13" s="170">
        <v>7064</v>
      </c>
      <c r="BW13" s="171">
        <v>0.9</v>
      </c>
      <c r="BX13" s="172">
        <f t="shared" si="8"/>
        <v>7848.8888888888887</v>
      </c>
      <c r="BZ13" s="172">
        <f t="shared" si="9"/>
        <v>52179</v>
      </c>
      <c r="CB13" s="172">
        <f t="shared" si="10"/>
        <v>57976.666666666664</v>
      </c>
      <c r="CF13" s="713">
        <v>44124</v>
      </c>
      <c r="CG13" s="170">
        <v>637</v>
      </c>
      <c r="CI13" s="171">
        <v>0.8</v>
      </c>
      <c r="CJ13" s="172">
        <f t="shared" ref="CJ13:CJ20" si="11">CG13/CI13</f>
        <v>796.25</v>
      </c>
      <c r="CL13" s="172">
        <f t="shared" ref="CL13:CL21" si="12">(CF13-CF12)*(CG13+CG12)</f>
        <v>6672</v>
      </c>
      <c r="CN13" s="172">
        <f t="shared" ref="CN13:CN21" si="13">(CF13-CF12)*(CJ13+CJ12)</f>
        <v>8340</v>
      </c>
      <c r="CR13" s="713">
        <v>44833</v>
      </c>
      <c r="CS13" s="170">
        <v>745</v>
      </c>
      <c r="CU13" s="171">
        <v>0.8</v>
      </c>
      <c r="CV13" s="172">
        <f t="shared" ref="CV13:CV20" si="14">CS13/CU13</f>
        <v>931.25</v>
      </c>
      <c r="CX13" s="172">
        <f t="shared" ref="CX13:CX21" si="15">(CR13-CR12)*(CS13+CS12)</f>
        <v>7448</v>
      </c>
      <c r="CZ13" s="172">
        <f t="shared" ref="CZ13:CZ21" si="16">(CR13-CR12)*(CV13+CV12)</f>
        <v>9310</v>
      </c>
    </row>
    <row r="14" spans="1:104" ht="15" x14ac:dyDescent="0.25">
      <c r="A14" s="1">
        <v>1989</v>
      </c>
      <c r="B14" s="1"/>
      <c r="C14" s="1"/>
      <c r="D14" s="1"/>
      <c r="E14" s="13"/>
      <c r="F14" s="13"/>
      <c r="G14" s="13"/>
      <c r="H14" s="13"/>
      <c r="I14" s="13"/>
      <c r="J14" s="13"/>
      <c r="K14" s="13">
        <v>578</v>
      </c>
      <c r="L14" s="13"/>
      <c r="M14" s="13">
        <v>735</v>
      </c>
      <c r="N14" s="13"/>
      <c r="O14" s="13">
        <v>12027</v>
      </c>
      <c r="P14" s="13"/>
      <c r="Q14" s="13">
        <v>17463</v>
      </c>
      <c r="R14" s="13"/>
      <c r="S14" s="13">
        <v>8096</v>
      </c>
      <c r="T14" s="13"/>
      <c r="U14" s="13">
        <v>451</v>
      </c>
      <c r="V14" s="13">
        <v>4</v>
      </c>
      <c r="W14" s="13"/>
      <c r="X14" s="13"/>
      <c r="Y14" s="13"/>
      <c r="Z14" s="13"/>
      <c r="AA14" s="13">
        <v>40600</v>
      </c>
      <c r="AB14" s="224" t="s">
        <v>5</v>
      </c>
      <c r="AC14" s="231">
        <v>14.5</v>
      </c>
      <c r="AD14" s="231"/>
      <c r="AE14" s="225">
        <f t="shared" si="0"/>
        <v>17463</v>
      </c>
      <c r="AF14">
        <f t="shared" si="1"/>
        <v>2.3249155357040601</v>
      </c>
      <c r="AI14" s="185">
        <v>29922</v>
      </c>
      <c r="AJ14" s="170">
        <v>0</v>
      </c>
      <c r="AL14" s="171">
        <v>0.9</v>
      </c>
      <c r="AM14" s="172">
        <f t="shared" si="2"/>
        <v>0</v>
      </c>
      <c r="AO14" s="172">
        <f t="shared" si="3"/>
        <v>0</v>
      </c>
      <c r="AQ14" s="172">
        <f t="shared" si="4"/>
        <v>0</v>
      </c>
      <c r="AT14" s="229">
        <v>33179</v>
      </c>
      <c r="AU14" s="170">
        <v>15015</v>
      </c>
      <c r="AW14" s="171">
        <v>0.9</v>
      </c>
      <c r="AX14" s="172">
        <f t="shared" si="5"/>
        <v>16683.333333333332</v>
      </c>
      <c r="AZ14" s="172">
        <f t="shared" si="6"/>
        <v>376376</v>
      </c>
      <c r="BB14" s="172">
        <f t="shared" si="7"/>
        <v>418195.5555555555</v>
      </c>
      <c r="BH14" s="165" t="s">
        <v>2</v>
      </c>
      <c r="BI14" s="167">
        <v>7</v>
      </c>
      <c r="BJ14" s="167"/>
      <c r="BK14" s="167"/>
      <c r="BT14" s="229">
        <v>40878</v>
      </c>
      <c r="BU14" s="170">
        <v>0</v>
      </c>
      <c r="BW14" s="171">
        <v>0.9</v>
      </c>
      <c r="BX14" s="172">
        <f t="shared" si="8"/>
        <v>0</v>
      </c>
      <c r="BZ14" s="172">
        <f t="shared" si="9"/>
        <v>247240</v>
      </c>
      <c r="CB14" s="172">
        <f t="shared" si="10"/>
        <v>274711.11111111112</v>
      </c>
      <c r="CF14" s="713">
        <v>44137</v>
      </c>
      <c r="CG14" s="170">
        <v>154</v>
      </c>
      <c r="CI14" s="171">
        <v>0.9</v>
      </c>
      <c r="CJ14" s="172">
        <f t="shared" si="11"/>
        <v>171.11111111111111</v>
      </c>
      <c r="CL14" s="172">
        <f t="shared" si="12"/>
        <v>10283</v>
      </c>
      <c r="CN14" s="172">
        <f t="shared" si="13"/>
        <v>12575.694444444443</v>
      </c>
      <c r="CR14" s="713">
        <v>44840</v>
      </c>
      <c r="CS14" s="170">
        <v>1148</v>
      </c>
      <c r="CU14" s="171">
        <v>0.9</v>
      </c>
      <c r="CV14" s="172">
        <f t="shared" si="14"/>
        <v>1275.5555555555554</v>
      </c>
      <c r="CX14" s="172">
        <f t="shared" si="15"/>
        <v>13251</v>
      </c>
      <c r="CZ14" s="172">
        <f t="shared" si="16"/>
        <v>15447.638888888891</v>
      </c>
    </row>
    <row r="15" spans="1:104" ht="15" x14ac:dyDescent="0.25">
      <c r="A15" s="1">
        <v>1990</v>
      </c>
      <c r="B15" s="1"/>
      <c r="C15" s="1"/>
      <c r="D15" s="1"/>
      <c r="E15" s="13"/>
      <c r="F15" s="13"/>
      <c r="G15" s="13"/>
      <c r="H15" s="13"/>
      <c r="I15" s="13"/>
      <c r="J15" s="13"/>
      <c r="K15" s="13">
        <v>447</v>
      </c>
      <c r="L15" s="13"/>
      <c r="M15" s="13">
        <v>2696</v>
      </c>
      <c r="N15" s="13">
        <v>3850</v>
      </c>
      <c r="O15" s="13">
        <v>11869</v>
      </c>
      <c r="P15" s="13"/>
      <c r="Q15" s="13">
        <v>15015</v>
      </c>
      <c r="R15" s="13"/>
      <c r="S15" s="13">
        <v>2119</v>
      </c>
      <c r="T15" s="13"/>
      <c r="U15" s="13">
        <v>11</v>
      </c>
      <c r="V15" s="13"/>
      <c r="W15" s="13"/>
      <c r="X15" s="13"/>
      <c r="Y15" s="13"/>
      <c r="Z15" s="13"/>
      <c r="AA15" s="13">
        <v>31400</v>
      </c>
      <c r="AB15" s="224" t="s">
        <v>5</v>
      </c>
      <c r="AC15" s="231">
        <v>14.5</v>
      </c>
      <c r="AD15" s="231"/>
      <c r="AE15" s="225">
        <f t="shared" si="0"/>
        <v>15015</v>
      </c>
      <c r="AF15">
        <f t="shared" si="1"/>
        <v>2.091242091242091</v>
      </c>
      <c r="AH15" s="165" t="s">
        <v>128</v>
      </c>
      <c r="AI15" s="229"/>
      <c r="AJ15" s="176"/>
      <c r="AL15" s="177"/>
      <c r="AM15" s="178">
        <v>0</v>
      </c>
      <c r="AN15" s="179"/>
      <c r="AO15" s="172">
        <f t="shared" si="3"/>
        <v>0</v>
      </c>
      <c r="AQ15" s="172">
        <f t="shared" si="4"/>
        <v>0</v>
      </c>
      <c r="AT15" s="229">
        <v>33194</v>
      </c>
      <c r="AU15" s="170">
        <v>2119</v>
      </c>
      <c r="AW15" s="171">
        <v>0.9</v>
      </c>
      <c r="AX15" s="172">
        <f t="shared" si="5"/>
        <v>2354.4444444444443</v>
      </c>
      <c r="AZ15" s="172">
        <f t="shared" si="6"/>
        <v>257010</v>
      </c>
      <c r="BB15" s="172">
        <f t="shared" si="7"/>
        <v>285566.66666666669</v>
      </c>
      <c r="BH15" s="165" t="s">
        <v>129</v>
      </c>
      <c r="BI15" s="167"/>
      <c r="BJ15" s="167">
        <f>MAX(BJ8:BJ13)</f>
        <v>11876</v>
      </c>
      <c r="BK15" s="167"/>
      <c r="BL15" s="167"/>
      <c r="BM15" s="167">
        <f>MAX(BM8:BM13)</f>
        <v>13195.555555555555</v>
      </c>
      <c r="BN15" s="167"/>
      <c r="BO15" s="167"/>
      <c r="BS15" s="165" t="s">
        <v>128</v>
      </c>
      <c r="BT15" s="229">
        <v>40879</v>
      </c>
      <c r="BU15" s="176"/>
      <c r="BW15" s="177"/>
      <c r="BX15" s="178">
        <v>0</v>
      </c>
      <c r="BY15" s="179"/>
      <c r="BZ15" s="172">
        <f t="shared" si="9"/>
        <v>0</v>
      </c>
      <c r="CB15" s="172">
        <f t="shared" si="10"/>
        <v>0</v>
      </c>
      <c r="CF15" s="713">
        <v>44148</v>
      </c>
      <c r="CG15" s="170">
        <v>4</v>
      </c>
      <c r="CI15" s="171">
        <v>0.65</v>
      </c>
      <c r="CJ15" s="172">
        <f t="shared" si="11"/>
        <v>6.1538461538461533</v>
      </c>
      <c r="CL15" s="172">
        <f t="shared" si="12"/>
        <v>1738</v>
      </c>
      <c r="CN15" s="172">
        <f t="shared" si="13"/>
        <v>1949.91452991453</v>
      </c>
      <c r="CR15" s="713">
        <v>44847</v>
      </c>
      <c r="CS15" s="170">
        <v>1161</v>
      </c>
      <c r="CU15" s="171">
        <v>0.5</v>
      </c>
      <c r="CV15" s="172">
        <f t="shared" si="14"/>
        <v>2322</v>
      </c>
      <c r="CX15" s="172">
        <f t="shared" si="15"/>
        <v>16163</v>
      </c>
      <c r="CZ15" s="172">
        <f t="shared" si="16"/>
        <v>25182.888888888891</v>
      </c>
    </row>
    <row r="16" spans="1:104" ht="15" x14ac:dyDescent="0.25">
      <c r="A16" s="1">
        <v>1991</v>
      </c>
      <c r="B16" s="1"/>
      <c r="C16" s="1"/>
      <c r="D16" s="1"/>
      <c r="E16" s="13"/>
      <c r="F16" s="13"/>
      <c r="G16" s="13"/>
      <c r="H16" s="13"/>
      <c r="I16" s="13"/>
      <c r="J16" s="13"/>
      <c r="K16" s="13">
        <v>1073</v>
      </c>
      <c r="L16" s="13">
        <v>1073</v>
      </c>
      <c r="M16" s="13"/>
      <c r="N16" s="13"/>
      <c r="O16" s="13"/>
      <c r="P16" s="13">
        <v>6540</v>
      </c>
      <c r="Q16" s="13">
        <v>12164</v>
      </c>
      <c r="R16" s="13">
        <v>239</v>
      </c>
      <c r="S16" s="13">
        <v>24426</v>
      </c>
      <c r="T16" s="13"/>
      <c r="U16" s="13">
        <v>4522</v>
      </c>
      <c r="V16" s="13"/>
      <c r="W16" s="13"/>
      <c r="X16" s="13"/>
      <c r="Y16" s="13"/>
      <c r="Z16" s="13"/>
      <c r="AA16" s="13">
        <v>38100</v>
      </c>
      <c r="AB16" s="224" t="s">
        <v>5</v>
      </c>
      <c r="AC16" s="231">
        <v>14.2</v>
      </c>
      <c r="AD16" s="231"/>
      <c r="AE16" s="225">
        <f t="shared" si="0"/>
        <v>24426</v>
      </c>
      <c r="AF16">
        <f t="shared" si="1"/>
        <v>1.5598133136821419</v>
      </c>
      <c r="AH16" s="165" t="s">
        <v>2</v>
      </c>
      <c r="AI16" s="167">
        <v>7</v>
      </c>
      <c r="AJ16" s="167"/>
      <c r="AK16" s="167"/>
      <c r="AT16" s="229">
        <v>33204</v>
      </c>
      <c r="AU16" s="170">
        <v>11</v>
      </c>
      <c r="AW16" s="171">
        <v>0.9</v>
      </c>
      <c r="AX16" s="172">
        <f t="shared" si="5"/>
        <v>12.222222222222221</v>
      </c>
      <c r="AZ16" s="172">
        <f t="shared" si="6"/>
        <v>21300</v>
      </c>
      <c r="BB16" s="172">
        <f t="shared" si="7"/>
        <v>23666.666666666664</v>
      </c>
      <c r="BH16" s="165" t="s">
        <v>130</v>
      </c>
      <c r="BI16" s="167"/>
      <c r="BJ16" s="169">
        <v>14.5</v>
      </c>
      <c r="BK16" s="167"/>
      <c r="BM16" s="169">
        <v>15</v>
      </c>
      <c r="BN16" s="8"/>
      <c r="BO16" s="8"/>
      <c r="BS16" s="165" t="s">
        <v>2</v>
      </c>
      <c r="BT16" s="167">
        <v>7</v>
      </c>
      <c r="BU16" s="167"/>
      <c r="BV16" s="167"/>
      <c r="CF16" s="713">
        <v>44149</v>
      </c>
      <c r="CG16" s="170">
        <v>0</v>
      </c>
      <c r="CI16" s="171">
        <v>0.9</v>
      </c>
      <c r="CJ16" s="172">
        <f t="shared" si="11"/>
        <v>0</v>
      </c>
      <c r="CL16" s="172">
        <f t="shared" si="12"/>
        <v>4</v>
      </c>
      <c r="CN16" s="172">
        <f t="shared" si="13"/>
        <v>6.1538461538461533</v>
      </c>
      <c r="CR16" s="713">
        <v>44854</v>
      </c>
      <c r="CS16" s="170">
        <v>1876</v>
      </c>
      <c r="CU16" s="171">
        <v>0.9</v>
      </c>
      <c r="CV16" s="172">
        <f t="shared" si="14"/>
        <v>2084.4444444444443</v>
      </c>
      <c r="CX16" s="172">
        <f t="shared" si="15"/>
        <v>21259</v>
      </c>
      <c r="CZ16" s="172">
        <f t="shared" si="16"/>
        <v>30845.111111111109</v>
      </c>
    </row>
    <row r="17" spans="1:104" ht="15" x14ac:dyDescent="0.25">
      <c r="A17" s="1">
        <v>1992</v>
      </c>
      <c r="B17" s="1"/>
      <c r="C17" s="1"/>
      <c r="D17" s="1"/>
      <c r="E17" s="13"/>
      <c r="F17" s="13"/>
      <c r="G17" s="13"/>
      <c r="H17" s="13"/>
      <c r="I17" s="13"/>
      <c r="J17" s="13">
        <v>1007</v>
      </c>
      <c r="K17" s="13"/>
      <c r="L17" s="13"/>
      <c r="M17" s="13">
        <v>1913</v>
      </c>
      <c r="N17" s="13"/>
      <c r="O17" s="13">
        <v>4123</v>
      </c>
      <c r="P17" s="13"/>
      <c r="Q17" s="13">
        <v>14979</v>
      </c>
      <c r="R17" s="13"/>
      <c r="S17" s="13">
        <v>7033</v>
      </c>
      <c r="T17" s="13">
        <v>1583</v>
      </c>
      <c r="U17" s="13"/>
      <c r="V17" s="13">
        <v>51</v>
      </c>
      <c r="W17" s="13"/>
      <c r="X17" s="13"/>
      <c r="Y17" s="13"/>
      <c r="Z17" s="13"/>
      <c r="AA17" s="13">
        <v>27700</v>
      </c>
      <c r="AB17" s="224" t="s">
        <v>5</v>
      </c>
      <c r="AC17" s="231">
        <v>14.2</v>
      </c>
      <c r="AD17" s="231"/>
      <c r="AE17" s="225">
        <f t="shared" si="0"/>
        <v>14979</v>
      </c>
      <c r="AF17">
        <f t="shared" si="1"/>
        <v>1.8492556245410241</v>
      </c>
      <c r="AH17" s="165" t="s">
        <v>129</v>
      </c>
      <c r="AI17" s="167"/>
      <c r="AJ17" s="167">
        <f>MAX(AJ8:AJ15)</f>
        <v>31715</v>
      </c>
      <c r="AK17" s="167"/>
      <c r="AL17" s="167"/>
      <c r="AM17" s="167">
        <f>MAX(AM8:AM15)</f>
        <v>35238.888888888891</v>
      </c>
      <c r="AN17" s="167"/>
      <c r="AO17" s="167"/>
      <c r="AP17" s="180"/>
      <c r="AS17" s="165" t="s">
        <v>128</v>
      </c>
      <c r="AT17" s="229">
        <v>33208</v>
      </c>
      <c r="AU17" s="176"/>
      <c r="AW17" s="177"/>
      <c r="AX17" s="178">
        <v>0</v>
      </c>
      <c r="AY17" s="179"/>
      <c r="AZ17" s="172">
        <f t="shared" si="6"/>
        <v>44</v>
      </c>
      <c r="BB17" s="172">
        <f t="shared" si="7"/>
        <v>48.888888888888886</v>
      </c>
      <c r="BH17" s="165" t="s">
        <v>131</v>
      </c>
      <c r="BI17" s="167"/>
      <c r="BJ17" s="230">
        <f>(0.5*SUM(BO9:BO13))/BJ16</f>
        <v>25607.172413793105</v>
      </c>
      <c r="BK17" s="167"/>
      <c r="BM17" s="230">
        <f>(0.5*SUM(BQ9:BQ13))/BM16</f>
        <v>27504</v>
      </c>
      <c r="BN17" s="8"/>
      <c r="BO17" s="8"/>
      <c r="BS17" s="165" t="s">
        <v>129</v>
      </c>
      <c r="BT17" s="167"/>
      <c r="BU17" s="167">
        <f>MAX(BU8:BU15)</f>
        <v>17541</v>
      </c>
      <c r="BV17" s="167"/>
      <c r="BW17" s="167"/>
      <c r="BX17" s="167">
        <f>MAX(BX8:BX15)</f>
        <v>19490</v>
      </c>
      <c r="BY17" s="167"/>
      <c r="BZ17" s="167"/>
      <c r="CA17" s="180"/>
      <c r="CF17" s="713">
        <v>44150</v>
      </c>
      <c r="CG17" s="170">
        <v>0</v>
      </c>
      <c r="CI17" s="171">
        <v>0.9</v>
      </c>
      <c r="CJ17" s="172">
        <f t="shared" si="11"/>
        <v>0</v>
      </c>
      <c r="CL17" s="172">
        <f t="shared" si="12"/>
        <v>0</v>
      </c>
      <c r="CN17" s="172">
        <f t="shared" si="13"/>
        <v>0</v>
      </c>
      <c r="CR17" s="713">
        <v>44860</v>
      </c>
      <c r="CS17" s="170">
        <v>14586</v>
      </c>
      <c r="CU17" s="171">
        <v>0.9</v>
      </c>
      <c r="CV17" s="172">
        <f t="shared" si="14"/>
        <v>16206.666666666666</v>
      </c>
      <c r="CX17" s="172">
        <f t="shared" si="15"/>
        <v>98772</v>
      </c>
      <c r="CZ17" s="172">
        <f t="shared" si="16"/>
        <v>109746.66666666666</v>
      </c>
    </row>
    <row r="18" spans="1:104" ht="15" x14ac:dyDescent="0.25">
      <c r="A18" s="1">
        <v>1993</v>
      </c>
      <c r="B18" s="1"/>
      <c r="C18" s="1"/>
      <c r="D18" s="1"/>
      <c r="E18" s="13"/>
      <c r="F18" s="13"/>
      <c r="G18" s="13"/>
      <c r="H18" s="13"/>
      <c r="I18" s="13"/>
      <c r="J18" s="13"/>
      <c r="K18" s="13"/>
      <c r="L18" s="13">
        <v>4351</v>
      </c>
      <c r="M18" s="13"/>
      <c r="N18" s="13">
        <v>4560</v>
      </c>
      <c r="O18" s="13"/>
      <c r="P18" s="13">
        <v>16401</v>
      </c>
      <c r="Q18" s="13">
        <v>114214</v>
      </c>
      <c r="R18" s="13"/>
      <c r="S18" s="13">
        <v>61312</v>
      </c>
      <c r="T18" s="13"/>
      <c r="U18" s="13">
        <v>10889</v>
      </c>
      <c r="V18" s="13"/>
      <c r="W18" s="13"/>
      <c r="X18" s="13"/>
      <c r="Y18" s="13"/>
      <c r="Z18" s="13"/>
      <c r="AA18" s="13">
        <v>180500</v>
      </c>
      <c r="AB18" s="224" t="s">
        <v>5</v>
      </c>
      <c r="AC18" s="231">
        <v>13.8</v>
      </c>
      <c r="AD18" s="231"/>
      <c r="AE18" s="225">
        <f t="shared" si="0"/>
        <v>114214</v>
      </c>
      <c r="AF18">
        <f t="shared" si="1"/>
        <v>1.5803666800917575</v>
      </c>
      <c r="AH18" s="165" t="s">
        <v>130</v>
      </c>
      <c r="AI18" s="167"/>
      <c r="AJ18" s="169">
        <v>14.5</v>
      </c>
      <c r="AK18" s="167"/>
      <c r="AM18" s="169">
        <v>30</v>
      </c>
      <c r="AN18" s="8"/>
      <c r="AO18" s="8"/>
      <c r="AP18" s="8"/>
      <c r="AQ18" s="8"/>
      <c r="AS18" s="165" t="s">
        <v>2</v>
      </c>
      <c r="AT18" s="167">
        <v>7</v>
      </c>
      <c r="AU18" s="167"/>
      <c r="AV18" s="167"/>
      <c r="BS18" s="165" t="s">
        <v>130</v>
      </c>
      <c r="BT18" s="167"/>
      <c r="BU18" s="169">
        <v>25</v>
      </c>
      <c r="BV18" s="167"/>
      <c r="BX18" s="169">
        <v>20</v>
      </c>
      <c r="BY18" s="8"/>
      <c r="BZ18" s="8"/>
      <c r="CA18" s="8"/>
      <c r="CB18" s="8"/>
      <c r="CF18" s="713">
        <v>44151</v>
      </c>
      <c r="CG18" s="170">
        <v>0</v>
      </c>
      <c r="CI18" s="171">
        <v>0.9</v>
      </c>
      <c r="CJ18" s="172">
        <f t="shared" si="11"/>
        <v>0</v>
      </c>
      <c r="CL18" s="172">
        <f t="shared" si="12"/>
        <v>0</v>
      </c>
      <c r="CN18" s="172">
        <f t="shared" si="13"/>
        <v>0</v>
      </c>
      <c r="CR18" s="713">
        <v>44875</v>
      </c>
      <c r="CS18" s="170">
        <v>4223</v>
      </c>
      <c r="CU18" s="171">
        <v>0.9</v>
      </c>
      <c r="CV18" s="172">
        <f t="shared" si="14"/>
        <v>4692.2222222222217</v>
      </c>
      <c r="CX18" s="172">
        <f t="shared" si="15"/>
        <v>282135</v>
      </c>
      <c r="CZ18" s="172">
        <f t="shared" si="16"/>
        <v>313483.33333333331</v>
      </c>
    </row>
    <row r="19" spans="1:104" ht="18" customHeight="1" x14ac:dyDescent="0.25">
      <c r="A19" s="1">
        <v>1994</v>
      </c>
      <c r="B19" s="1"/>
      <c r="C19" s="1"/>
      <c r="D19" s="1"/>
      <c r="E19" s="13"/>
      <c r="F19" s="13"/>
      <c r="G19" s="13"/>
      <c r="H19" s="13"/>
      <c r="I19" s="13"/>
      <c r="J19" s="13"/>
      <c r="K19" s="13"/>
      <c r="L19" s="13">
        <v>687</v>
      </c>
      <c r="M19" s="13"/>
      <c r="N19" s="13"/>
      <c r="O19" s="13">
        <v>2658</v>
      </c>
      <c r="P19" s="13"/>
      <c r="Q19" s="13">
        <v>7061</v>
      </c>
      <c r="R19" s="13"/>
      <c r="S19" s="13"/>
      <c r="T19" s="13">
        <v>2101</v>
      </c>
      <c r="U19" s="13"/>
      <c r="V19" s="13"/>
      <c r="W19" s="13"/>
      <c r="X19" s="13">
        <v>2</v>
      </c>
      <c r="Y19" s="13"/>
      <c r="Z19" s="13"/>
      <c r="AA19" s="13">
        <v>17400</v>
      </c>
      <c r="AB19" s="224" t="s">
        <v>5</v>
      </c>
      <c r="AC19" s="231">
        <v>14</v>
      </c>
      <c r="AD19" s="231"/>
      <c r="AE19" s="225">
        <f t="shared" si="0"/>
        <v>7061</v>
      </c>
      <c r="AF19">
        <f t="shared" si="1"/>
        <v>2.4642401926072792</v>
      </c>
      <c r="AH19" s="165" t="s">
        <v>131</v>
      </c>
      <c r="AI19" s="167"/>
      <c r="AJ19" s="230">
        <f>(0.5*SUM(AO9:AO14))/AJ18</f>
        <v>58220.965517241377</v>
      </c>
      <c r="AK19" s="167"/>
      <c r="AM19" s="230">
        <f>(0.5*SUM(AQ9:AQ14))/AM18</f>
        <v>31266.814814814814</v>
      </c>
      <c r="AN19" s="8"/>
      <c r="AO19" s="8"/>
      <c r="AP19" s="8"/>
      <c r="AQ19" s="8"/>
      <c r="AS19" s="165" t="s">
        <v>129</v>
      </c>
      <c r="AT19" s="167"/>
      <c r="AU19" s="167">
        <f>MAX(AU8:AU17)</f>
        <v>15015</v>
      </c>
      <c r="AV19" s="167"/>
      <c r="AW19" s="167"/>
      <c r="AX19" s="167">
        <f>MAX(AX8:AX17)</f>
        <v>16683.333333333332</v>
      </c>
      <c r="AY19" s="167"/>
      <c r="AZ19" s="167"/>
      <c r="BH19" s="222" t="s">
        <v>117</v>
      </c>
      <c r="BI19" s="222" t="s">
        <v>118</v>
      </c>
      <c r="BJ19" s="157" t="s">
        <v>119</v>
      </c>
      <c r="BL19" s="157" t="s">
        <v>120</v>
      </c>
      <c r="BM19" s="157"/>
      <c r="BO19" s="160" t="s">
        <v>121</v>
      </c>
      <c r="BQ19" s="161" t="s">
        <v>122</v>
      </c>
      <c r="BS19" s="165" t="s">
        <v>131</v>
      </c>
      <c r="BT19" s="167"/>
      <c r="BU19" s="230">
        <f>(0.5*SUM(BZ9:BZ15))/BU18</f>
        <v>20403.080000000002</v>
      </c>
      <c r="BV19" s="167"/>
      <c r="BX19" s="230">
        <f>(0.5*SUM(CB9:CB15))/BX18</f>
        <v>28337.611111111113</v>
      </c>
      <c r="BY19" s="8"/>
      <c r="BZ19" s="8"/>
      <c r="CA19" s="8"/>
      <c r="CB19" s="8"/>
      <c r="CF19" s="713">
        <v>44152</v>
      </c>
      <c r="CG19" s="170"/>
      <c r="CI19" s="171">
        <v>0.9</v>
      </c>
      <c r="CJ19" s="172">
        <f t="shared" si="11"/>
        <v>0</v>
      </c>
      <c r="CL19" s="172">
        <f t="shared" si="12"/>
        <v>0</v>
      </c>
      <c r="CN19" s="172">
        <f t="shared" si="13"/>
        <v>0</v>
      </c>
      <c r="CR19" s="713">
        <v>44896</v>
      </c>
      <c r="CS19" s="170">
        <v>0</v>
      </c>
      <c r="CU19" s="171">
        <v>0.9</v>
      </c>
      <c r="CV19" s="172">
        <f t="shared" si="14"/>
        <v>0</v>
      </c>
      <c r="CX19" s="172">
        <f t="shared" si="15"/>
        <v>88683</v>
      </c>
      <c r="CZ19" s="172">
        <f t="shared" si="16"/>
        <v>98536.666666666657</v>
      </c>
    </row>
    <row r="20" spans="1:104" ht="15" x14ac:dyDescent="0.25">
      <c r="A20" s="1">
        <v>1995</v>
      </c>
      <c r="B20" s="1"/>
      <c r="C20" s="1"/>
      <c r="D20" s="1"/>
      <c r="E20" s="6"/>
      <c r="F20" s="6"/>
      <c r="G20" s="6">
        <v>55</v>
      </c>
      <c r="H20" s="6"/>
      <c r="I20" s="6"/>
      <c r="J20" s="6">
        <v>41</v>
      </c>
      <c r="K20" s="6"/>
      <c r="L20" s="6"/>
      <c r="M20" s="6"/>
      <c r="N20" s="6">
        <v>1539</v>
      </c>
      <c r="O20" s="6">
        <v>1533</v>
      </c>
      <c r="P20" s="6">
        <v>1114</v>
      </c>
      <c r="Q20" s="6"/>
      <c r="R20" s="6">
        <v>476</v>
      </c>
      <c r="S20" s="6"/>
      <c r="T20" s="6"/>
      <c r="U20" s="6"/>
      <c r="V20" s="6"/>
      <c r="W20" s="1"/>
      <c r="X20" s="1"/>
      <c r="Y20" s="1"/>
      <c r="Z20" s="1"/>
      <c r="AA20" s="7">
        <v>4400</v>
      </c>
      <c r="AB20" s="224" t="s">
        <v>5</v>
      </c>
      <c r="AC20" s="232">
        <v>12.5</v>
      </c>
      <c r="AD20" s="232"/>
      <c r="AE20" s="225">
        <f t="shared" si="0"/>
        <v>1539</v>
      </c>
      <c r="AF20">
        <f t="shared" si="1"/>
        <v>2.8589993502274202</v>
      </c>
      <c r="AH20" s="174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65" t="s">
        <v>130</v>
      </c>
      <c r="AT20" s="167"/>
      <c r="AU20" s="169">
        <v>14.5</v>
      </c>
      <c r="AV20" s="167"/>
      <c r="AX20" s="169">
        <v>15</v>
      </c>
      <c r="AY20" s="8"/>
      <c r="AZ20" s="8"/>
      <c r="BH20" s="162"/>
      <c r="BI20" s="162"/>
      <c r="BJ20" s="162" t="s">
        <v>146</v>
      </c>
      <c r="BL20" s="163" t="s">
        <v>148</v>
      </c>
      <c r="BM20" s="163" t="s">
        <v>147</v>
      </c>
      <c r="BO20" s="164"/>
      <c r="BQ20" s="164"/>
      <c r="BS20" s="299" t="s">
        <v>5</v>
      </c>
      <c r="BU20">
        <f>0.5*(SUM(BZ9:BZ15))</f>
        <v>510077</v>
      </c>
      <c r="CE20" s="165" t="s">
        <v>128</v>
      </c>
      <c r="CF20" s="713">
        <v>44153</v>
      </c>
      <c r="CG20" s="170"/>
      <c r="CI20" s="171">
        <v>0.9</v>
      </c>
      <c r="CJ20" s="172">
        <f t="shared" si="11"/>
        <v>0</v>
      </c>
      <c r="CL20" s="172">
        <f t="shared" si="12"/>
        <v>0</v>
      </c>
      <c r="CN20" s="172">
        <f t="shared" si="13"/>
        <v>0</v>
      </c>
      <c r="CQ20" s="165" t="s">
        <v>128</v>
      </c>
      <c r="CR20" s="713">
        <v>44153</v>
      </c>
      <c r="CS20" s="170"/>
      <c r="CU20" s="171">
        <v>0.9</v>
      </c>
      <c r="CV20" s="172">
        <f t="shared" si="14"/>
        <v>0</v>
      </c>
      <c r="CX20" s="172">
        <f t="shared" si="15"/>
        <v>0</v>
      </c>
      <c r="CZ20" s="172">
        <f t="shared" si="16"/>
        <v>0</v>
      </c>
    </row>
    <row r="21" spans="1:104" ht="15.75" customHeight="1" x14ac:dyDescent="0.25">
      <c r="A21" s="1">
        <v>1996</v>
      </c>
      <c r="B21" s="1"/>
      <c r="C21" s="1"/>
      <c r="D21" s="1"/>
      <c r="E21" s="6"/>
      <c r="F21" s="6"/>
      <c r="G21" s="6">
        <v>100</v>
      </c>
      <c r="H21" s="6"/>
      <c r="I21" s="6"/>
      <c r="J21" s="6">
        <v>1933</v>
      </c>
      <c r="K21" s="6"/>
      <c r="L21" s="6">
        <v>12856</v>
      </c>
      <c r="M21" s="6"/>
      <c r="N21" s="6">
        <v>21497</v>
      </c>
      <c r="O21" s="6"/>
      <c r="P21" s="6"/>
      <c r="Q21" s="6">
        <v>12016</v>
      </c>
      <c r="R21" s="6"/>
      <c r="S21" s="6"/>
      <c r="T21" s="6">
        <v>205</v>
      </c>
      <c r="U21" s="6"/>
      <c r="V21" s="6"/>
      <c r="W21" s="1"/>
      <c r="X21" s="1"/>
      <c r="Y21" s="1"/>
      <c r="Z21" s="1"/>
      <c r="AA21" s="7">
        <v>59900</v>
      </c>
      <c r="AB21" s="224" t="s">
        <v>5</v>
      </c>
      <c r="AC21" s="232">
        <v>14.3</v>
      </c>
      <c r="AD21" s="232"/>
      <c r="AE21" s="225">
        <f t="shared" si="0"/>
        <v>21497</v>
      </c>
      <c r="AF21">
        <f t="shared" si="1"/>
        <v>2.7864353165557985</v>
      </c>
      <c r="AH21" s="222" t="s">
        <v>117</v>
      </c>
      <c r="AI21" s="222" t="s">
        <v>118</v>
      </c>
      <c r="AJ21" s="157" t="s">
        <v>119</v>
      </c>
      <c r="AL21" s="157" t="s">
        <v>120</v>
      </c>
      <c r="AM21" s="157"/>
      <c r="AO21" s="160" t="s">
        <v>121</v>
      </c>
      <c r="AP21" s="160"/>
      <c r="AQ21" s="161" t="s">
        <v>122</v>
      </c>
      <c r="AR21" s="185"/>
      <c r="AS21" s="165" t="s">
        <v>131</v>
      </c>
      <c r="AT21" s="167"/>
      <c r="AU21" s="230">
        <f>(0.5*SUM(AZ9:AZ17))/AU20</f>
        <v>31160.931034482757</v>
      </c>
      <c r="AV21" s="167"/>
      <c r="AX21" s="230">
        <f>(0.5*SUM(BB9:BB17))/AX20</f>
        <v>33469.148148148139</v>
      </c>
      <c r="AY21" s="8"/>
      <c r="AZ21" s="8"/>
      <c r="BH21" s="165"/>
      <c r="BI21" s="166"/>
      <c r="BJ21" s="167"/>
      <c r="BS21" s="1013" t="s">
        <v>117</v>
      </c>
      <c r="BT21" s="1013" t="s">
        <v>118</v>
      </c>
      <c r="BU21" s="157" t="s">
        <v>119</v>
      </c>
      <c r="BW21" s="1012" t="s">
        <v>120</v>
      </c>
      <c r="BX21" s="1012"/>
      <c r="BZ21" s="160" t="s">
        <v>121</v>
      </c>
      <c r="CA21" s="160"/>
      <c r="CB21" s="161" t="s">
        <v>122</v>
      </c>
      <c r="CF21" s="229"/>
      <c r="CG21" s="176"/>
      <c r="CI21" s="171"/>
      <c r="CJ21" s="172">
        <v>0</v>
      </c>
      <c r="CL21" s="172">
        <f t="shared" si="12"/>
        <v>0</v>
      </c>
      <c r="CN21" s="172">
        <f t="shared" si="13"/>
        <v>0</v>
      </c>
      <c r="CR21" s="229"/>
      <c r="CS21" s="176"/>
      <c r="CU21" s="171"/>
      <c r="CV21" s="172">
        <v>0</v>
      </c>
      <c r="CX21" s="172">
        <f t="shared" si="15"/>
        <v>0</v>
      </c>
      <c r="CZ21" s="172">
        <f t="shared" si="16"/>
        <v>0</v>
      </c>
    </row>
    <row r="22" spans="1:104" ht="14.25" customHeight="1" x14ac:dyDescent="0.2">
      <c r="A22" s="1">
        <v>1997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>
        <v>18774</v>
      </c>
      <c r="M22" s="6"/>
      <c r="N22" s="6">
        <v>12452</v>
      </c>
      <c r="O22" s="6"/>
      <c r="P22" s="6">
        <v>14603</v>
      </c>
      <c r="Q22" s="6"/>
      <c r="R22" s="6"/>
      <c r="S22" s="6"/>
      <c r="T22" s="6"/>
      <c r="U22" s="6"/>
      <c r="V22" s="6"/>
      <c r="W22" s="1"/>
      <c r="X22" s="1"/>
      <c r="Y22" s="1"/>
      <c r="Z22" s="1"/>
      <c r="AA22" s="7">
        <v>46200</v>
      </c>
      <c r="AB22" s="224" t="s">
        <v>5</v>
      </c>
      <c r="AC22" s="233">
        <v>19.2</v>
      </c>
      <c r="AD22" s="233"/>
      <c r="AE22" s="225">
        <f t="shared" si="0"/>
        <v>18774</v>
      </c>
      <c r="AF22">
        <f t="shared" si="1"/>
        <v>2.4608501118568231</v>
      </c>
      <c r="AH22" s="162"/>
      <c r="AI22" s="162"/>
      <c r="AJ22" s="162" t="s">
        <v>146</v>
      </c>
      <c r="AL22" s="163" t="s">
        <v>148</v>
      </c>
      <c r="AM22" s="163" t="s">
        <v>147</v>
      </c>
      <c r="AO22" s="164"/>
      <c r="AQ22" s="164"/>
      <c r="BH22" s="165" t="s">
        <v>145</v>
      </c>
      <c r="BI22" s="166"/>
      <c r="BJ22" s="167"/>
      <c r="BS22" s="1014"/>
      <c r="BT22" s="1014"/>
      <c r="BU22" s="162" t="s">
        <v>146</v>
      </c>
      <c r="BW22" s="163" t="s">
        <v>148</v>
      </c>
      <c r="BX22" s="163" t="s">
        <v>147</v>
      </c>
      <c r="BZ22" s="164"/>
      <c r="CB22" s="164"/>
      <c r="CE22" s="165" t="s">
        <v>2</v>
      </c>
      <c r="CF22" s="167">
        <v>7</v>
      </c>
      <c r="CG22" s="167"/>
      <c r="CH22" s="167"/>
      <c r="CQ22" s="165" t="s">
        <v>2</v>
      </c>
      <c r="CR22" s="167">
        <v>7</v>
      </c>
      <c r="CS22" s="167"/>
      <c r="CT22" s="167"/>
    </row>
    <row r="23" spans="1:104" ht="25.5" x14ac:dyDescent="0.25">
      <c r="A23" s="1">
        <v>1998</v>
      </c>
      <c r="B23" s="1"/>
      <c r="C23" s="1"/>
      <c r="D23" s="1"/>
      <c r="E23" s="6"/>
      <c r="F23" s="6"/>
      <c r="G23" s="6"/>
      <c r="H23" s="6"/>
      <c r="I23" s="6">
        <v>2978</v>
      </c>
      <c r="J23" s="6"/>
      <c r="K23" s="6"/>
      <c r="L23" s="6"/>
      <c r="M23" s="6"/>
      <c r="N23" s="6"/>
      <c r="O23" s="6"/>
      <c r="P23" s="6">
        <v>28192</v>
      </c>
      <c r="Q23" s="6"/>
      <c r="R23" s="6">
        <v>16524</v>
      </c>
      <c r="S23" s="6">
        <v>12838</v>
      </c>
      <c r="T23" s="6"/>
      <c r="U23" s="6"/>
      <c r="V23" s="6"/>
      <c r="W23" s="1"/>
      <c r="X23" s="1"/>
      <c r="Y23" s="1"/>
      <c r="Z23" s="1"/>
      <c r="AA23" s="7">
        <v>92100</v>
      </c>
      <c r="AB23" s="224" t="s">
        <v>5</v>
      </c>
      <c r="AC23" s="233">
        <v>14</v>
      </c>
      <c r="AD23" s="233"/>
      <c r="AE23" s="225">
        <f t="shared" si="0"/>
        <v>28192</v>
      </c>
      <c r="AF23">
        <f t="shared" si="1"/>
        <v>3.2668842224744608</v>
      </c>
      <c r="AH23" s="165"/>
      <c r="AI23" s="166"/>
      <c r="AJ23" s="167"/>
      <c r="AS23" s="222" t="s">
        <v>117</v>
      </c>
      <c r="AT23" s="222" t="s">
        <v>118</v>
      </c>
      <c r="AU23" s="157" t="s">
        <v>119</v>
      </c>
      <c r="AW23" s="157" t="s">
        <v>120</v>
      </c>
      <c r="AX23" s="157"/>
      <c r="AZ23" s="160" t="s">
        <v>121</v>
      </c>
      <c r="BB23" s="161" t="s">
        <v>122</v>
      </c>
      <c r="BH23" s="165" t="s">
        <v>127</v>
      </c>
      <c r="BI23" s="229">
        <v>39326</v>
      </c>
      <c r="BJ23" s="167"/>
      <c r="BM23" s="169">
        <v>0</v>
      </c>
      <c r="BS23" s="165"/>
      <c r="BT23" s="166"/>
      <c r="BU23" s="167"/>
      <c r="CE23" s="165" t="s">
        <v>129</v>
      </c>
      <c r="CF23" s="167"/>
      <c r="CG23" s="167">
        <f>MAX(CG8:CG21)</f>
        <v>1395</v>
      </c>
      <c r="CH23" s="167"/>
      <c r="CI23" s="167"/>
      <c r="CJ23" s="167">
        <f>MAX(CJ8:CJ21)</f>
        <v>1743.75</v>
      </c>
      <c r="CK23" s="167"/>
      <c r="CL23" s="167"/>
      <c r="CM23" s="180"/>
      <c r="CQ23" s="165" t="s">
        <v>129</v>
      </c>
      <c r="CR23" s="167"/>
      <c r="CS23" s="167">
        <f>MAX(CS8:CS21)</f>
        <v>14586</v>
      </c>
      <c r="CT23" s="167"/>
      <c r="CU23" s="167"/>
      <c r="CV23" s="167">
        <f>MAX(CV8:CV21)</f>
        <v>16206.666666666666</v>
      </c>
      <c r="CW23" s="167"/>
      <c r="CX23" s="167"/>
      <c r="CY23" s="180"/>
    </row>
    <row r="24" spans="1:104" x14ac:dyDescent="0.2">
      <c r="A24" s="1">
        <v>1999</v>
      </c>
      <c r="B24" s="1"/>
      <c r="C24" s="1"/>
      <c r="D24" s="1"/>
      <c r="E24" s="6"/>
      <c r="F24" s="6"/>
      <c r="G24" s="6"/>
      <c r="H24" s="6">
        <v>80</v>
      </c>
      <c r="I24" s="6">
        <v>832</v>
      </c>
      <c r="J24" s="6"/>
      <c r="K24" s="6">
        <v>2684</v>
      </c>
      <c r="L24" s="6">
        <v>4412</v>
      </c>
      <c r="M24" s="6"/>
      <c r="N24" s="6"/>
      <c r="O24" s="6">
        <v>2561</v>
      </c>
      <c r="P24" s="6"/>
      <c r="Q24" s="6"/>
      <c r="R24" s="6">
        <v>895</v>
      </c>
      <c r="S24" s="6"/>
      <c r="T24" s="6"/>
      <c r="U24" s="6"/>
      <c r="V24" s="6"/>
      <c r="W24" s="1"/>
      <c r="X24" s="1"/>
      <c r="Y24" s="1"/>
      <c r="Z24" s="1"/>
      <c r="AA24" s="9">
        <v>13400</v>
      </c>
      <c r="AB24" s="224" t="s">
        <v>5</v>
      </c>
      <c r="AC24" s="228">
        <v>13.5</v>
      </c>
      <c r="AD24" s="228"/>
      <c r="AE24" s="225">
        <f t="shared" si="0"/>
        <v>4412</v>
      </c>
      <c r="AF24">
        <f t="shared" si="1"/>
        <v>3.0371713508612874</v>
      </c>
      <c r="AH24" s="165" t="s">
        <v>145</v>
      </c>
      <c r="AI24" s="166"/>
      <c r="AJ24" s="167"/>
      <c r="AS24" s="162"/>
      <c r="AT24" s="162"/>
      <c r="AU24" s="162" t="s">
        <v>146</v>
      </c>
      <c r="AW24" s="163" t="s">
        <v>148</v>
      </c>
      <c r="AX24" s="163" t="s">
        <v>147</v>
      </c>
      <c r="AZ24" s="164"/>
      <c r="BB24" s="164"/>
      <c r="BH24" s="165"/>
      <c r="BI24" s="229">
        <v>39332</v>
      </c>
      <c r="BJ24" s="170">
        <v>200</v>
      </c>
      <c r="BL24" s="171">
        <v>0.9</v>
      </c>
      <c r="BM24" s="172">
        <f>BJ24/BL24</f>
        <v>222.22222222222223</v>
      </c>
      <c r="BO24" s="172">
        <f>(BI24-BI23)*(BJ24+BJ23)</f>
        <v>1200</v>
      </c>
      <c r="BQ24" s="172">
        <f>(BI24-BI23)*(BM24+BM23)</f>
        <v>1333.3333333333335</v>
      </c>
      <c r="BS24" s="165" t="s">
        <v>145</v>
      </c>
      <c r="BT24" s="166"/>
      <c r="BU24" s="167"/>
      <c r="CE24" s="165" t="s">
        <v>130</v>
      </c>
      <c r="CF24" s="167"/>
      <c r="CG24" s="169">
        <v>14.5</v>
      </c>
      <c r="CH24" s="167"/>
      <c r="CJ24" s="169">
        <v>36</v>
      </c>
      <c r="CK24" s="8"/>
      <c r="CL24" s="8"/>
      <c r="CM24" s="8"/>
      <c r="CN24" s="8"/>
      <c r="CQ24" s="165" t="s">
        <v>130</v>
      </c>
      <c r="CR24" s="167"/>
      <c r="CS24" s="169">
        <v>14.5</v>
      </c>
      <c r="CT24" s="167"/>
      <c r="CV24" s="169">
        <v>36</v>
      </c>
      <c r="CW24" s="8"/>
      <c r="CX24" s="8"/>
      <c r="CY24" s="8"/>
      <c r="CZ24" s="8"/>
    </row>
    <row r="25" spans="1:104" x14ac:dyDescent="0.2">
      <c r="A25" s="1">
        <v>2000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>
        <v>3978</v>
      </c>
      <c r="P25" s="6"/>
      <c r="Q25" s="6"/>
      <c r="R25" s="6">
        <v>11876</v>
      </c>
      <c r="S25" s="6"/>
      <c r="T25" s="6">
        <v>4726</v>
      </c>
      <c r="U25" s="6">
        <v>2050</v>
      </c>
      <c r="V25" s="6"/>
      <c r="W25" s="1"/>
      <c r="X25" s="1"/>
      <c r="Y25" s="1"/>
      <c r="Z25" s="1"/>
      <c r="AA25" s="10">
        <v>25100</v>
      </c>
      <c r="AB25" s="224"/>
      <c r="AC25" s="228">
        <v>14.5</v>
      </c>
      <c r="AD25" s="228"/>
      <c r="AE25" s="225">
        <f t="shared" si="0"/>
        <v>11876</v>
      </c>
      <c r="AF25">
        <f t="shared" si="1"/>
        <v>2.113506231054227</v>
      </c>
      <c r="AH25" s="165" t="s">
        <v>127</v>
      </c>
      <c r="AI25" s="185">
        <v>30195</v>
      </c>
      <c r="AJ25" s="167"/>
      <c r="AM25" s="169">
        <v>0</v>
      </c>
      <c r="AS25" s="165"/>
      <c r="AT25" s="166"/>
      <c r="AU25" s="167"/>
      <c r="BH25" s="165"/>
      <c r="BI25" s="229">
        <v>39369</v>
      </c>
      <c r="BJ25" s="170">
        <v>4735</v>
      </c>
      <c r="BL25" s="171">
        <v>0.9</v>
      </c>
      <c r="BM25" s="172">
        <f>BJ25/BL25</f>
        <v>5261.1111111111113</v>
      </c>
      <c r="BO25" s="172">
        <f>(BI25-BI24)*(BJ25+BJ24)</f>
        <v>182595</v>
      </c>
      <c r="BQ25" s="172">
        <f>(BI25-BI24)*(BM25+BM24)</f>
        <v>202883.33333333334</v>
      </c>
      <c r="BS25" s="165" t="s">
        <v>127</v>
      </c>
      <c r="BT25" s="229">
        <v>41153</v>
      </c>
      <c r="BU25" s="167"/>
      <c r="BX25" s="169">
        <v>0</v>
      </c>
      <c r="CE25" s="165" t="s">
        <v>131</v>
      </c>
      <c r="CF25" s="167"/>
      <c r="CG25" s="230">
        <f>(0.5*SUM(CL9:CL21))/CG24</f>
        <v>3614</v>
      </c>
      <c r="CH25" s="167"/>
      <c r="CJ25" s="230">
        <f>(0.5*SUM(CN9:CN21))/CJ24</f>
        <v>1812.6112891737891</v>
      </c>
      <c r="CK25" s="8"/>
      <c r="CL25" s="8"/>
      <c r="CM25" s="8"/>
      <c r="CN25" s="8"/>
      <c r="CQ25" s="165" t="s">
        <v>131</v>
      </c>
      <c r="CR25" s="167"/>
      <c r="CS25" s="230">
        <f>(0.5*SUM(CX9:CX21))/CS24</f>
        <v>18854.275862068964</v>
      </c>
      <c r="CT25" s="167"/>
      <c r="CV25" s="230">
        <f>(0.5*SUM(CZ9:CZ21))/CV24</f>
        <v>8699.7368827160481</v>
      </c>
      <c r="CW25" s="8"/>
      <c r="CX25" s="8"/>
      <c r="CY25" s="8"/>
      <c r="CZ25" s="8"/>
    </row>
    <row r="26" spans="1:104" x14ac:dyDescent="0.2">
      <c r="A26" s="1">
        <v>2001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>
        <v>3533</v>
      </c>
      <c r="R26" s="6"/>
      <c r="S26" s="6">
        <v>2246</v>
      </c>
      <c r="T26" s="6"/>
      <c r="U26" s="6"/>
      <c r="V26" s="6"/>
      <c r="W26" s="1"/>
      <c r="X26" s="1"/>
      <c r="Y26" s="1"/>
      <c r="Z26" s="1"/>
      <c r="AA26" s="7">
        <v>19900</v>
      </c>
      <c r="AB26" s="224" t="s">
        <v>143</v>
      </c>
      <c r="AC26" s="228"/>
      <c r="AD26" s="228"/>
      <c r="AE26" s="225">
        <f t="shared" si="0"/>
        <v>3533</v>
      </c>
      <c r="AH26" s="165"/>
      <c r="AI26" s="185">
        <v>30223</v>
      </c>
      <c r="AJ26" s="170">
        <v>2085</v>
      </c>
      <c r="AL26" s="171">
        <v>0.9</v>
      </c>
      <c r="AM26" s="172">
        <f>AJ26/AL26</f>
        <v>2316.6666666666665</v>
      </c>
      <c r="AO26" s="172">
        <f>(AI26-AI25)*(AJ26+AJ25)</f>
        <v>58380</v>
      </c>
      <c r="AQ26" s="172">
        <f>(AI26-AI25)*(AM26+AM25)</f>
        <v>64866.666666666664</v>
      </c>
      <c r="AS26" s="165" t="s">
        <v>145</v>
      </c>
      <c r="AT26" s="166"/>
      <c r="AU26" s="167"/>
      <c r="BH26" s="173"/>
      <c r="BI26" s="229">
        <v>39381</v>
      </c>
      <c r="BJ26" s="170">
        <v>3187</v>
      </c>
      <c r="BL26" s="171">
        <v>0.9</v>
      </c>
      <c r="BM26" s="172">
        <f>BJ26/BL26</f>
        <v>3541.1111111111109</v>
      </c>
      <c r="BO26" s="172">
        <f>(BI26-BI25)*(BJ26+BJ25)</f>
        <v>95064</v>
      </c>
      <c r="BQ26" s="172">
        <f>(BI26-BI25)*(BM26+BM25)</f>
        <v>105626.66666666667</v>
      </c>
      <c r="BS26" s="165"/>
      <c r="BT26" s="229">
        <v>41179</v>
      </c>
      <c r="BU26" s="170">
        <v>703</v>
      </c>
      <c r="BW26" s="171">
        <v>0.9</v>
      </c>
      <c r="BX26" s="172">
        <f t="shared" ref="BX26:BX31" si="17">BU26/BW26</f>
        <v>781.11111111111109</v>
      </c>
      <c r="BZ26" s="172">
        <f t="shared" ref="BZ26:BZ31" si="18">(BT26-BT25)*(BU26+BU25)</f>
        <v>18278</v>
      </c>
      <c r="CB26" s="172">
        <f t="shared" ref="CB26:CB32" si="19">(BT26-BT25)*(BX26+BX25)</f>
        <v>20308.888888888887</v>
      </c>
    </row>
    <row r="27" spans="1:104" x14ac:dyDescent="0.2">
      <c r="A27" s="1">
        <v>2002</v>
      </c>
      <c r="B27" s="1"/>
      <c r="C27" s="1"/>
      <c r="D27" s="1"/>
      <c r="E27" s="6"/>
      <c r="F27" s="6"/>
      <c r="G27" s="6"/>
      <c r="H27" s="6"/>
      <c r="I27" s="6"/>
      <c r="J27" s="6">
        <v>531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"/>
      <c r="X27" s="1"/>
      <c r="Y27" s="1"/>
      <c r="Z27" s="1"/>
      <c r="AA27" s="7">
        <v>17700</v>
      </c>
      <c r="AB27" s="224" t="s">
        <v>143</v>
      </c>
      <c r="AC27" s="228"/>
      <c r="AD27" s="228"/>
      <c r="AE27" s="225">
        <f t="shared" si="0"/>
        <v>531</v>
      </c>
      <c r="AH27" s="165"/>
      <c r="AI27" s="185">
        <v>30239</v>
      </c>
      <c r="AJ27" s="170">
        <v>13670</v>
      </c>
      <c r="AL27" s="171">
        <v>0.9</v>
      </c>
      <c r="AM27" s="172">
        <f>AJ27/AL27</f>
        <v>15188.888888888889</v>
      </c>
      <c r="AO27" s="172">
        <f>(AI27-AI26)*(AJ27+AJ26)</f>
        <v>252080</v>
      </c>
      <c r="AQ27" s="172">
        <f>(AI27-AI26)*(AM27+AM26)</f>
        <v>280088.88888888888</v>
      </c>
      <c r="AS27" s="165" t="s">
        <v>127</v>
      </c>
      <c r="AT27" s="229">
        <v>33482</v>
      </c>
      <c r="AU27" s="167"/>
      <c r="AX27" s="169">
        <v>0</v>
      </c>
      <c r="BI27" s="229">
        <v>39391</v>
      </c>
      <c r="BJ27" s="170">
        <v>1625</v>
      </c>
      <c r="BL27" s="171">
        <v>0.9</v>
      </c>
      <c r="BM27" s="172">
        <f>BJ27/BL27</f>
        <v>1805.5555555555554</v>
      </c>
      <c r="BO27" s="172">
        <f>(BI27-BI26)*(BJ27+BJ26)</f>
        <v>48120</v>
      </c>
      <c r="BQ27" s="172">
        <f>(BI27-BI26)*(BM27+BM26)</f>
        <v>53466.666666666657</v>
      </c>
      <c r="BS27" s="165"/>
      <c r="BT27" s="229">
        <v>41192</v>
      </c>
      <c r="BU27" s="170">
        <v>2456</v>
      </c>
      <c r="BW27" s="171">
        <v>0.9</v>
      </c>
      <c r="BX27" s="172">
        <f t="shared" si="17"/>
        <v>2728.8888888888887</v>
      </c>
      <c r="BZ27" s="172">
        <f t="shared" si="18"/>
        <v>41067</v>
      </c>
      <c r="CB27" s="172">
        <f t="shared" si="19"/>
        <v>45630</v>
      </c>
      <c r="CG27">
        <f>(0.5*SUM(CL9:CL21))</f>
        <v>52403</v>
      </c>
      <c r="CS27">
        <f>(0.5*SUM(CX9:CX21))</f>
        <v>273387</v>
      </c>
    </row>
    <row r="28" spans="1:104" ht="15" customHeight="1" x14ac:dyDescent="0.2">
      <c r="A28" s="1">
        <v>2003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>
        <v>2333</v>
      </c>
      <c r="P28" s="6"/>
      <c r="Q28" s="6"/>
      <c r="R28" s="6"/>
      <c r="S28" s="6"/>
      <c r="T28" s="6"/>
      <c r="U28" s="6"/>
      <c r="V28" s="6"/>
      <c r="W28" s="1"/>
      <c r="X28" s="1"/>
      <c r="Y28" s="1"/>
      <c r="Z28" s="1"/>
      <c r="AA28" s="7">
        <v>3300</v>
      </c>
      <c r="AB28" s="224"/>
      <c r="AC28" s="228"/>
      <c r="AD28" s="228"/>
      <c r="AE28" s="225">
        <f t="shared" si="0"/>
        <v>2333</v>
      </c>
      <c r="AF28">
        <f t="shared" si="1"/>
        <v>1.4144877839691385</v>
      </c>
      <c r="AH28" s="173"/>
      <c r="AI28" s="185">
        <v>30257</v>
      </c>
      <c r="AJ28" s="170">
        <v>14490</v>
      </c>
      <c r="AL28" s="171">
        <v>0.9</v>
      </c>
      <c r="AM28" s="172">
        <f>AJ28/AL28</f>
        <v>16100</v>
      </c>
      <c r="AO28" s="172">
        <f>(AI28-AI27)*(AJ28+AJ27)</f>
        <v>506880</v>
      </c>
      <c r="AQ28" s="172">
        <f>(AI28-AI27)*(AM28+AM27)</f>
        <v>563200</v>
      </c>
      <c r="AS28" s="165"/>
      <c r="AT28" s="229">
        <v>33500</v>
      </c>
      <c r="AU28" s="170">
        <v>1073</v>
      </c>
      <c r="AW28" s="171">
        <v>0.9</v>
      </c>
      <c r="AX28" s="172">
        <f t="shared" ref="AX28:AX35" si="20">AU28/AW28</f>
        <v>1192.2222222222222</v>
      </c>
      <c r="AZ28" s="172">
        <f t="shared" ref="AZ28:AZ36" si="21">(AT28-AT27)*(AU28+AU27)</f>
        <v>19314</v>
      </c>
      <c r="BB28" s="172">
        <f t="shared" ref="BB28:BB36" si="22">(AT28-AT27)*(AX28+AX27)</f>
        <v>21460</v>
      </c>
      <c r="BH28" s="165" t="s">
        <v>128</v>
      </c>
      <c r="BI28" s="229">
        <v>39417</v>
      </c>
      <c r="BJ28" s="176"/>
      <c r="BL28" s="177"/>
      <c r="BM28" s="178">
        <v>0</v>
      </c>
      <c r="BN28" s="179"/>
      <c r="BO28" s="172">
        <f>(BI28-BI27)*(BJ28+BJ27)</f>
        <v>42250</v>
      </c>
      <c r="BQ28" s="172">
        <f>(BI28-BI27)*(BM28+BM27)</f>
        <v>46944.444444444438</v>
      </c>
      <c r="BS28" s="173"/>
      <c r="BT28" s="229">
        <v>41206</v>
      </c>
      <c r="BU28" s="170">
        <v>6173</v>
      </c>
      <c r="BW28" s="171">
        <v>0.9</v>
      </c>
      <c r="BX28" s="172">
        <f t="shared" si="17"/>
        <v>6858.8888888888887</v>
      </c>
      <c r="BZ28" s="172">
        <f t="shared" si="18"/>
        <v>120806</v>
      </c>
      <c r="CB28" s="172">
        <f t="shared" si="19"/>
        <v>134228.88888888888</v>
      </c>
    </row>
    <row r="29" spans="1:104" x14ac:dyDescent="0.2">
      <c r="A29" s="1">
        <v>2004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"/>
      <c r="X29" s="1"/>
      <c r="Y29" s="1"/>
      <c r="Z29" s="1"/>
      <c r="AA29" s="11">
        <v>2600</v>
      </c>
      <c r="AB29" s="224" t="s">
        <v>149</v>
      </c>
      <c r="AC29" s="228"/>
      <c r="AD29" s="228"/>
      <c r="AE29" s="225"/>
      <c r="AI29" s="185">
        <v>30286</v>
      </c>
      <c r="AJ29" s="170">
        <v>0</v>
      </c>
      <c r="AL29" s="171">
        <v>0.9</v>
      </c>
      <c r="AM29" s="172">
        <f>AJ29/AL29</f>
        <v>0</v>
      </c>
      <c r="AO29" s="172">
        <f>(AI29-AI28)*(AJ29+AJ28)</f>
        <v>420210</v>
      </c>
      <c r="AQ29" s="172">
        <f>(AI29-AI28)*(AM29+AM28)</f>
        <v>466900</v>
      </c>
      <c r="AS29" s="165"/>
      <c r="AT29" s="229">
        <v>33506</v>
      </c>
      <c r="AU29" s="170">
        <v>1073</v>
      </c>
      <c r="AW29" s="171">
        <v>0.9</v>
      </c>
      <c r="AX29" s="172">
        <f t="shared" si="20"/>
        <v>1192.2222222222222</v>
      </c>
      <c r="AZ29" s="172">
        <f t="shared" si="21"/>
        <v>12876</v>
      </c>
      <c r="BB29" s="172">
        <f t="shared" si="22"/>
        <v>14306.666666666666</v>
      </c>
      <c r="BH29" s="165" t="s">
        <v>2</v>
      </c>
      <c r="BI29" s="167">
        <v>7</v>
      </c>
      <c r="BJ29" s="167"/>
      <c r="BK29" s="167"/>
      <c r="BT29" s="229">
        <v>41214</v>
      </c>
      <c r="BU29" s="170">
        <v>3143</v>
      </c>
      <c r="BW29" s="171">
        <v>0.9</v>
      </c>
      <c r="BX29" s="172">
        <f t="shared" si="17"/>
        <v>3492.2222222222222</v>
      </c>
      <c r="BZ29" s="172">
        <f t="shared" si="18"/>
        <v>74528</v>
      </c>
      <c r="CB29" s="172">
        <f t="shared" si="19"/>
        <v>82808.888888888891</v>
      </c>
      <c r="CE29" s="299" t="s">
        <v>9</v>
      </c>
      <c r="CG29" s="249">
        <f>MAX(CG9:CG20)</f>
        <v>1395</v>
      </c>
      <c r="CJ29" s="249">
        <f>MAX(CJ9:CJ20)</f>
        <v>1743.75</v>
      </c>
      <c r="CQ29" s="299" t="s">
        <v>9</v>
      </c>
      <c r="CS29" s="169">
        <v>14983</v>
      </c>
      <c r="CV29" s="249">
        <f>MAX(CV9:CV20)</f>
        <v>16206.666666666666</v>
      </c>
    </row>
    <row r="30" spans="1:104" x14ac:dyDescent="0.2">
      <c r="A30" s="1">
        <v>2005</v>
      </c>
      <c r="B30" s="1"/>
      <c r="C30" s="1"/>
      <c r="D30" s="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>
        <v>809</v>
      </c>
      <c r="Q30" s="6"/>
      <c r="R30" s="6"/>
      <c r="S30" s="6">
        <v>136</v>
      </c>
      <c r="T30" s="6"/>
      <c r="U30" s="6"/>
      <c r="V30" s="6"/>
      <c r="W30" s="1"/>
      <c r="X30" s="1"/>
      <c r="Y30" s="1"/>
      <c r="Z30" s="1"/>
      <c r="AA30" s="11">
        <v>1300</v>
      </c>
      <c r="AB30" s="224"/>
      <c r="AC30" s="234"/>
      <c r="AD30" s="234"/>
      <c r="AE30" s="225">
        <f t="shared" si="0"/>
        <v>809</v>
      </c>
      <c r="AF30">
        <f t="shared" si="1"/>
        <v>1.6069221260815822</v>
      </c>
      <c r="AH30" s="165" t="s">
        <v>128</v>
      </c>
      <c r="AI30" s="229"/>
      <c r="AJ30" s="176"/>
      <c r="AL30" s="177"/>
      <c r="AM30" s="178">
        <v>0</v>
      </c>
      <c r="AN30" s="179"/>
      <c r="AO30" s="172">
        <f>(AI30-AI38)*(AJ30+AJ38)</f>
        <v>0</v>
      </c>
      <c r="AQ30" s="172">
        <f>(AI30-AI38)*(AM30+AM38)</f>
        <v>0</v>
      </c>
      <c r="AS30" s="173"/>
      <c r="AT30" s="229">
        <v>33535</v>
      </c>
      <c r="AU30" s="170">
        <v>6540</v>
      </c>
      <c r="AW30" s="171">
        <v>0.9</v>
      </c>
      <c r="AX30" s="172">
        <f t="shared" si="20"/>
        <v>7266.6666666666661</v>
      </c>
      <c r="AZ30" s="172">
        <f t="shared" si="21"/>
        <v>220777</v>
      </c>
      <c r="BB30" s="172">
        <f t="shared" si="22"/>
        <v>245307.77777777778</v>
      </c>
      <c r="BH30" s="165" t="s">
        <v>129</v>
      </c>
      <c r="BI30" s="167"/>
      <c r="BJ30" s="167">
        <f>MAX(BJ23:BJ28)</f>
        <v>4735</v>
      </c>
      <c r="BK30" s="167"/>
      <c r="BL30" s="167"/>
      <c r="BM30" s="167">
        <f>MAX(BM23:BM28)</f>
        <v>5261.1111111111113</v>
      </c>
      <c r="BN30" s="167"/>
      <c r="BO30" s="167"/>
      <c r="BT30" s="229">
        <v>41219</v>
      </c>
      <c r="BU30" s="170">
        <v>1398</v>
      </c>
      <c r="BW30" s="171">
        <v>0.9</v>
      </c>
      <c r="BX30" s="172">
        <f t="shared" si="17"/>
        <v>1553.3333333333333</v>
      </c>
      <c r="BZ30" s="172">
        <f t="shared" si="18"/>
        <v>22705</v>
      </c>
      <c r="CB30" s="172">
        <f t="shared" si="19"/>
        <v>25227.777777777777</v>
      </c>
      <c r="CE30" s="299" t="s">
        <v>250</v>
      </c>
      <c r="CG30" s="370">
        <v>37</v>
      </c>
      <c r="CJ30" s="370">
        <v>38</v>
      </c>
      <c r="CQ30" s="299" t="s">
        <v>250</v>
      </c>
      <c r="CS30" s="370">
        <v>37</v>
      </c>
      <c r="CV30" s="370">
        <v>38</v>
      </c>
    </row>
    <row r="31" spans="1:104" x14ac:dyDescent="0.2">
      <c r="A31" s="1">
        <v>2006</v>
      </c>
      <c r="B31" s="1"/>
      <c r="C31" s="1"/>
      <c r="D31" s="1"/>
      <c r="E31" s="6"/>
      <c r="F31" s="6"/>
      <c r="G31" s="6"/>
      <c r="H31" s="6"/>
      <c r="I31" s="6"/>
      <c r="J31" s="6"/>
      <c r="K31" s="6">
        <v>307</v>
      </c>
      <c r="L31" s="6"/>
      <c r="M31" s="6"/>
      <c r="N31" s="6">
        <v>158</v>
      </c>
      <c r="O31" s="6"/>
      <c r="P31" s="6"/>
      <c r="Q31" s="6">
        <v>1055</v>
      </c>
      <c r="R31" s="6"/>
      <c r="S31" s="6"/>
      <c r="T31" s="6"/>
      <c r="U31" s="6"/>
      <c r="V31" s="6"/>
      <c r="W31" s="1"/>
      <c r="X31" s="1"/>
      <c r="Y31" s="1"/>
      <c r="Z31" s="1"/>
      <c r="AA31" s="12">
        <v>3600</v>
      </c>
      <c r="AB31" s="224"/>
      <c r="AC31" s="235"/>
      <c r="AD31" s="235"/>
      <c r="AE31" s="225">
        <f t="shared" si="0"/>
        <v>1055</v>
      </c>
      <c r="AF31">
        <f t="shared" si="1"/>
        <v>3.4123222748815167</v>
      </c>
      <c r="AH31" s="165" t="s">
        <v>2</v>
      </c>
      <c r="AI31" s="167">
        <v>7</v>
      </c>
      <c r="AJ31" s="167"/>
      <c r="AK31" s="167"/>
      <c r="AT31" s="229">
        <v>33542</v>
      </c>
      <c r="AU31" s="170">
        <v>12164</v>
      </c>
      <c r="AW31" s="171">
        <v>0.9</v>
      </c>
      <c r="AX31" s="172">
        <f t="shared" si="20"/>
        <v>13515.555555555555</v>
      </c>
      <c r="AZ31" s="172">
        <f t="shared" si="21"/>
        <v>130928</v>
      </c>
      <c r="BB31" s="172">
        <f t="shared" si="22"/>
        <v>145475.55555555553</v>
      </c>
      <c r="BH31" s="165" t="s">
        <v>130</v>
      </c>
      <c r="BI31" s="167"/>
      <c r="BJ31" s="169">
        <v>14.7</v>
      </c>
      <c r="BK31" s="167"/>
      <c r="BM31" s="169">
        <v>15</v>
      </c>
      <c r="BN31" s="8"/>
      <c r="BO31" s="8"/>
      <c r="BT31" s="229">
        <v>41239</v>
      </c>
      <c r="BU31" s="170">
        <v>4</v>
      </c>
      <c r="BW31" s="171">
        <v>0.9</v>
      </c>
      <c r="BX31" s="172">
        <f t="shared" si="17"/>
        <v>4.4444444444444446</v>
      </c>
      <c r="BZ31" s="172">
        <f t="shared" si="18"/>
        <v>28040</v>
      </c>
      <c r="CB31" s="172">
        <f t="shared" si="19"/>
        <v>31155.555555555551</v>
      </c>
    </row>
    <row r="32" spans="1:104" x14ac:dyDescent="0.2">
      <c r="A32" s="1">
        <v>2007</v>
      </c>
      <c r="B32" s="1"/>
      <c r="C32" s="1"/>
      <c r="D32" s="1"/>
      <c r="E32" s="6"/>
      <c r="F32" s="6"/>
      <c r="G32" s="6"/>
      <c r="H32" s="6"/>
      <c r="I32" s="6">
        <v>200</v>
      </c>
      <c r="J32" s="6"/>
      <c r="K32" s="6"/>
      <c r="L32" s="6"/>
      <c r="M32" s="6"/>
      <c r="N32" s="6"/>
      <c r="O32" s="6">
        <v>4735</v>
      </c>
      <c r="P32" s="6">
        <v>3187</v>
      </c>
      <c r="Q32" s="6"/>
      <c r="R32" s="6">
        <v>1625</v>
      </c>
      <c r="S32" s="6"/>
      <c r="T32" s="6"/>
      <c r="U32" s="6"/>
      <c r="V32" s="6"/>
      <c r="W32" s="1"/>
      <c r="X32" s="1"/>
      <c r="Y32" s="1"/>
      <c r="Z32" s="1"/>
      <c r="AA32" s="12">
        <v>12500</v>
      </c>
      <c r="AB32" s="224" t="s">
        <v>5</v>
      </c>
      <c r="AC32" s="235">
        <v>14.7</v>
      </c>
      <c r="AD32" s="235"/>
      <c r="AE32" s="225">
        <f t="shared" si="0"/>
        <v>4735</v>
      </c>
      <c r="AF32">
        <f t="shared" si="1"/>
        <v>2.6399155227032733</v>
      </c>
      <c r="AH32" s="165" t="s">
        <v>129</v>
      </c>
      <c r="AI32" s="167"/>
      <c r="AJ32" s="167">
        <f>MAX(AJ25:AJ30)</f>
        <v>14490</v>
      </c>
      <c r="AK32" s="167"/>
      <c r="AL32" s="167"/>
      <c r="AM32" s="167">
        <f>MAX(AM25:AM30)</f>
        <v>16100</v>
      </c>
      <c r="AN32" s="167"/>
      <c r="AO32" s="167"/>
      <c r="AP32" s="180"/>
      <c r="AT32" s="229">
        <v>33549</v>
      </c>
      <c r="AU32" s="170">
        <v>239</v>
      </c>
      <c r="AW32" s="171">
        <v>0.9</v>
      </c>
      <c r="AX32" s="172">
        <f t="shared" si="20"/>
        <v>265.55555555555554</v>
      </c>
      <c r="AZ32" s="172">
        <f t="shared" si="21"/>
        <v>86821</v>
      </c>
      <c r="BB32" s="172">
        <f t="shared" si="22"/>
        <v>96467.777777777766</v>
      </c>
      <c r="BH32" s="165" t="s">
        <v>131</v>
      </c>
      <c r="BI32" s="167"/>
      <c r="BJ32" s="230">
        <f>(0.5*SUM(BO24:BO28))/BJ31</f>
        <v>12558.809523809525</v>
      </c>
      <c r="BK32" s="167"/>
      <c r="BM32" s="230">
        <f>(0.5*SUM(BQ24:BQ28))/BM31</f>
        <v>13675.148148148148</v>
      </c>
      <c r="BN32" s="8"/>
      <c r="BO32" s="8"/>
      <c r="BS32" s="165" t="s">
        <v>128</v>
      </c>
      <c r="BT32" s="229">
        <v>41244</v>
      </c>
      <c r="BU32" s="176"/>
      <c r="BW32" s="177"/>
      <c r="BX32" s="178">
        <v>0</v>
      </c>
      <c r="BY32" s="179"/>
      <c r="BZ32" s="172">
        <f>(BT32-BT31)*(BU32+BU31)</f>
        <v>20</v>
      </c>
      <c r="CB32" s="172">
        <f t="shared" si="19"/>
        <v>22.222222222222221</v>
      </c>
      <c r="CQ32" t="s">
        <v>563</v>
      </c>
    </row>
    <row r="33" spans="1:95" ht="15" x14ac:dyDescent="0.25">
      <c r="A33" s="1">
        <v>2008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>
        <v>5690</v>
      </c>
      <c r="M33" s="1"/>
      <c r="N33" s="1">
        <v>2050</v>
      </c>
      <c r="O33" s="1"/>
      <c r="P33" s="1">
        <v>3870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>
        <v>13100</v>
      </c>
      <c r="AB33" s="224" t="s">
        <v>5</v>
      </c>
      <c r="AC33" s="228">
        <v>18.5</v>
      </c>
      <c r="AD33" s="228"/>
      <c r="AE33" s="225">
        <f t="shared" si="0"/>
        <v>5690</v>
      </c>
      <c r="AF33">
        <f t="shared" si="1"/>
        <v>2.3022847100175747</v>
      </c>
      <c r="AH33" s="165" t="s">
        <v>130</v>
      </c>
      <c r="AI33" s="167"/>
      <c r="AJ33" s="169">
        <v>17</v>
      </c>
      <c r="AK33" s="167"/>
      <c r="AM33" s="169">
        <v>30</v>
      </c>
      <c r="AN33" s="8"/>
      <c r="AO33" s="8"/>
      <c r="AP33" s="8"/>
      <c r="AQ33" s="8"/>
      <c r="AT33" s="229">
        <v>33557</v>
      </c>
      <c r="AU33" s="170">
        <v>24426</v>
      </c>
      <c r="AW33" s="171">
        <v>0.9</v>
      </c>
      <c r="AX33" s="172">
        <f t="shared" si="20"/>
        <v>27140</v>
      </c>
      <c r="AZ33" s="172">
        <f t="shared" si="21"/>
        <v>197320</v>
      </c>
      <c r="BB33" s="172">
        <f t="shared" si="22"/>
        <v>219244.44444444444</v>
      </c>
      <c r="BS33" s="165" t="s">
        <v>2</v>
      </c>
      <c r="BT33" s="167">
        <v>7</v>
      </c>
      <c r="BU33" s="167"/>
      <c r="BV33" s="167"/>
      <c r="CE33" s="1013" t="s">
        <v>117</v>
      </c>
      <c r="CF33" s="1013" t="s">
        <v>118</v>
      </c>
      <c r="CG33" s="823" t="s">
        <v>119</v>
      </c>
      <c r="CI33" s="1012" t="s">
        <v>120</v>
      </c>
      <c r="CJ33" s="1012"/>
      <c r="CL33" s="160" t="s">
        <v>121</v>
      </c>
      <c r="CM33" s="160"/>
      <c r="CN33" s="161" t="s">
        <v>122</v>
      </c>
      <c r="CQ33">
        <v>17816</v>
      </c>
    </row>
    <row r="34" spans="1:95" ht="15" customHeight="1" x14ac:dyDescent="0.25">
      <c r="A34" s="1">
        <v>2009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v>5264</v>
      </c>
      <c r="M34" s="1"/>
      <c r="N34" s="1"/>
      <c r="O34" s="1"/>
      <c r="P34" s="1">
        <v>15055</v>
      </c>
      <c r="Q34" s="1">
        <v>18318</v>
      </c>
      <c r="R34" s="1"/>
      <c r="S34" s="1">
        <v>1073</v>
      </c>
      <c r="T34" s="1"/>
      <c r="U34" s="1"/>
      <c r="V34" s="1"/>
      <c r="W34" s="1"/>
      <c r="X34" s="1"/>
      <c r="Y34" s="1"/>
      <c r="Z34" s="1"/>
      <c r="AA34" s="1">
        <v>30000</v>
      </c>
      <c r="AB34" s="224" t="s">
        <v>5</v>
      </c>
      <c r="AC34" s="228"/>
      <c r="AD34" s="228"/>
      <c r="AE34" s="225">
        <f t="shared" si="0"/>
        <v>18318</v>
      </c>
      <c r="AF34">
        <f t="shared" si="1"/>
        <v>1.6377333770062235</v>
      </c>
      <c r="AH34" s="165" t="s">
        <v>131</v>
      </c>
      <c r="AI34" s="167"/>
      <c r="AJ34" s="230">
        <f>(0.5*SUM(AO26:AO29))/AJ33</f>
        <v>36398.529411764706</v>
      </c>
      <c r="AK34" s="167"/>
      <c r="AM34" s="230">
        <f>(0.5*SUM(AQ26:AQ29))/AM33</f>
        <v>22917.592592592591</v>
      </c>
      <c r="AN34" s="8"/>
      <c r="AO34" s="8"/>
      <c r="AP34" s="8"/>
      <c r="AQ34" s="8"/>
      <c r="AT34" s="229">
        <v>33569</v>
      </c>
      <c r="AU34" s="170">
        <v>4522</v>
      </c>
      <c r="AW34" s="171">
        <v>0.9</v>
      </c>
      <c r="AX34" s="172">
        <f t="shared" si="20"/>
        <v>5024.4444444444443</v>
      </c>
      <c r="AZ34" s="172">
        <f t="shared" si="21"/>
        <v>347376</v>
      </c>
      <c r="BB34" s="172">
        <f t="shared" si="22"/>
        <v>385973.33333333337</v>
      </c>
      <c r="BH34" s="222" t="s">
        <v>117</v>
      </c>
      <c r="BI34" s="222" t="s">
        <v>118</v>
      </c>
      <c r="BJ34" s="157" t="s">
        <v>119</v>
      </c>
      <c r="BL34" s="157" t="s">
        <v>120</v>
      </c>
      <c r="BM34" s="157"/>
      <c r="BO34" s="160" t="s">
        <v>121</v>
      </c>
      <c r="BQ34" s="161" t="s">
        <v>122</v>
      </c>
      <c r="BS34" s="165" t="s">
        <v>129</v>
      </c>
      <c r="BT34" s="167"/>
      <c r="BU34" s="167">
        <f>MAX(BU25:BU32)</f>
        <v>6173</v>
      </c>
      <c r="BV34" s="167"/>
      <c r="BW34" s="167"/>
      <c r="BX34" s="167">
        <f>MAX(BX25:BX32)</f>
        <v>6858.8888888888887</v>
      </c>
      <c r="BY34" s="167"/>
      <c r="BZ34" s="167"/>
      <c r="CA34" s="180"/>
      <c r="CE34" s="1014"/>
      <c r="CF34" s="1014"/>
      <c r="CG34" s="824" t="s">
        <v>146</v>
      </c>
      <c r="CI34" s="163" t="s">
        <v>148</v>
      </c>
      <c r="CJ34" s="163" t="s">
        <v>147</v>
      </c>
      <c r="CL34" s="164"/>
      <c r="CN34" s="164"/>
    </row>
    <row r="35" spans="1:95" x14ac:dyDescent="0.2">
      <c r="A35" s="1">
        <v>2010</v>
      </c>
      <c r="B35" s="1"/>
      <c r="C35" s="1"/>
      <c r="D35" s="1"/>
      <c r="E35" s="1"/>
      <c r="F35" s="1"/>
      <c r="G35" s="1"/>
      <c r="H35" s="1"/>
      <c r="I35" s="1"/>
      <c r="J35" s="1"/>
      <c r="K35" s="1">
        <v>31</v>
      </c>
      <c r="L35" s="1"/>
      <c r="M35" s="1"/>
      <c r="N35" s="1"/>
      <c r="O35" s="1">
        <v>18991</v>
      </c>
      <c r="P35" s="1"/>
      <c r="Q35" s="1"/>
      <c r="R35" s="1">
        <v>29651</v>
      </c>
      <c r="S35" s="1"/>
      <c r="T35" s="1"/>
      <c r="U35" s="1"/>
      <c r="V35" s="1"/>
      <c r="W35" s="1"/>
      <c r="X35" s="1"/>
      <c r="Y35" s="1"/>
      <c r="Z35" s="1"/>
      <c r="AA35" s="1">
        <v>45000</v>
      </c>
      <c r="AB35" s="224" t="s">
        <v>5</v>
      </c>
      <c r="AC35" s="228"/>
      <c r="AD35" s="228"/>
      <c r="AE35" s="225">
        <f t="shared" si="0"/>
        <v>29651</v>
      </c>
      <c r="AF35">
        <f t="shared" si="1"/>
        <v>1.5176553910492057</v>
      </c>
      <c r="AH35" s="174"/>
      <c r="AI35" s="185"/>
      <c r="AJ35" s="170"/>
      <c r="AL35" s="171"/>
      <c r="AM35" s="172"/>
      <c r="AO35" s="172"/>
      <c r="AQ35" s="172"/>
      <c r="AT35" s="229">
        <v>33573</v>
      </c>
      <c r="AU35" s="170">
        <v>0</v>
      </c>
      <c r="AW35" s="171">
        <v>0.9</v>
      </c>
      <c r="AX35" s="172">
        <f t="shared" si="20"/>
        <v>0</v>
      </c>
      <c r="AZ35" s="172">
        <f t="shared" si="21"/>
        <v>18088</v>
      </c>
      <c r="BB35" s="172">
        <f t="shared" si="22"/>
        <v>20097.777777777777</v>
      </c>
      <c r="BH35" s="162"/>
      <c r="BI35" s="162"/>
      <c r="BJ35" s="162" t="s">
        <v>146</v>
      </c>
      <c r="BL35" s="163" t="s">
        <v>148</v>
      </c>
      <c r="BM35" s="163" t="s">
        <v>147</v>
      </c>
      <c r="BO35" s="164"/>
      <c r="BQ35" s="164"/>
      <c r="BS35" s="165" t="s">
        <v>130</v>
      </c>
      <c r="BT35" s="167"/>
      <c r="BU35" s="169">
        <v>15.5</v>
      </c>
      <c r="BV35" s="167"/>
      <c r="BX35" s="169">
        <v>20</v>
      </c>
      <c r="BY35" s="8"/>
      <c r="BZ35" s="8"/>
      <c r="CA35" s="8"/>
      <c r="CB35" s="8"/>
      <c r="CE35" s="165"/>
      <c r="CF35" s="166"/>
      <c r="CG35" s="167"/>
    </row>
    <row r="36" spans="1:95" ht="17.25" customHeight="1" x14ac:dyDescent="0.25">
      <c r="A36" s="1">
        <v>2011</v>
      </c>
      <c r="B36" s="1"/>
      <c r="C36" s="1"/>
      <c r="D36" s="1"/>
      <c r="E36" s="1"/>
      <c r="F36" s="1"/>
      <c r="G36" s="1"/>
      <c r="H36" s="1"/>
      <c r="I36" s="1"/>
      <c r="J36" s="1"/>
      <c r="K36" s="1">
        <v>1827</v>
      </c>
      <c r="L36" s="1"/>
      <c r="M36" s="1"/>
      <c r="N36" s="1">
        <v>17541</v>
      </c>
      <c r="O36" s="1">
        <v>3464</v>
      </c>
      <c r="P36" s="1"/>
      <c r="Q36" s="1">
        <v>10329</v>
      </c>
      <c r="R36" s="1"/>
      <c r="S36" s="1"/>
      <c r="T36" s="1"/>
      <c r="U36" s="1"/>
      <c r="V36" s="1"/>
      <c r="W36" s="1"/>
      <c r="X36" s="1"/>
      <c r="Y36" s="1"/>
      <c r="Z36" s="1"/>
      <c r="AA36" s="1">
        <v>20422</v>
      </c>
      <c r="AB36" s="224" t="s">
        <v>5</v>
      </c>
      <c r="AC36" s="228">
        <v>25</v>
      </c>
      <c r="AD36" s="228"/>
      <c r="AE36" s="225">
        <f t="shared" si="0"/>
        <v>17541</v>
      </c>
      <c r="AF36">
        <f t="shared" si="1"/>
        <v>1.1642437717347929</v>
      </c>
      <c r="AG36" t="s">
        <v>144</v>
      </c>
      <c r="AH36" s="222" t="s">
        <v>117</v>
      </c>
      <c r="AI36" s="222" t="s">
        <v>118</v>
      </c>
      <c r="AJ36" s="157" t="s">
        <v>119</v>
      </c>
      <c r="AL36" s="157" t="s">
        <v>120</v>
      </c>
      <c r="AM36" s="157"/>
      <c r="AO36" s="160" t="s">
        <v>121</v>
      </c>
      <c r="AP36" s="160"/>
      <c r="AQ36" s="161" t="s">
        <v>122</v>
      </c>
      <c r="AS36" s="165" t="s">
        <v>128</v>
      </c>
      <c r="AT36" s="229"/>
      <c r="AU36" s="176"/>
      <c r="AW36" s="177"/>
      <c r="AX36" s="178">
        <v>0</v>
      </c>
      <c r="AY36" s="179"/>
      <c r="AZ36" s="172">
        <f t="shared" si="21"/>
        <v>0</v>
      </c>
      <c r="BB36" s="172">
        <f t="shared" si="22"/>
        <v>0</v>
      </c>
      <c r="BH36" s="165"/>
      <c r="BI36" s="166"/>
      <c r="BJ36" s="167"/>
      <c r="BS36" s="165" t="s">
        <v>131</v>
      </c>
      <c r="BT36" s="167"/>
      <c r="BU36" s="230">
        <f>(0.5*SUM(BZ26:BZ32))/BU35</f>
        <v>9853.032258064517</v>
      </c>
      <c r="BV36" s="167"/>
      <c r="BX36" s="230">
        <f>(0.5*SUM(CB26:CB32))/BX35</f>
        <v>8484.5555555555547</v>
      </c>
      <c r="BY36" s="8"/>
      <c r="BZ36" s="8"/>
      <c r="CA36" s="8"/>
      <c r="CB36" s="8"/>
      <c r="CE36" s="165" t="s">
        <v>145</v>
      </c>
      <c r="CF36" s="166"/>
      <c r="CG36" s="167"/>
    </row>
    <row r="37" spans="1:95" ht="16.5" customHeight="1" x14ac:dyDescent="0.2">
      <c r="A37" s="1">
        <v>2012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>
        <v>703</v>
      </c>
      <c r="M37" s="1"/>
      <c r="N37" s="1">
        <v>2456</v>
      </c>
      <c r="O37" s="1"/>
      <c r="P37" s="1">
        <v>6173</v>
      </c>
      <c r="Q37" s="1">
        <v>3143</v>
      </c>
      <c r="R37" s="1">
        <v>1398</v>
      </c>
      <c r="S37" s="1"/>
      <c r="T37" s="1"/>
      <c r="U37" s="1">
        <v>4</v>
      </c>
      <c r="V37" s="1"/>
      <c r="W37" s="1"/>
      <c r="X37" s="1"/>
      <c r="Y37" s="1"/>
      <c r="Z37" s="1"/>
      <c r="AA37" s="1">
        <v>17132</v>
      </c>
      <c r="AB37" s="224" t="s">
        <v>5</v>
      </c>
      <c r="AC37" s="228">
        <v>15.5</v>
      </c>
      <c r="AD37" s="228"/>
      <c r="AE37" s="225">
        <f t="shared" si="0"/>
        <v>6173</v>
      </c>
      <c r="AF37">
        <f t="shared" si="1"/>
        <v>2.775311841892111</v>
      </c>
      <c r="AG37">
        <v>19102</v>
      </c>
      <c r="AH37" s="162"/>
      <c r="AI37" s="162"/>
      <c r="AJ37" s="162" t="s">
        <v>146</v>
      </c>
      <c r="AL37" s="163" t="s">
        <v>148</v>
      </c>
      <c r="AM37" s="163" t="s">
        <v>147</v>
      </c>
      <c r="AO37" s="164"/>
      <c r="AQ37" s="164"/>
      <c r="AS37" s="165" t="s">
        <v>2</v>
      </c>
      <c r="AT37" s="167">
        <v>7</v>
      </c>
      <c r="AU37" s="167"/>
      <c r="AV37" s="167"/>
      <c r="BH37" s="165" t="s">
        <v>145</v>
      </c>
      <c r="BI37" s="166"/>
      <c r="BJ37" s="167"/>
      <c r="BS37" s="299" t="s">
        <v>5</v>
      </c>
      <c r="BU37">
        <f>0.5*(SUM(BZ26:BZ32))</f>
        <v>152722</v>
      </c>
      <c r="CE37" s="165" t="s">
        <v>127</v>
      </c>
      <c r="CF37" s="185">
        <v>44440</v>
      </c>
      <c r="CG37" s="167"/>
      <c r="CJ37" s="169">
        <v>0</v>
      </c>
    </row>
    <row r="38" spans="1:95" ht="15" x14ac:dyDescent="0.25">
      <c r="A38" s="1">
        <v>2013</v>
      </c>
      <c r="B38" s="1"/>
      <c r="C38" s="1"/>
      <c r="D38" s="1"/>
      <c r="E38" s="1"/>
      <c r="F38" s="1"/>
      <c r="G38" s="1"/>
      <c r="H38" s="1"/>
      <c r="I38" s="13"/>
      <c r="J38" s="13"/>
      <c r="K38" s="13">
        <v>1640</v>
      </c>
      <c r="L38" s="13">
        <v>3452</v>
      </c>
      <c r="M38" s="13"/>
      <c r="N38" s="13">
        <v>5069</v>
      </c>
      <c r="O38" s="13">
        <v>3808</v>
      </c>
      <c r="P38" s="13"/>
      <c r="Q38" s="13">
        <v>1287</v>
      </c>
      <c r="R38" s="13"/>
      <c r="S38" s="13"/>
      <c r="T38" s="13">
        <v>1</v>
      </c>
      <c r="U38" s="13"/>
      <c r="V38" s="1"/>
      <c r="W38" s="1"/>
      <c r="X38" s="1"/>
      <c r="Y38" s="1"/>
      <c r="Z38" s="1"/>
      <c r="AA38" s="1">
        <v>15808</v>
      </c>
      <c r="AB38" s="224" t="s">
        <v>5</v>
      </c>
      <c r="AC38" s="228">
        <v>10.5</v>
      </c>
      <c r="AD38" s="228"/>
      <c r="AE38" s="225">
        <f t="shared" si="0"/>
        <v>5069</v>
      </c>
      <c r="AF38">
        <f t="shared" si="1"/>
        <v>3.1185638192937462</v>
      </c>
      <c r="AH38" s="165"/>
      <c r="AI38" s="166"/>
      <c r="AJ38" s="167"/>
      <c r="AS38" s="165" t="s">
        <v>129</v>
      </c>
      <c r="AT38" s="167"/>
      <c r="AU38" s="167">
        <f>MAX(AU27:AU36)</f>
        <v>24426</v>
      </c>
      <c r="AV38" s="167"/>
      <c r="AW38" s="167"/>
      <c r="AX38" s="167">
        <f>MAX(AX27:AX36)</f>
        <v>27140</v>
      </c>
      <c r="AY38" s="167"/>
      <c r="AZ38" s="167"/>
      <c r="BH38" s="165" t="s">
        <v>127</v>
      </c>
      <c r="BI38" s="229">
        <v>39692</v>
      </c>
      <c r="BJ38" s="167"/>
      <c r="BM38" s="169">
        <v>0</v>
      </c>
      <c r="BS38" s="1013" t="s">
        <v>117</v>
      </c>
      <c r="BT38" s="1013" t="s">
        <v>118</v>
      </c>
      <c r="BU38" s="157" t="s">
        <v>119</v>
      </c>
      <c r="BW38" s="1012" t="s">
        <v>120</v>
      </c>
      <c r="BX38" s="1012"/>
      <c r="BZ38" s="160" t="s">
        <v>121</v>
      </c>
      <c r="CA38" s="160"/>
      <c r="CB38" s="161" t="s">
        <v>122</v>
      </c>
      <c r="CE38" s="165"/>
      <c r="CF38" s="185">
        <v>44448</v>
      </c>
      <c r="CG38" s="167">
        <v>758</v>
      </c>
      <c r="CI38" s="578">
        <v>0.8</v>
      </c>
      <c r="CJ38" s="172">
        <f t="shared" ref="CJ38" si="23">CG38/CI38</f>
        <v>947.5</v>
      </c>
      <c r="CL38" s="172">
        <f>(CF38-CF37)*(CG38+CG37)</f>
        <v>6064</v>
      </c>
      <c r="CN38" s="172">
        <f>(CF38-CF37)*(CJ38+CJ37)</f>
        <v>7580</v>
      </c>
    </row>
    <row r="39" spans="1:95" x14ac:dyDescent="0.2">
      <c r="A39" s="1">
        <v>2014</v>
      </c>
      <c r="B39" s="1">
        <v>300</v>
      </c>
      <c r="C39" s="1"/>
      <c r="D39" s="1">
        <v>585</v>
      </c>
      <c r="E39" s="1"/>
      <c r="F39" s="1"/>
      <c r="G39" s="1"/>
      <c r="H39" s="1"/>
      <c r="I39" s="201"/>
      <c r="J39" s="201"/>
      <c r="K39" s="201"/>
      <c r="L39" s="226">
        <v>2661</v>
      </c>
      <c r="M39" s="515">
        <v>1951</v>
      </c>
      <c r="N39" s="519">
        <v>3348</v>
      </c>
      <c r="O39" s="520">
        <v>1534</v>
      </c>
      <c r="P39" s="520">
        <v>741</v>
      </c>
      <c r="Q39" s="520">
        <v>531</v>
      </c>
      <c r="R39" s="201"/>
      <c r="S39" s="520">
        <v>26</v>
      </c>
      <c r="T39" s="203"/>
      <c r="U39" s="201"/>
      <c r="V39" s="227"/>
      <c r="W39" s="1"/>
      <c r="X39" s="1"/>
      <c r="Y39" s="1"/>
      <c r="Z39" s="1"/>
      <c r="AA39" s="1">
        <v>11837</v>
      </c>
      <c r="AB39" s="224" t="s">
        <v>5</v>
      </c>
      <c r="AC39" s="228">
        <v>14.25</v>
      </c>
      <c r="AD39" s="228"/>
      <c r="AE39" s="225">
        <f t="shared" si="0"/>
        <v>3348</v>
      </c>
      <c r="AF39">
        <f>AA39/MAX(B39:Z39)</f>
        <v>3.5355436081242533</v>
      </c>
      <c r="AH39" s="165" t="s">
        <v>145</v>
      </c>
      <c r="AI39" s="166"/>
      <c r="AJ39" s="167"/>
      <c r="AS39" s="165" t="s">
        <v>130</v>
      </c>
      <c r="AT39" s="167"/>
      <c r="AU39" s="169">
        <v>13.5</v>
      </c>
      <c r="AV39" s="167"/>
      <c r="AX39" s="169">
        <v>15</v>
      </c>
      <c r="AY39" s="8"/>
      <c r="AZ39" s="8"/>
      <c r="BH39" s="165"/>
      <c r="BI39" s="229">
        <v>39715</v>
      </c>
      <c r="BJ39" s="170">
        <v>5690</v>
      </c>
      <c r="BL39" s="171">
        <v>0.9</v>
      </c>
      <c r="BM39" s="172">
        <f>BJ39/BL39</f>
        <v>6322.2222222222217</v>
      </c>
      <c r="BO39" s="172">
        <f>(BI39-BI38)*(BJ39+BJ38)</f>
        <v>130870</v>
      </c>
      <c r="BQ39" s="172">
        <f>(BI39-BI38)*(BM39+BM38)</f>
        <v>145411.11111111109</v>
      </c>
      <c r="BS39" s="1014"/>
      <c r="BT39" s="1014"/>
      <c r="BU39" s="162" t="s">
        <v>146</v>
      </c>
      <c r="BW39" s="163" t="s">
        <v>148</v>
      </c>
      <c r="BX39" s="163" t="s">
        <v>147</v>
      </c>
      <c r="BZ39" s="164"/>
      <c r="CB39" s="164"/>
      <c r="CE39" s="165"/>
      <c r="CF39" s="185">
        <v>44455</v>
      </c>
      <c r="CG39" s="170">
        <v>915</v>
      </c>
      <c r="CI39" s="171">
        <v>0.8</v>
      </c>
      <c r="CJ39" s="172">
        <f t="shared" ref="CJ39:CJ44" si="24">CG39/CI39</f>
        <v>1143.75</v>
      </c>
      <c r="CL39" s="172">
        <f>(CF39-CF38)*(CG39+CG38)</f>
        <v>11711</v>
      </c>
      <c r="CN39" s="172">
        <f t="shared" ref="CN39:CN41" si="25">(CF39-CF38)*(CJ39+CJ38)</f>
        <v>14638.75</v>
      </c>
    </row>
    <row r="40" spans="1:95" x14ac:dyDescent="0.2">
      <c r="A40" s="1">
        <v>2015</v>
      </c>
      <c r="B40" s="1"/>
      <c r="C40" s="1"/>
      <c r="D40" s="1">
        <v>1</v>
      </c>
      <c r="E40" s="1"/>
      <c r="F40" s="1"/>
      <c r="G40" s="1"/>
      <c r="H40" s="1">
        <v>0</v>
      </c>
      <c r="I40" s="226">
        <v>175</v>
      </c>
      <c r="J40" s="226">
        <v>274</v>
      </c>
      <c r="L40" s="226">
        <v>497</v>
      </c>
      <c r="M40" s="227">
        <v>763</v>
      </c>
      <c r="N40" s="226">
        <v>427</v>
      </c>
      <c r="O40" s="516">
        <v>402</v>
      </c>
      <c r="P40" s="515">
        <v>476</v>
      </c>
      <c r="Q40" s="515">
        <v>517</v>
      </c>
      <c r="R40" s="516">
        <v>223</v>
      </c>
      <c r="S40" s="518">
        <v>71</v>
      </c>
      <c r="T40" s="227">
        <v>3</v>
      </c>
      <c r="U40" s="227"/>
      <c r="V40" s="227"/>
      <c r="W40" s="1"/>
      <c r="X40" s="1"/>
      <c r="Y40" s="1"/>
      <c r="Z40" s="1"/>
      <c r="AA40" s="1">
        <v>1966</v>
      </c>
      <c r="AB40" s="224" t="s">
        <v>5</v>
      </c>
      <c r="AC40" s="228">
        <v>14.5</v>
      </c>
      <c r="AD40" s="228">
        <v>20</v>
      </c>
      <c r="AE40" s="225">
        <f t="shared" si="0"/>
        <v>763</v>
      </c>
      <c r="AF40">
        <f t="shared" si="1"/>
        <v>2.5766710353866316</v>
      </c>
      <c r="AH40" s="165" t="s">
        <v>127</v>
      </c>
      <c r="AI40" s="229">
        <v>30560</v>
      </c>
      <c r="AJ40" s="167"/>
      <c r="AM40" s="169">
        <v>0</v>
      </c>
      <c r="AS40" s="165" t="s">
        <v>131</v>
      </c>
      <c r="AT40" s="167"/>
      <c r="AU40" s="230">
        <f>(0.5*SUM(AZ28:AZ36))/AU39</f>
        <v>38277.777777777781</v>
      </c>
      <c r="AV40" s="167"/>
      <c r="AX40" s="230">
        <f>(0.5*SUM(BB28:BB36))/AX39</f>
        <v>38277.777777777774</v>
      </c>
      <c r="AY40" s="8"/>
      <c r="AZ40" s="8"/>
      <c r="BH40" s="165"/>
      <c r="BI40" s="229">
        <v>39730</v>
      </c>
      <c r="BJ40" s="170">
        <v>2050</v>
      </c>
      <c r="BL40" s="171">
        <v>0.9</v>
      </c>
      <c r="BM40" s="172">
        <f>BJ40/BL40</f>
        <v>2277.7777777777778</v>
      </c>
      <c r="BO40" s="172">
        <f>(BI40-BI39)*(BJ40+BJ39)</f>
        <v>116100</v>
      </c>
      <c r="BQ40" s="172">
        <f>(BI40-BI39)*(BM40+BM39)</f>
        <v>129000</v>
      </c>
      <c r="BS40" s="165"/>
      <c r="BT40" s="166"/>
      <c r="BU40" s="167"/>
      <c r="CE40" s="165"/>
      <c r="CF40" s="185">
        <v>44460</v>
      </c>
      <c r="CG40" s="170">
        <v>5290</v>
      </c>
      <c r="CI40" s="171">
        <v>0.8</v>
      </c>
      <c r="CJ40" s="172">
        <f t="shared" si="24"/>
        <v>6612.5</v>
      </c>
      <c r="CL40" s="172">
        <f>(CF40-CF39)*(CG40+CG39)</f>
        <v>31025</v>
      </c>
      <c r="CN40" s="172">
        <f t="shared" si="25"/>
        <v>38781.25</v>
      </c>
    </row>
    <row r="41" spans="1:95" x14ac:dyDescent="0.2">
      <c r="A41" s="227">
        <v>2016</v>
      </c>
      <c r="B41" s="226"/>
      <c r="C41" s="226"/>
      <c r="D41" s="226"/>
      <c r="E41" s="226"/>
      <c r="F41" s="226"/>
      <c r="G41" s="226"/>
      <c r="H41" s="226"/>
      <c r="I41" s="226">
        <v>134</v>
      </c>
      <c r="J41" s="226">
        <v>249</v>
      </c>
      <c r="K41" s="226">
        <v>313</v>
      </c>
      <c r="L41" s="515">
        <v>723</v>
      </c>
      <c r="M41" s="515">
        <v>1636</v>
      </c>
      <c r="N41" s="516">
        <v>2460</v>
      </c>
      <c r="O41" s="517">
        <f>3175+1990</f>
        <v>5165</v>
      </c>
      <c r="P41" s="517">
        <v>3262</v>
      </c>
      <c r="Q41" s="517">
        <f>2040+400+600</f>
        <v>3040</v>
      </c>
      <c r="R41" s="517">
        <v>1935</v>
      </c>
      <c r="S41" s="226"/>
      <c r="T41" s="226">
        <v>16</v>
      </c>
      <c r="U41" s="226"/>
      <c r="V41" s="226"/>
      <c r="W41" s="226"/>
      <c r="X41" s="226"/>
      <c r="Y41" s="226"/>
      <c r="Z41" s="226"/>
      <c r="AA41" s="227">
        <v>9681</v>
      </c>
      <c r="AB41" s="224" t="s">
        <v>5</v>
      </c>
      <c r="AC41" s="497">
        <v>14.5</v>
      </c>
      <c r="AE41" s="225">
        <f t="shared" ref="AE41:AE46" si="26">MAX(B41:Z41)</f>
        <v>5165</v>
      </c>
      <c r="AF41">
        <f t="shared" si="1"/>
        <v>1.8743465634075509</v>
      </c>
      <c r="AH41" s="165"/>
      <c r="AI41" s="229">
        <v>30590</v>
      </c>
      <c r="AJ41" s="170">
        <v>4061</v>
      </c>
      <c r="AL41" s="171">
        <v>0.9</v>
      </c>
      <c r="AM41" s="172">
        <f>AJ41/AL41</f>
        <v>4512.2222222222217</v>
      </c>
      <c r="AO41" s="172">
        <f>(AI41-AI40)*(AJ41+AJ40)</f>
        <v>121830</v>
      </c>
      <c r="AQ41" s="172">
        <f>(AI41-AI40)*(AM41+AM40)</f>
        <v>135366.66666666666</v>
      </c>
      <c r="BH41" s="173"/>
      <c r="BI41" s="229">
        <v>39745</v>
      </c>
      <c r="BJ41" s="170">
        <v>3870</v>
      </c>
      <c r="BL41" s="171">
        <v>0.9</v>
      </c>
      <c r="BM41" s="172">
        <f>BJ41/BL41</f>
        <v>4300</v>
      </c>
      <c r="BO41" s="172">
        <f>(BI41-BI40)*(BJ41+BJ40)</f>
        <v>88800</v>
      </c>
      <c r="BQ41" s="172">
        <f>(BI41-BI40)*(BM41+BM40)</f>
        <v>98666.666666666657</v>
      </c>
      <c r="BS41" s="165" t="s">
        <v>145</v>
      </c>
      <c r="BT41" s="166"/>
      <c r="BU41" s="167"/>
      <c r="CE41" s="173"/>
      <c r="CF41" s="185">
        <v>44466</v>
      </c>
      <c r="CG41" s="170">
        <v>5690</v>
      </c>
      <c r="CH41" t="s">
        <v>534</v>
      </c>
      <c r="CI41" s="171">
        <v>0.5</v>
      </c>
      <c r="CJ41" s="172">
        <f t="shared" si="24"/>
        <v>11380</v>
      </c>
      <c r="CL41" s="172">
        <f t="shared" ref="CL41:CL45" si="27">(CF41-CF40)*(CG41+CG40)</f>
        <v>65880</v>
      </c>
      <c r="CN41" s="172">
        <f t="shared" si="25"/>
        <v>107955</v>
      </c>
    </row>
    <row r="42" spans="1:95" x14ac:dyDescent="0.2">
      <c r="A42" s="227">
        <v>2017</v>
      </c>
      <c r="B42" s="226"/>
      <c r="C42" s="226"/>
      <c r="D42" s="226"/>
      <c r="E42" s="226"/>
      <c r="F42" s="226"/>
      <c r="G42" s="226"/>
      <c r="H42" s="444">
        <v>133</v>
      </c>
      <c r="I42" s="444">
        <v>141</v>
      </c>
      <c r="J42" s="444">
        <v>90</v>
      </c>
      <c r="K42" s="444">
        <v>587</v>
      </c>
      <c r="L42" s="444">
        <v>895</v>
      </c>
      <c r="M42" s="444">
        <v>5645</v>
      </c>
      <c r="N42" s="444">
        <v>16648</v>
      </c>
      <c r="O42" s="226"/>
      <c r="P42" s="478">
        <v>4858</v>
      </c>
      <c r="Q42" s="478">
        <v>4172</v>
      </c>
      <c r="R42" s="226"/>
      <c r="S42" s="226"/>
      <c r="T42" s="226"/>
      <c r="U42" s="226"/>
      <c r="V42" s="226"/>
      <c r="W42" s="226"/>
      <c r="X42" s="226"/>
      <c r="Y42" s="226"/>
      <c r="Z42" s="226"/>
      <c r="AA42" s="227">
        <v>22704</v>
      </c>
      <c r="AB42" s="224" t="s">
        <v>5</v>
      </c>
      <c r="AC42" s="497">
        <v>14.5</v>
      </c>
      <c r="AE42" s="225">
        <f t="shared" si="26"/>
        <v>16648</v>
      </c>
      <c r="AF42">
        <f t="shared" si="1"/>
        <v>1.363767419509851</v>
      </c>
      <c r="AH42" s="165"/>
      <c r="AI42" s="229">
        <v>30599</v>
      </c>
      <c r="AJ42" s="170">
        <v>6429</v>
      </c>
      <c r="AL42" s="171">
        <v>0.9</v>
      </c>
      <c r="AM42" s="172">
        <f>AJ42/AL42</f>
        <v>7143.333333333333</v>
      </c>
      <c r="AO42" s="172">
        <f>(AI42-AI41)*(AJ42+AJ41)</f>
        <v>94410</v>
      </c>
      <c r="AQ42" s="172">
        <f>(AI42-AI41)*(AM42+AM41)</f>
        <v>104900</v>
      </c>
      <c r="BI42" s="229">
        <v>39783</v>
      </c>
      <c r="BJ42" s="170">
        <v>0</v>
      </c>
      <c r="BL42" s="171">
        <v>0.9</v>
      </c>
      <c r="BM42" s="172">
        <f>BJ42/BL42</f>
        <v>0</v>
      </c>
      <c r="BO42" s="172">
        <f>(BI42-BI41)*(BJ42+BJ41)</f>
        <v>147060</v>
      </c>
      <c r="BQ42" s="172">
        <f>(BI42-BI41)*(BM42+BM41)</f>
        <v>163400</v>
      </c>
      <c r="BS42" s="165" t="s">
        <v>127</v>
      </c>
      <c r="BT42" s="229">
        <v>41518</v>
      </c>
      <c r="BU42" s="167"/>
      <c r="BX42" s="169">
        <v>0</v>
      </c>
      <c r="CF42" s="185">
        <v>44477</v>
      </c>
      <c r="CG42" s="170">
        <v>8596</v>
      </c>
      <c r="CI42" s="171">
        <v>0.8</v>
      </c>
      <c r="CJ42" s="172">
        <f t="shared" si="24"/>
        <v>10745</v>
      </c>
      <c r="CL42" s="172">
        <f t="shared" si="27"/>
        <v>157146</v>
      </c>
      <c r="CN42" s="172">
        <f t="shared" ref="CN42:CN45" si="28">(CF42-CF41)*(CJ42+CJ41)</f>
        <v>243375</v>
      </c>
    </row>
    <row r="43" spans="1:95" x14ac:dyDescent="0.2">
      <c r="A43" s="227">
        <v>2018</v>
      </c>
      <c r="B43" s="226"/>
      <c r="C43" s="226"/>
      <c r="D43" s="226"/>
      <c r="E43" s="226"/>
      <c r="F43" s="226"/>
      <c r="G43" s="226"/>
      <c r="H43" s="226"/>
      <c r="I43" s="444">
        <v>497</v>
      </c>
      <c r="J43" s="444">
        <v>2395</v>
      </c>
      <c r="K43" s="444">
        <v>3891</v>
      </c>
      <c r="L43" s="531">
        <v>3424</v>
      </c>
      <c r="M43" s="478">
        <v>3517</v>
      </c>
      <c r="N43" s="478">
        <v>3670</v>
      </c>
      <c r="O43" s="478">
        <v>3517</v>
      </c>
      <c r="P43" s="226"/>
      <c r="Q43" s="226"/>
      <c r="R43" s="478">
        <v>556</v>
      </c>
      <c r="S43" s="444">
        <v>6</v>
      </c>
      <c r="T43" s="226"/>
      <c r="U43" s="226"/>
      <c r="V43" s="226"/>
      <c r="W43" s="226"/>
      <c r="X43" s="226"/>
      <c r="Y43" s="226"/>
      <c r="Z43" s="226"/>
      <c r="AA43" s="227">
        <v>12203</v>
      </c>
      <c r="AB43" s="224" t="s">
        <v>5</v>
      </c>
      <c r="AC43" s="497">
        <v>14.5</v>
      </c>
      <c r="AE43" s="225">
        <f t="shared" si="26"/>
        <v>3891</v>
      </c>
      <c r="AF43">
        <f t="shared" si="1"/>
        <v>3.1362117707530199</v>
      </c>
      <c r="AH43" s="173"/>
      <c r="AI43" s="229">
        <v>30608</v>
      </c>
      <c r="AJ43" s="170">
        <v>9853</v>
      </c>
      <c r="AL43" s="171">
        <v>0.9</v>
      </c>
      <c r="AM43" s="172">
        <f>AJ43/AL43</f>
        <v>10947.777777777777</v>
      </c>
      <c r="AO43" s="172">
        <f>(AI43-AI42)*(AJ43+AJ42)</f>
        <v>146538</v>
      </c>
      <c r="AQ43" s="172">
        <f>(AI43-AI42)*(AM43+AM42)</f>
        <v>162820</v>
      </c>
      <c r="BH43" s="165" t="s">
        <v>128</v>
      </c>
      <c r="BI43" s="229">
        <v>39784</v>
      </c>
      <c r="BJ43" s="176"/>
      <c r="BL43" s="177"/>
      <c r="BM43" s="178">
        <v>0</v>
      </c>
      <c r="BN43" s="179"/>
      <c r="BO43" s="172">
        <f>(BI43-BI42)*(BJ43+BJ42)</f>
        <v>0</v>
      </c>
      <c r="BQ43" s="172">
        <f>(BI43-BI42)*(BM43+BM42)</f>
        <v>0</v>
      </c>
      <c r="BS43" s="165"/>
      <c r="BT43" s="229">
        <v>41536</v>
      </c>
      <c r="BU43" s="170">
        <v>1640</v>
      </c>
      <c r="BW43" s="171">
        <v>0.9</v>
      </c>
      <c r="BX43" s="172">
        <f t="shared" ref="BX43:BX49" si="29">BU43/BW43</f>
        <v>1822.2222222222222</v>
      </c>
      <c r="BZ43" s="172">
        <f t="shared" ref="BZ43:BZ49" si="30">(BT43-BT42)*(BU43+BU42)</f>
        <v>29520</v>
      </c>
      <c r="CB43" s="172">
        <f t="shared" ref="CB43:CB50" si="31">(BT43-BT42)*(BX43+BX42)</f>
        <v>32800</v>
      </c>
      <c r="CF43" s="185">
        <v>44488</v>
      </c>
      <c r="CG43" s="170">
        <v>4052</v>
      </c>
      <c r="CI43" s="171">
        <v>0.8</v>
      </c>
      <c r="CJ43" s="172">
        <f t="shared" si="24"/>
        <v>5065</v>
      </c>
      <c r="CL43" s="172">
        <f>(CF43-CF42)*(CG43+CG42)</f>
        <v>139128</v>
      </c>
      <c r="CN43" s="172">
        <f t="shared" si="28"/>
        <v>173910</v>
      </c>
    </row>
    <row r="44" spans="1:95" x14ac:dyDescent="0.2">
      <c r="A44" s="227">
        <v>2019</v>
      </c>
      <c r="B44" s="226"/>
      <c r="C44" s="226"/>
      <c r="D44" s="226"/>
      <c r="E44" s="226"/>
      <c r="F44" s="226"/>
      <c r="H44" s="584">
        <v>101</v>
      </c>
      <c r="I44" s="444">
        <v>559</v>
      </c>
      <c r="J44" s="226"/>
      <c r="K44" s="444">
        <v>1450</v>
      </c>
      <c r="L44" s="444">
        <v>1564</v>
      </c>
      <c r="M44" s="444">
        <v>1554</v>
      </c>
      <c r="N44" s="595">
        <v>2270</v>
      </c>
      <c r="O44" s="478">
        <v>2205</v>
      </c>
      <c r="P44" s="478">
        <v>862</v>
      </c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7">
        <v>5812</v>
      </c>
      <c r="AB44" s="224"/>
      <c r="AC44" s="497"/>
      <c r="AE44" s="225">
        <f t="shared" si="26"/>
        <v>2270</v>
      </c>
      <c r="AF44">
        <f>AA44/MAX(B44:Z44)</f>
        <v>2.560352422907489</v>
      </c>
      <c r="AI44" s="229">
        <v>30620</v>
      </c>
      <c r="AJ44" s="170">
        <v>15343</v>
      </c>
      <c r="AL44" s="171">
        <v>0.9</v>
      </c>
      <c r="AM44" s="172">
        <f>AJ44/AL44</f>
        <v>17047.777777777777</v>
      </c>
      <c r="AO44" s="172">
        <f>(AI44-AI43)*(AJ44+AJ43)</f>
        <v>302352</v>
      </c>
      <c r="AQ44" s="172">
        <f>(AI44-AI43)*(AM44+AM43)</f>
        <v>335946.66666666663</v>
      </c>
      <c r="BH44" s="165" t="s">
        <v>2</v>
      </c>
      <c r="BI44" s="167">
        <v>7</v>
      </c>
      <c r="BJ44" s="167"/>
      <c r="BK44" s="167"/>
      <c r="BS44" s="165"/>
      <c r="BT44" s="229">
        <v>41543</v>
      </c>
      <c r="BU44" s="170">
        <v>3452</v>
      </c>
      <c r="BW44" s="171">
        <v>0.9</v>
      </c>
      <c r="BX44" s="172">
        <f t="shared" si="29"/>
        <v>3835.5555555555557</v>
      </c>
      <c r="BZ44" s="172">
        <f t="shared" si="30"/>
        <v>35644</v>
      </c>
      <c r="CB44" s="172">
        <f t="shared" si="31"/>
        <v>39604.444444444438</v>
      </c>
      <c r="CF44" s="185">
        <v>44515</v>
      </c>
      <c r="CG44" s="170">
        <v>0</v>
      </c>
      <c r="CI44" s="171">
        <v>1</v>
      </c>
      <c r="CJ44" s="172">
        <f t="shared" si="24"/>
        <v>0</v>
      </c>
      <c r="CL44" s="172">
        <f t="shared" si="27"/>
        <v>109404</v>
      </c>
      <c r="CN44" s="172">
        <f t="shared" si="28"/>
        <v>136755</v>
      </c>
    </row>
    <row r="45" spans="1:95" x14ac:dyDescent="0.2">
      <c r="A45" s="227">
        <v>2020</v>
      </c>
      <c r="B45" s="226"/>
      <c r="C45" s="226"/>
      <c r="D45" s="226"/>
      <c r="E45" s="226"/>
      <c r="F45" s="226"/>
      <c r="J45" s="697">
        <v>1032</v>
      </c>
      <c r="K45" s="697">
        <v>1093</v>
      </c>
      <c r="M45" s="698">
        <v>1395</v>
      </c>
      <c r="O45" s="709">
        <v>505</v>
      </c>
      <c r="P45" s="709">
        <v>637</v>
      </c>
      <c r="Q45" s="226"/>
      <c r="R45" s="478">
        <v>154</v>
      </c>
      <c r="S45" s="226"/>
      <c r="T45" s="226"/>
      <c r="U45" s="226"/>
      <c r="V45" s="226"/>
      <c r="W45" s="226"/>
      <c r="X45" s="226"/>
      <c r="Y45" s="226"/>
      <c r="Z45" s="226"/>
      <c r="AA45" s="227">
        <v>4041</v>
      </c>
      <c r="AB45" s="224"/>
      <c r="AC45" s="497"/>
      <c r="AE45" s="225">
        <f t="shared" si="26"/>
        <v>1395</v>
      </c>
      <c r="AF45">
        <f>AA45/MAX(B45:Z45)</f>
        <v>2.8967741935483873</v>
      </c>
      <c r="AH45" s="165" t="s">
        <v>128</v>
      </c>
      <c r="AI45" s="229">
        <v>30651</v>
      </c>
      <c r="AJ45" s="176"/>
      <c r="AL45" s="177"/>
      <c r="AM45" s="178">
        <v>0</v>
      </c>
      <c r="AN45" s="179"/>
      <c r="AO45" s="172">
        <f>(AI45-AI54)*(AJ45+AJ54)</f>
        <v>0</v>
      </c>
      <c r="AQ45" s="172">
        <f>(AI45-AI54)*(AM45+AM54)</f>
        <v>0</v>
      </c>
      <c r="BH45" s="165" t="s">
        <v>129</v>
      </c>
      <c r="BI45" s="167"/>
      <c r="BJ45" s="167">
        <f>MAX(BJ38:BJ43)</f>
        <v>5690</v>
      </c>
      <c r="BK45" s="167"/>
      <c r="BL45" s="167"/>
      <c r="BM45" s="167">
        <f>MAX(BM38:BM43)</f>
        <v>6322.2222222222217</v>
      </c>
      <c r="BN45" s="167"/>
      <c r="BO45" s="167"/>
      <c r="BS45" s="173"/>
      <c r="BT45" s="229">
        <v>41557</v>
      </c>
      <c r="BU45" s="170">
        <v>5069</v>
      </c>
      <c r="BW45" s="171">
        <v>0.9</v>
      </c>
      <c r="BX45" s="172">
        <f t="shared" si="29"/>
        <v>5632.2222222222217</v>
      </c>
      <c r="BZ45" s="172">
        <f t="shared" si="30"/>
        <v>119294</v>
      </c>
      <c r="CB45" s="172">
        <f t="shared" si="31"/>
        <v>132548.88888888888</v>
      </c>
      <c r="CE45" s="165" t="s">
        <v>128</v>
      </c>
      <c r="CF45" s="229"/>
      <c r="CG45" s="176"/>
      <c r="CI45" s="177"/>
      <c r="CJ45" s="178">
        <v>0</v>
      </c>
      <c r="CK45" s="179"/>
      <c r="CL45" s="172">
        <f t="shared" si="27"/>
        <v>0</v>
      </c>
      <c r="CN45" s="172">
        <f t="shared" si="28"/>
        <v>0</v>
      </c>
    </row>
    <row r="46" spans="1:95" x14ac:dyDescent="0.2">
      <c r="A46" s="227">
        <v>2021</v>
      </c>
      <c r="B46" s="226"/>
      <c r="C46" s="226"/>
      <c r="D46" s="226"/>
      <c r="E46" s="226"/>
      <c r="F46" s="226"/>
      <c r="I46" s="151"/>
      <c r="J46" s="697">
        <v>758</v>
      </c>
      <c r="K46" s="697">
        <v>910</v>
      </c>
      <c r="L46" s="788">
        <v>5296</v>
      </c>
      <c r="M46" s="698">
        <v>5690</v>
      </c>
      <c r="N46" s="825">
        <v>8596</v>
      </c>
      <c r="O46" s="762"/>
      <c r="P46" s="825">
        <v>4201</v>
      </c>
      <c r="Q46" s="226"/>
      <c r="R46" s="517"/>
      <c r="S46" s="226"/>
      <c r="T46" s="226"/>
      <c r="U46" s="226"/>
      <c r="V46" s="226"/>
      <c r="W46" s="226"/>
      <c r="X46" s="226"/>
      <c r="Y46" s="226"/>
      <c r="Z46" s="226"/>
      <c r="AA46" s="227">
        <v>20186</v>
      </c>
      <c r="AB46" s="224" t="s">
        <v>5</v>
      </c>
      <c r="AC46" s="497">
        <v>14.5</v>
      </c>
      <c r="AE46" s="225">
        <f t="shared" si="26"/>
        <v>8596</v>
      </c>
      <c r="AF46">
        <f>AA46/MAX(B46:Z46)</f>
        <v>2.3483015355979524</v>
      </c>
      <c r="AH46" s="165" t="s">
        <v>2</v>
      </c>
      <c r="AI46" s="167">
        <v>7</v>
      </c>
      <c r="AJ46" s="167"/>
      <c r="AK46" s="167"/>
      <c r="BH46" s="165" t="s">
        <v>130</v>
      </c>
      <c r="BI46" s="167"/>
      <c r="BJ46" s="169">
        <v>18.5</v>
      </c>
      <c r="BK46" s="167"/>
      <c r="BM46" s="169">
        <v>15</v>
      </c>
      <c r="BN46" s="8"/>
      <c r="BO46" s="8"/>
      <c r="BT46" s="229">
        <v>41564</v>
      </c>
      <c r="BU46" s="170">
        <v>3808</v>
      </c>
      <c r="BW46" s="171">
        <v>0.9</v>
      </c>
      <c r="BX46" s="172">
        <f t="shared" si="29"/>
        <v>4231.1111111111113</v>
      </c>
      <c r="BZ46" s="172">
        <f t="shared" si="30"/>
        <v>62139</v>
      </c>
      <c r="CB46" s="172">
        <f t="shared" si="31"/>
        <v>69043.333333333328</v>
      </c>
      <c r="CE46" s="165" t="s">
        <v>2</v>
      </c>
      <c r="CF46" s="167">
        <v>7</v>
      </c>
      <c r="CG46" s="167"/>
      <c r="CH46" s="167"/>
    </row>
    <row r="47" spans="1:95" x14ac:dyDescent="0.2">
      <c r="A47" s="227">
        <v>2022</v>
      </c>
      <c r="B47" s="226"/>
      <c r="C47" s="226"/>
      <c r="D47" s="226"/>
      <c r="E47" s="226"/>
      <c r="F47" s="226"/>
      <c r="H47" s="697">
        <v>38</v>
      </c>
      <c r="I47" s="151"/>
      <c r="J47" s="697">
        <v>498</v>
      </c>
      <c r="K47" s="444">
        <v>380</v>
      </c>
      <c r="L47" s="698">
        <v>319</v>
      </c>
      <c r="M47" s="891">
        <v>745</v>
      </c>
      <c r="N47" s="709">
        <v>1148</v>
      </c>
      <c r="O47" s="709">
        <v>1161</v>
      </c>
      <c r="P47" s="825">
        <v>1876</v>
      </c>
      <c r="Q47" s="478">
        <v>14586</v>
      </c>
      <c r="R47" s="517"/>
      <c r="S47" s="478">
        <v>4223</v>
      </c>
      <c r="T47" s="226"/>
      <c r="U47" s="226"/>
      <c r="V47" s="226"/>
      <c r="W47" s="226"/>
      <c r="X47" s="226"/>
      <c r="Y47" s="226"/>
      <c r="Z47" s="226"/>
      <c r="AA47" s="227"/>
      <c r="AB47" s="224"/>
      <c r="AC47" s="497"/>
      <c r="AE47" s="225"/>
      <c r="AG47">
        <v>17816</v>
      </c>
      <c r="AH47" s="165"/>
      <c r="AI47" s="167"/>
      <c r="AJ47" s="167"/>
      <c r="AK47" s="167"/>
      <c r="BH47" s="165"/>
      <c r="BI47" s="167"/>
      <c r="BJ47" s="169"/>
      <c r="BK47" s="167"/>
      <c r="BM47" s="169"/>
      <c r="BN47" s="8"/>
      <c r="BO47" s="8"/>
      <c r="BT47" s="229"/>
      <c r="BU47" s="170"/>
      <c r="BW47" s="171"/>
      <c r="BX47" s="172"/>
      <c r="BZ47" s="172"/>
      <c r="CB47" s="172"/>
      <c r="CE47" s="165"/>
      <c r="CF47" s="167"/>
      <c r="CG47" s="167"/>
      <c r="CH47" s="167"/>
    </row>
    <row r="48" spans="1:95" ht="17.25" customHeight="1" x14ac:dyDescent="0.25">
      <c r="A48" s="227">
        <v>2023</v>
      </c>
      <c r="J48" s="788">
        <v>575</v>
      </c>
      <c r="K48" s="788">
        <v>600</v>
      </c>
      <c r="L48" s="788">
        <v>7675</v>
      </c>
      <c r="M48" s="788">
        <v>6794</v>
      </c>
      <c r="O48" s="786">
        <v>4461</v>
      </c>
      <c r="P48" s="786">
        <v>5018</v>
      </c>
      <c r="AD48" s="92"/>
      <c r="AE48" s="92"/>
      <c r="AH48" s="165" t="s">
        <v>129</v>
      </c>
      <c r="AI48" s="167"/>
      <c r="AJ48" s="167">
        <f>MAX(AJ40:AJ45)</f>
        <v>15343</v>
      </c>
      <c r="AK48" s="167"/>
      <c r="AL48" s="167"/>
      <c r="AM48" s="167">
        <f>MAX(AM40:AM45)</f>
        <v>17047.777777777777</v>
      </c>
      <c r="AN48" s="167"/>
      <c r="AO48" s="167"/>
      <c r="AP48" s="180"/>
      <c r="AS48" s="222" t="s">
        <v>117</v>
      </c>
      <c r="AT48" s="222" t="s">
        <v>118</v>
      </c>
      <c r="AU48" s="157" t="s">
        <v>119</v>
      </c>
      <c r="AW48" s="157" t="s">
        <v>120</v>
      </c>
      <c r="AX48" s="157"/>
      <c r="AZ48" s="160" t="s">
        <v>121</v>
      </c>
      <c r="BB48" s="161" t="s">
        <v>122</v>
      </c>
      <c r="BH48" s="165" t="s">
        <v>131</v>
      </c>
      <c r="BI48" s="167"/>
      <c r="BJ48" s="230">
        <f>(0.5*SUM(BO39:BO43))/BJ46</f>
        <v>13049.45945945946</v>
      </c>
      <c r="BK48" s="167"/>
      <c r="BM48" s="230">
        <f>(0.5*SUM(BQ39:BQ43))/BM46</f>
        <v>17882.592592592591</v>
      </c>
      <c r="BN48" s="8"/>
      <c r="BO48" s="8"/>
      <c r="BT48" s="229">
        <v>41575</v>
      </c>
      <c r="BU48" s="170">
        <v>1287</v>
      </c>
      <c r="BW48" s="171">
        <v>0.9</v>
      </c>
      <c r="BX48" s="172">
        <f t="shared" si="29"/>
        <v>1430</v>
      </c>
      <c r="BZ48" s="172">
        <f>(BT48-BT46)*(BU48+BU46)</f>
        <v>56045</v>
      </c>
      <c r="CB48" s="172">
        <f>(BT48-BT46)*(BX48+BX46)</f>
        <v>62272.222222222226</v>
      </c>
      <c r="CE48" s="165" t="s">
        <v>129</v>
      </c>
      <c r="CF48" s="167"/>
      <c r="CG48" s="167">
        <f>MAX(CG37:CG45)</f>
        <v>8596</v>
      </c>
      <c r="CH48" s="167"/>
      <c r="CI48" s="167"/>
      <c r="CJ48" s="167">
        <f>MAX(CJ37:CJ45)</f>
        <v>11380</v>
      </c>
      <c r="CK48" s="167"/>
      <c r="CL48" s="167"/>
      <c r="CM48" s="180"/>
    </row>
    <row r="49" spans="1:92" x14ac:dyDescent="0.2">
      <c r="A49" s="64" t="s">
        <v>17</v>
      </c>
      <c r="B49" s="64"/>
      <c r="C49" s="64"/>
      <c r="D49" s="64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7"/>
      <c r="AC49" s="16"/>
      <c r="AH49" s="165" t="s">
        <v>130</v>
      </c>
      <c r="AI49" s="167"/>
      <c r="AJ49" s="169">
        <v>11</v>
      </c>
      <c r="AK49" s="167"/>
      <c r="AM49" s="169">
        <v>15</v>
      </c>
      <c r="AN49" s="8"/>
      <c r="AO49" s="8"/>
      <c r="AP49" s="8"/>
      <c r="AQ49" s="8"/>
      <c r="AS49" s="162"/>
      <c r="AT49" s="162"/>
      <c r="AU49" s="162" t="s">
        <v>146</v>
      </c>
      <c r="AW49" s="163" t="s">
        <v>148</v>
      </c>
      <c r="AX49" s="163" t="s">
        <v>147</v>
      </c>
      <c r="AZ49" s="164"/>
      <c r="BB49" s="164"/>
      <c r="BT49" s="229">
        <v>41597</v>
      </c>
      <c r="BU49" s="170">
        <v>1</v>
      </c>
      <c r="BW49" s="171">
        <v>0.9</v>
      </c>
      <c r="BX49" s="172">
        <f t="shared" si="29"/>
        <v>1.1111111111111112</v>
      </c>
      <c r="BZ49" s="172">
        <f t="shared" si="30"/>
        <v>28336</v>
      </c>
      <c r="CB49" s="172">
        <f t="shared" si="31"/>
        <v>31484.444444444445</v>
      </c>
      <c r="CE49" s="165" t="s">
        <v>130</v>
      </c>
      <c r="CF49" s="167"/>
      <c r="CG49" s="169">
        <v>14.5</v>
      </c>
      <c r="CH49" s="167"/>
      <c r="CJ49" s="169">
        <v>25</v>
      </c>
      <c r="CK49" s="8"/>
      <c r="CL49" s="8"/>
      <c r="CM49" s="8"/>
      <c r="CN49" s="8"/>
    </row>
    <row r="50" spans="1:92" x14ac:dyDescent="0.2">
      <c r="AH50" s="165" t="s">
        <v>131</v>
      </c>
      <c r="AI50" s="167"/>
      <c r="AJ50" s="230">
        <f>(0.5*SUM(AO41:AO44))/AJ49</f>
        <v>30233.18181818182</v>
      </c>
      <c r="AK50" s="167"/>
      <c r="AM50" s="230">
        <f>(0.5*SUM(AQ41:AQ44))/AM49</f>
        <v>24634.444444444442</v>
      </c>
      <c r="AN50" s="8"/>
      <c r="AO50" s="8"/>
      <c r="AP50" s="8"/>
      <c r="AQ50" s="8"/>
      <c r="AS50" s="165"/>
      <c r="AT50" s="166"/>
      <c r="AU50" s="167"/>
      <c r="BH50" s="299" t="s">
        <v>5</v>
      </c>
      <c r="BJ50">
        <f>0.5*(SUM(BO39:BO43))</f>
        <v>241415</v>
      </c>
      <c r="BS50" s="165" t="s">
        <v>128</v>
      </c>
      <c r="BT50" s="229">
        <v>41609</v>
      </c>
      <c r="BU50" s="176"/>
      <c r="BW50" s="177"/>
      <c r="BX50" s="178">
        <v>0</v>
      </c>
      <c r="BY50" s="179"/>
      <c r="BZ50" s="172">
        <f>(BT50-BT49)*(BU50+BU49)</f>
        <v>12</v>
      </c>
      <c r="CB50" s="172">
        <f t="shared" si="31"/>
        <v>13.333333333333334</v>
      </c>
      <c r="CE50" s="165" t="s">
        <v>131</v>
      </c>
      <c r="CF50" s="167"/>
      <c r="CG50" s="230">
        <f>(0.5*SUM(CL39:CL44))/CG49</f>
        <v>17734.275862068964</v>
      </c>
      <c r="CH50" s="167"/>
      <c r="CJ50" s="230">
        <f>(0.5*SUM(CN39:CN44))/CJ49</f>
        <v>14308.3</v>
      </c>
      <c r="CK50" s="8"/>
      <c r="CL50" s="8"/>
      <c r="CM50" s="8"/>
      <c r="CN50" s="8"/>
    </row>
    <row r="51" spans="1:92" x14ac:dyDescent="0.2">
      <c r="AS51" s="165" t="s">
        <v>145</v>
      </c>
      <c r="AT51" s="166"/>
      <c r="AU51" s="167"/>
      <c r="BS51" s="165" t="s">
        <v>2</v>
      </c>
      <c r="BT51" s="167">
        <v>7</v>
      </c>
      <c r="BU51" s="167"/>
      <c r="BV51" s="167"/>
    </row>
    <row r="52" spans="1:92" ht="25.5" x14ac:dyDescent="0.25">
      <c r="AH52" s="731" t="s">
        <v>117</v>
      </c>
      <c r="AI52" s="731" t="s">
        <v>118</v>
      </c>
      <c r="AJ52" s="730" t="s">
        <v>119</v>
      </c>
      <c r="AL52" s="730" t="s">
        <v>120</v>
      </c>
      <c r="AM52" s="730"/>
      <c r="AO52" s="160" t="s">
        <v>121</v>
      </c>
      <c r="AP52" s="160"/>
      <c r="AQ52" s="161" t="s">
        <v>122</v>
      </c>
      <c r="AS52" s="165" t="s">
        <v>127</v>
      </c>
      <c r="AT52" s="229">
        <v>33848</v>
      </c>
      <c r="AU52" s="167"/>
      <c r="AX52" s="169">
        <v>0</v>
      </c>
      <c r="BS52" s="165" t="s">
        <v>129</v>
      </c>
      <c r="BT52" s="167"/>
      <c r="BU52" s="167">
        <f>MAX(BU42:BU50)</f>
        <v>5069</v>
      </c>
      <c r="BV52" s="167"/>
      <c r="BW52" s="167"/>
      <c r="BX52" s="167">
        <f>MAX(BX42:BX50)</f>
        <v>5632.2222222222217</v>
      </c>
      <c r="BY52" s="167"/>
      <c r="BZ52" s="167"/>
      <c r="CA52" s="180"/>
    </row>
    <row r="53" spans="1:92" ht="15" x14ac:dyDescent="0.25">
      <c r="AH53" s="732"/>
      <c r="AI53" s="732"/>
      <c r="AJ53" s="732" t="s">
        <v>146</v>
      </c>
      <c r="AL53" s="163" t="s">
        <v>148</v>
      </c>
      <c r="AM53" s="163" t="s">
        <v>147</v>
      </c>
      <c r="AO53" s="164"/>
      <c r="AQ53" s="164"/>
      <c r="AS53" s="165"/>
      <c r="AT53" s="229">
        <v>33857</v>
      </c>
      <c r="AU53" s="170">
        <v>1007</v>
      </c>
      <c r="AW53" s="171">
        <v>0.9</v>
      </c>
      <c r="AX53" s="172">
        <f t="shared" ref="AX53:AX60" si="32">AU53/AW53</f>
        <v>1118.8888888888889</v>
      </c>
      <c r="AZ53" s="172">
        <f t="shared" ref="AZ53:AZ61" si="33">(AT53-AT52)*(AU53+AU52)</f>
        <v>9063</v>
      </c>
      <c r="BB53" s="172">
        <f t="shared" ref="BB53:BB61" si="34">(AT53-AT52)*(AX53+AX52)</f>
        <v>10070</v>
      </c>
      <c r="BS53" s="165" t="s">
        <v>130</v>
      </c>
      <c r="BT53" s="167"/>
      <c r="BU53" s="169">
        <v>10.5</v>
      </c>
      <c r="BV53" s="167"/>
      <c r="BX53" s="169">
        <v>20</v>
      </c>
      <c r="BY53" s="8"/>
      <c r="BZ53" s="8"/>
      <c r="CA53" s="8"/>
      <c r="CB53" s="8"/>
      <c r="CE53" s="1013" t="s">
        <v>117</v>
      </c>
      <c r="CF53" s="1013" t="s">
        <v>118</v>
      </c>
      <c r="CG53" s="829" t="s">
        <v>119</v>
      </c>
      <c r="CI53" s="1012" t="s">
        <v>120</v>
      </c>
      <c r="CJ53" s="1012"/>
      <c r="CL53" s="160" t="s">
        <v>121</v>
      </c>
      <c r="CM53" s="160"/>
      <c r="CN53" s="161" t="s">
        <v>122</v>
      </c>
    </row>
    <row r="54" spans="1:92" x14ac:dyDescent="0.2">
      <c r="AH54" s="165"/>
      <c r="AI54" s="166"/>
      <c r="AJ54" s="167"/>
      <c r="AS54" s="165"/>
      <c r="AT54" s="229">
        <v>33878</v>
      </c>
      <c r="AU54" s="170">
        <v>1913</v>
      </c>
      <c r="AW54" s="171">
        <v>0.9</v>
      </c>
      <c r="AX54" s="172">
        <f t="shared" si="32"/>
        <v>2125.5555555555557</v>
      </c>
      <c r="AZ54" s="172">
        <f t="shared" si="33"/>
        <v>61320</v>
      </c>
      <c r="BB54" s="172">
        <f t="shared" si="34"/>
        <v>68133.333333333328</v>
      </c>
      <c r="BS54" s="165" t="s">
        <v>131</v>
      </c>
      <c r="BT54" s="167"/>
      <c r="BU54" s="230">
        <f>(0.5*SUM(BZ43:BZ50))/BU53</f>
        <v>15761.428571428571</v>
      </c>
      <c r="BV54" s="167"/>
      <c r="BX54" s="230">
        <f>(0.5*SUM(CB43:CB50))/BX53</f>
        <v>9194.1666666666661</v>
      </c>
      <c r="BY54" s="8"/>
      <c r="BZ54" s="8"/>
      <c r="CA54" s="8"/>
      <c r="CB54" s="8"/>
      <c r="CE54" s="1014"/>
      <c r="CF54" s="1014"/>
      <c r="CG54" s="830" t="s">
        <v>146</v>
      </c>
      <c r="CI54" s="163" t="s">
        <v>148</v>
      </c>
      <c r="CJ54" s="163" t="s">
        <v>147</v>
      </c>
      <c r="CL54" s="164"/>
      <c r="CN54" s="164"/>
    </row>
    <row r="55" spans="1:92" x14ac:dyDescent="0.2">
      <c r="AH55" s="165" t="s">
        <v>145</v>
      </c>
      <c r="AI55" s="166"/>
      <c r="AJ55" s="167"/>
      <c r="AS55" s="173"/>
      <c r="AT55" s="229">
        <v>33892</v>
      </c>
      <c r="AU55" s="170">
        <v>4123</v>
      </c>
      <c r="AW55" s="171">
        <v>0.9</v>
      </c>
      <c r="AX55" s="172">
        <f t="shared" si="32"/>
        <v>4581.1111111111113</v>
      </c>
      <c r="AZ55" s="172">
        <f t="shared" si="33"/>
        <v>84504</v>
      </c>
      <c r="BB55" s="172">
        <f t="shared" si="34"/>
        <v>93893.333333333343</v>
      </c>
      <c r="BS55" s="299" t="s">
        <v>5</v>
      </c>
      <c r="BU55">
        <f>0.5*(SUM(BZ43:BZ50))</f>
        <v>165495</v>
      </c>
      <c r="CE55" s="165"/>
      <c r="CF55" s="166"/>
      <c r="CG55" s="167"/>
    </row>
    <row r="56" spans="1:92" ht="25.5" x14ac:dyDescent="0.25">
      <c r="AH56" s="165" t="s">
        <v>127</v>
      </c>
      <c r="AI56" s="229">
        <v>30926</v>
      </c>
      <c r="AJ56" s="167"/>
      <c r="AM56" s="169">
        <v>0</v>
      </c>
      <c r="AT56" s="229">
        <v>33906</v>
      </c>
      <c r="AU56" s="170">
        <v>14979</v>
      </c>
      <c r="AW56" s="171">
        <v>0.9</v>
      </c>
      <c r="AX56" s="172">
        <f t="shared" si="32"/>
        <v>16643.333333333332</v>
      </c>
      <c r="AZ56" s="172">
        <f t="shared" si="33"/>
        <v>267428</v>
      </c>
      <c r="BB56" s="172">
        <f t="shared" si="34"/>
        <v>297142.22222222225</v>
      </c>
      <c r="BS56" s="731" t="s">
        <v>117</v>
      </c>
      <c r="BT56" s="731" t="s">
        <v>118</v>
      </c>
      <c r="BU56" s="730" t="s">
        <v>119</v>
      </c>
      <c r="BW56" s="730" t="s">
        <v>120</v>
      </c>
      <c r="BX56" s="730"/>
      <c r="BZ56" s="160" t="s">
        <v>121</v>
      </c>
      <c r="CA56" s="160"/>
      <c r="CB56" s="161" t="s">
        <v>122</v>
      </c>
      <c r="CE56" s="165" t="s">
        <v>145</v>
      </c>
      <c r="CF56" s="166"/>
      <c r="CG56" s="167"/>
    </row>
    <row r="57" spans="1:92" ht="17.25" customHeight="1" x14ac:dyDescent="0.2">
      <c r="AH57" s="165"/>
      <c r="AI57" s="229">
        <v>30952</v>
      </c>
      <c r="AJ57" s="170">
        <v>7175</v>
      </c>
      <c r="AL57" s="171">
        <v>0.9</v>
      </c>
      <c r="AM57" s="172">
        <f>AJ57/AL57</f>
        <v>7972.2222222222217</v>
      </c>
      <c r="AO57" s="172">
        <f>(AI57-AI56)*(AJ57+AJ56)</f>
        <v>186550</v>
      </c>
      <c r="AQ57" s="172">
        <f>(AI57-AI56)*(AM57+AM56)</f>
        <v>207277.77777777775</v>
      </c>
      <c r="AT57" s="229">
        <v>33918</v>
      </c>
      <c r="AU57" s="170">
        <v>7033</v>
      </c>
      <c r="AW57" s="171">
        <v>0.9</v>
      </c>
      <c r="AX57" s="172">
        <f t="shared" si="32"/>
        <v>7814.4444444444443</v>
      </c>
      <c r="AZ57" s="172">
        <f t="shared" si="33"/>
        <v>264144</v>
      </c>
      <c r="BB57" s="172">
        <f t="shared" si="34"/>
        <v>293493.33333333331</v>
      </c>
      <c r="BS57" s="732"/>
      <c r="BT57" s="732"/>
      <c r="BU57" s="732" t="s">
        <v>146</v>
      </c>
      <c r="BW57" s="163" t="s">
        <v>148</v>
      </c>
      <c r="BX57" s="163" t="s">
        <v>147</v>
      </c>
      <c r="BZ57" s="164"/>
      <c r="CB57" s="164"/>
      <c r="CE57" s="165" t="s">
        <v>127</v>
      </c>
      <c r="CF57" s="185">
        <v>44440</v>
      </c>
      <c r="CG57" s="167"/>
      <c r="CJ57" s="169">
        <v>0</v>
      </c>
    </row>
    <row r="58" spans="1:92" ht="15" customHeight="1" x14ac:dyDescent="0.2">
      <c r="AH58" s="165"/>
      <c r="AI58" s="229">
        <v>30973</v>
      </c>
      <c r="AJ58" s="170">
        <v>26330</v>
      </c>
      <c r="AL58" s="171">
        <v>0.9</v>
      </c>
      <c r="AM58" s="172">
        <f>AJ58/AL58</f>
        <v>29255.555555555555</v>
      </c>
      <c r="AO58" s="172">
        <f>(AI58-AI57)*(AJ58+AJ57)</f>
        <v>703605</v>
      </c>
      <c r="AQ58" s="172">
        <f>(AI58-AI57)*(AM58+AM57)</f>
        <v>781783.33333333326</v>
      </c>
      <c r="AT58" s="229">
        <v>33927</v>
      </c>
      <c r="AU58" s="170">
        <v>1583</v>
      </c>
      <c r="AW58" s="171">
        <v>0.9</v>
      </c>
      <c r="AX58" s="172">
        <f t="shared" si="32"/>
        <v>1758.8888888888889</v>
      </c>
      <c r="AZ58" s="172">
        <f t="shared" si="33"/>
        <v>77544</v>
      </c>
      <c r="BB58" s="172">
        <f t="shared" si="34"/>
        <v>86160</v>
      </c>
      <c r="BS58" s="165"/>
      <c r="BT58" s="166"/>
      <c r="BU58" s="167"/>
      <c r="CE58" s="165"/>
      <c r="CF58" s="185">
        <v>44448</v>
      </c>
      <c r="CG58" s="170">
        <v>758</v>
      </c>
      <c r="CI58" s="171">
        <v>0.8</v>
      </c>
      <c r="CJ58" s="172">
        <f t="shared" ref="CJ58:CJ61" si="35">CG58/CI58</f>
        <v>947.5</v>
      </c>
      <c r="CL58" s="172">
        <f>(CF58-CF57)*(CG58+CG57)</f>
        <v>6064</v>
      </c>
      <c r="CN58" s="172">
        <f t="shared" ref="CN58:CN61" si="36">(CF58-CF57)*(CJ58+CJ57)</f>
        <v>7580</v>
      </c>
    </row>
    <row r="59" spans="1:92" x14ac:dyDescent="0.2">
      <c r="AH59" s="173"/>
      <c r="AI59" s="229">
        <v>30979</v>
      </c>
      <c r="AJ59" s="170">
        <v>36171</v>
      </c>
      <c r="AL59" s="171">
        <v>0.9</v>
      </c>
      <c r="AM59" s="172">
        <f>AJ59/AL59</f>
        <v>40190</v>
      </c>
      <c r="AO59" s="172">
        <f>(AI59-AI58)*(AJ59+AJ58)</f>
        <v>375006</v>
      </c>
      <c r="AQ59" s="172">
        <f>(AI59-AI58)*(AM59+AM58)</f>
        <v>416673.33333333337</v>
      </c>
      <c r="AT59" s="229">
        <v>33941</v>
      </c>
      <c r="AU59" s="170">
        <v>51</v>
      </c>
      <c r="AW59" s="171">
        <v>0.9</v>
      </c>
      <c r="AX59" s="172">
        <f t="shared" si="32"/>
        <v>56.666666666666664</v>
      </c>
      <c r="AZ59" s="172">
        <f t="shared" si="33"/>
        <v>22876</v>
      </c>
      <c r="BB59" s="172">
        <f t="shared" si="34"/>
        <v>25417.777777777781</v>
      </c>
      <c r="BS59" s="165" t="s">
        <v>145</v>
      </c>
      <c r="BT59" s="166"/>
      <c r="BU59" s="167"/>
      <c r="CE59" s="165"/>
      <c r="CF59" s="185">
        <v>44455</v>
      </c>
      <c r="CG59" s="170">
        <v>915</v>
      </c>
      <c r="CI59" s="171">
        <v>0.8</v>
      </c>
      <c r="CJ59" s="172">
        <f t="shared" si="35"/>
        <v>1143.75</v>
      </c>
      <c r="CL59" s="172">
        <f t="shared" ref="CL59:CL61" si="37">(CF59-CF58)*(CG59+CG58)</f>
        <v>11711</v>
      </c>
      <c r="CN59" s="172">
        <f t="shared" si="36"/>
        <v>14638.75</v>
      </c>
    </row>
    <row r="60" spans="1:92" x14ac:dyDescent="0.2">
      <c r="AI60" s="229">
        <v>30998</v>
      </c>
      <c r="AJ60" s="170">
        <v>5937</v>
      </c>
      <c r="AL60" s="171">
        <v>0.9</v>
      </c>
      <c r="AM60" s="172">
        <f>AJ60/AL60</f>
        <v>6596.6666666666661</v>
      </c>
      <c r="AO60" s="172">
        <f>(AI60-AI59)*(AJ60+AJ59)</f>
        <v>800052</v>
      </c>
      <c r="AQ60" s="172">
        <f>(AI60-AI59)*(AM60+AM59)</f>
        <v>888946.66666666663</v>
      </c>
      <c r="AT60" s="229">
        <v>33953</v>
      </c>
      <c r="AU60" s="170">
        <v>0</v>
      </c>
      <c r="AW60" s="171">
        <v>0.9</v>
      </c>
      <c r="AX60" s="172">
        <f t="shared" si="32"/>
        <v>0</v>
      </c>
      <c r="AZ60" s="172">
        <f t="shared" si="33"/>
        <v>612</v>
      </c>
      <c r="BB60" s="172">
        <f t="shared" si="34"/>
        <v>680</v>
      </c>
      <c r="BS60" s="165" t="s">
        <v>127</v>
      </c>
      <c r="BT60" s="229">
        <v>41821</v>
      </c>
      <c r="BU60" s="167"/>
      <c r="BX60" s="169">
        <v>0</v>
      </c>
      <c r="CE60" s="173"/>
      <c r="CF60" s="185">
        <v>44460</v>
      </c>
      <c r="CG60" s="170">
        <v>5290</v>
      </c>
      <c r="CI60" s="171">
        <v>0.8</v>
      </c>
      <c r="CJ60" s="172">
        <f t="shared" si="35"/>
        <v>6612.5</v>
      </c>
      <c r="CL60" s="172">
        <f>(CF60-CF59)*(CG60+CG59)</f>
        <v>31025</v>
      </c>
      <c r="CN60" s="172">
        <f t="shared" si="36"/>
        <v>38781.25</v>
      </c>
    </row>
    <row r="61" spans="1:92" ht="15" customHeight="1" x14ac:dyDescent="0.2">
      <c r="AH61" s="165" t="s">
        <v>128</v>
      </c>
      <c r="AI61" s="229">
        <v>31017</v>
      </c>
      <c r="AJ61" s="176"/>
      <c r="AL61" s="177"/>
      <c r="AM61" s="178">
        <v>0</v>
      </c>
      <c r="AN61" s="179"/>
      <c r="AO61" s="172">
        <f>(AI61-AI69)*(AJ61+AJ69)</f>
        <v>0</v>
      </c>
      <c r="AQ61" s="172">
        <f>(AI61-AI69)*(AM61+AM69)</f>
        <v>0</v>
      </c>
      <c r="AS61" s="165" t="s">
        <v>128</v>
      </c>
      <c r="AT61" s="229"/>
      <c r="AU61" s="176"/>
      <c r="AW61" s="177"/>
      <c r="AX61" s="178">
        <v>0</v>
      </c>
      <c r="AY61" s="179"/>
      <c r="AZ61" s="172">
        <f t="shared" si="33"/>
        <v>0</v>
      </c>
      <c r="BB61" s="172">
        <f t="shared" si="34"/>
        <v>0</v>
      </c>
      <c r="BS61" s="165"/>
      <c r="BT61" s="229">
        <v>41835</v>
      </c>
      <c r="BU61" s="170">
        <v>300</v>
      </c>
      <c r="BW61" s="171">
        <v>0.9</v>
      </c>
      <c r="BX61" s="172">
        <f t="shared" ref="BX61:BX69" si="38">BU61/BW61</f>
        <v>333.33333333333331</v>
      </c>
      <c r="BZ61" s="172">
        <f>(BT61-BT60)*(BU61+BU60)</f>
        <v>4200</v>
      </c>
      <c r="CB61" s="172">
        <f>(BT61-BT60)*(BX61+BX60)</f>
        <v>4666.6666666666661</v>
      </c>
      <c r="CF61" s="185">
        <v>44477</v>
      </c>
      <c r="CG61" s="170">
        <v>8596</v>
      </c>
      <c r="CI61" s="171">
        <v>0.8</v>
      </c>
      <c r="CJ61" s="172">
        <f t="shared" si="35"/>
        <v>10745</v>
      </c>
      <c r="CL61" s="172">
        <f t="shared" si="37"/>
        <v>236062</v>
      </c>
      <c r="CN61" s="172">
        <f t="shared" si="36"/>
        <v>295077.5</v>
      </c>
    </row>
    <row r="62" spans="1:92" x14ac:dyDescent="0.2">
      <c r="AH62" s="165" t="s">
        <v>2</v>
      </c>
      <c r="AI62" s="167">
        <v>7</v>
      </c>
      <c r="AJ62" s="167"/>
      <c r="AK62" s="167"/>
      <c r="AS62" s="165" t="s">
        <v>2</v>
      </c>
      <c r="AT62" s="167">
        <v>7</v>
      </c>
      <c r="AU62" s="167"/>
      <c r="AV62" s="167"/>
      <c r="BS62" s="165"/>
      <c r="BT62" s="229">
        <v>41850</v>
      </c>
      <c r="BU62" s="170">
        <v>585</v>
      </c>
      <c r="BW62" s="171">
        <v>0.9</v>
      </c>
      <c r="BX62" s="172">
        <f t="shared" si="38"/>
        <v>650</v>
      </c>
      <c r="BZ62" s="172">
        <f>(BT62-BT61)*(BU62+BU61)</f>
        <v>13275</v>
      </c>
      <c r="CB62" s="172">
        <f>(BT62-BT61)*(BX62+BX61)</f>
        <v>14749.999999999998</v>
      </c>
      <c r="CF62" s="185">
        <v>44488</v>
      </c>
      <c r="CG62" s="170">
        <v>4052</v>
      </c>
      <c r="CI62" s="171">
        <v>0.8</v>
      </c>
      <c r="CJ62" s="172">
        <f t="shared" ref="CJ62:CJ64" si="39">CG62/CI62</f>
        <v>5065</v>
      </c>
      <c r="CL62" s="172">
        <f t="shared" ref="CL62:CL64" si="40">(CF62-CF61)*(CG62+CG61)</f>
        <v>139128</v>
      </c>
      <c r="CN62" s="172">
        <f t="shared" ref="CN62:CN64" si="41">(CF62-CF61)*(CJ62+CJ61)</f>
        <v>173910</v>
      </c>
    </row>
    <row r="63" spans="1:92" x14ac:dyDescent="0.2">
      <c r="AH63" s="165" t="s">
        <v>129</v>
      </c>
      <c r="AI63" s="167"/>
      <c r="AJ63" s="167">
        <f>MAX(AJ56:AJ61)</f>
        <v>36171</v>
      </c>
      <c r="AK63" s="167"/>
      <c r="AL63" s="167"/>
      <c r="AM63" s="167">
        <f>MAX(AM56:AM61)</f>
        <v>40190</v>
      </c>
      <c r="AN63" s="167"/>
      <c r="AO63" s="167"/>
      <c r="AP63" s="180"/>
      <c r="AS63" s="165" t="s">
        <v>129</v>
      </c>
      <c r="AT63" s="167"/>
      <c r="AU63" s="167">
        <f>MAX(AU52:AU61)</f>
        <v>14979</v>
      </c>
      <c r="AV63" s="167"/>
      <c r="AW63" s="167"/>
      <c r="AX63" s="167">
        <f>MAX(AX52:AX61)</f>
        <v>16643.333333333332</v>
      </c>
      <c r="AY63" s="167"/>
      <c r="AZ63" s="167"/>
      <c r="BS63" s="173"/>
      <c r="BT63" s="229">
        <v>41908</v>
      </c>
      <c r="BU63" s="170">
        <v>2661</v>
      </c>
      <c r="BW63" s="171">
        <v>0.9</v>
      </c>
      <c r="BX63" s="172">
        <f t="shared" si="38"/>
        <v>2956.6666666666665</v>
      </c>
      <c r="BZ63" s="172">
        <f>(BT63-BT62)*(BU63+BU62)</f>
        <v>188268</v>
      </c>
      <c r="CB63" s="172">
        <f>(BT63-BT62)*(BX63+BX62)</f>
        <v>209186.66666666666</v>
      </c>
      <c r="CF63" s="185">
        <v>44515</v>
      </c>
      <c r="CG63" s="170">
        <v>0</v>
      </c>
      <c r="CI63" s="171">
        <v>0.8</v>
      </c>
      <c r="CJ63" s="172">
        <f t="shared" si="39"/>
        <v>0</v>
      </c>
      <c r="CL63" s="172">
        <f t="shared" si="40"/>
        <v>109404</v>
      </c>
      <c r="CN63" s="172">
        <f t="shared" si="41"/>
        <v>136755</v>
      </c>
    </row>
    <row r="64" spans="1:92" x14ac:dyDescent="0.2">
      <c r="AH64" s="165" t="s">
        <v>130</v>
      </c>
      <c r="AI64" s="167"/>
      <c r="AJ64" s="169">
        <v>14</v>
      </c>
      <c r="AK64" s="167"/>
      <c r="AM64" s="169">
        <v>15</v>
      </c>
      <c r="AN64" s="8"/>
      <c r="AO64" s="8"/>
      <c r="AP64" s="8"/>
      <c r="AQ64" s="8"/>
      <c r="AS64" s="165" t="s">
        <v>130</v>
      </c>
      <c r="AT64" s="167"/>
      <c r="AU64" s="169">
        <v>14.2</v>
      </c>
      <c r="AV64" s="167"/>
      <c r="AX64" s="169">
        <v>15</v>
      </c>
      <c r="AY64" s="8"/>
      <c r="AZ64" s="8"/>
      <c r="BT64" s="229">
        <v>41915</v>
      </c>
      <c r="BU64" s="170">
        <v>1951</v>
      </c>
      <c r="BW64" s="171">
        <v>0.9</v>
      </c>
      <c r="BX64" s="172">
        <f t="shared" si="38"/>
        <v>2167.7777777777778</v>
      </c>
      <c r="BZ64" s="172">
        <f>(BT64-BT63)*(BU64+BU63)</f>
        <v>32284</v>
      </c>
      <c r="CB64" s="172">
        <f>(BT64-BT63)*(BX64+BX63)</f>
        <v>35871.111111111109</v>
      </c>
      <c r="CF64" s="185">
        <v>44525</v>
      </c>
      <c r="CG64" s="170">
        <v>0</v>
      </c>
      <c r="CI64" s="171">
        <v>0.8</v>
      </c>
      <c r="CJ64" s="172">
        <f t="shared" si="39"/>
        <v>0</v>
      </c>
      <c r="CL64" s="172">
        <f t="shared" si="40"/>
        <v>0</v>
      </c>
      <c r="CN64" s="172">
        <f t="shared" si="41"/>
        <v>0</v>
      </c>
    </row>
    <row r="65" spans="34:92" x14ac:dyDescent="0.2">
      <c r="AH65" s="165" t="s">
        <v>131</v>
      </c>
      <c r="AI65" s="167"/>
      <c r="AJ65" s="230">
        <f>(0.5*SUM(AO57:AO60))/AJ64</f>
        <v>73757.607142857145</v>
      </c>
      <c r="AK65" s="167"/>
      <c r="AM65" s="230">
        <f>(0.5*SUM(AQ57:AQ60))/AM64</f>
        <v>76489.370370370365</v>
      </c>
      <c r="AN65" s="8"/>
      <c r="AO65" s="8"/>
      <c r="AP65" s="8"/>
      <c r="AQ65" s="8"/>
      <c r="AS65" s="165" t="s">
        <v>131</v>
      </c>
      <c r="AT65" s="167"/>
      <c r="AU65" s="230">
        <f>(0.5*SUM(AZ53:AZ61))/AU64</f>
        <v>27728.556338028171</v>
      </c>
      <c r="AV65" s="167"/>
      <c r="AX65" s="230">
        <f>(0.5*SUM(BB53:BB61))/AX64</f>
        <v>29166.333333333332</v>
      </c>
      <c r="AY65" s="8"/>
      <c r="AZ65" s="8"/>
      <c r="BT65" s="229">
        <v>41922</v>
      </c>
      <c r="BU65" s="170">
        <v>3348</v>
      </c>
      <c r="BW65" s="171">
        <v>0.9</v>
      </c>
      <c r="BX65" s="172">
        <f t="shared" si="38"/>
        <v>3720</v>
      </c>
      <c r="BZ65" s="172">
        <f t="shared" ref="BZ65:BZ70" si="42">(BT65-BT64)*(BU65+BU64)</f>
        <v>37093</v>
      </c>
      <c r="CB65" s="172">
        <f t="shared" ref="CB65:CB70" si="43">(BT65-BT64)*(BX65+BX64)</f>
        <v>41214.444444444438</v>
      </c>
      <c r="CE65" s="165" t="s">
        <v>128</v>
      </c>
      <c r="CF65" s="229"/>
      <c r="CG65" s="176"/>
      <c r="CI65" s="177"/>
      <c r="CJ65" s="178">
        <v>0</v>
      </c>
      <c r="CK65" s="179"/>
      <c r="CL65" s="172"/>
      <c r="CN65" s="172"/>
    </row>
    <row r="66" spans="34:92" x14ac:dyDescent="0.2">
      <c r="BT66" s="229">
        <v>41927</v>
      </c>
      <c r="BU66" s="170">
        <v>1534</v>
      </c>
      <c r="BW66" s="171">
        <v>0.9</v>
      </c>
      <c r="BX66" s="172">
        <f t="shared" si="38"/>
        <v>1704.4444444444443</v>
      </c>
      <c r="BZ66" s="172">
        <f t="shared" si="42"/>
        <v>24410</v>
      </c>
      <c r="CB66" s="172">
        <f t="shared" si="43"/>
        <v>27122.222222222223</v>
      </c>
      <c r="CE66" s="165" t="s">
        <v>2</v>
      </c>
      <c r="CF66" s="167">
        <v>7</v>
      </c>
      <c r="CG66" s="167"/>
      <c r="CH66" s="167"/>
    </row>
    <row r="67" spans="34:92" ht="25.5" x14ac:dyDescent="0.25">
      <c r="AH67" s="731" t="s">
        <v>117</v>
      </c>
      <c r="AI67" s="731" t="s">
        <v>118</v>
      </c>
      <c r="AJ67" s="730" t="s">
        <v>119</v>
      </c>
      <c r="AL67" s="730" t="s">
        <v>120</v>
      </c>
      <c r="AM67" s="730"/>
      <c r="AO67" s="160" t="s">
        <v>121</v>
      </c>
      <c r="AQ67" s="161" t="s">
        <v>122</v>
      </c>
      <c r="AS67" s="1013" t="s">
        <v>117</v>
      </c>
      <c r="AT67" s="1013" t="s">
        <v>118</v>
      </c>
      <c r="AU67" s="157" t="s">
        <v>119</v>
      </c>
      <c r="AW67" s="1012" t="s">
        <v>120</v>
      </c>
      <c r="AX67" s="1012"/>
      <c r="AZ67" s="160" t="s">
        <v>121</v>
      </c>
      <c r="BA67" s="160"/>
      <c r="BB67" s="161" t="s">
        <v>122</v>
      </c>
      <c r="BT67" s="229">
        <v>41936</v>
      </c>
      <c r="BU67" s="170">
        <v>741</v>
      </c>
      <c r="BW67" s="171">
        <v>0.9</v>
      </c>
      <c r="BX67" s="172">
        <f t="shared" si="38"/>
        <v>823.33333333333326</v>
      </c>
      <c r="BZ67" s="172">
        <f t="shared" si="42"/>
        <v>20475</v>
      </c>
      <c r="CB67" s="172">
        <f t="shared" si="43"/>
        <v>22749.999999999996</v>
      </c>
      <c r="CE67" s="165" t="s">
        <v>129</v>
      </c>
      <c r="CF67" s="167"/>
      <c r="CG67" s="167">
        <f>MAX(CG57:CG65)</f>
        <v>8596</v>
      </c>
      <c r="CH67" s="167"/>
      <c r="CI67" s="167"/>
      <c r="CJ67" s="167">
        <f>MAX(CJ57:CJ65)</f>
        <v>10745</v>
      </c>
      <c r="CK67" s="167"/>
      <c r="CL67" s="167"/>
      <c r="CM67" s="180"/>
    </row>
    <row r="68" spans="34:92" x14ac:dyDescent="0.2">
      <c r="AH68" s="732"/>
      <c r="AI68" s="732"/>
      <c r="AJ68" s="732" t="s">
        <v>146</v>
      </c>
      <c r="AL68" s="163" t="s">
        <v>148</v>
      </c>
      <c r="AM68" s="163" t="s">
        <v>147</v>
      </c>
      <c r="AO68" s="164"/>
      <c r="AQ68" s="164"/>
      <c r="AS68" s="1014"/>
      <c r="AT68" s="1014"/>
      <c r="AU68" s="162" t="s">
        <v>146</v>
      </c>
      <c r="AW68" s="163" t="s">
        <v>148</v>
      </c>
      <c r="AX68" s="163" t="s">
        <v>147</v>
      </c>
      <c r="AZ68" s="164"/>
      <c r="BB68" s="164"/>
      <c r="BT68" s="229">
        <v>41943</v>
      </c>
      <c r="BU68" s="170">
        <v>531</v>
      </c>
      <c r="BW68" s="171">
        <v>0.9</v>
      </c>
      <c r="BX68" s="172">
        <f t="shared" si="38"/>
        <v>590</v>
      </c>
      <c r="BZ68" s="172">
        <f t="shared" si="42"/>
        <v>8904</v>
      </c>
      <c r="CB68" s="172">
        <f t="shared" si="43"/>
        <v>9893.3333333333321</v>
      </c>
      <c r="CE68" s="165" t="s">
        <v>130</v>
      </c>
      <c r="CF68" s="167"/>
      <c r="CG68" s="169">
        <v>14.5</v>
      </c>
      <c r="CH68" s="167"/>
      <c r="CJ68" s="169">
        <v>25</v>
      </c>
      <c r="CK68" s="8"/>
      <c r="CL68" s="8"/>
      <c r="CM68" s="8"/>
      <c r="CN68" s="8"/>
    </row>
    <row r="69" spans="34:92" x14ac:dyDescent="0.2">
      <c r="AH69" s="165"/>
      <c r="AI69" s="166"/>
      <c r="AJ69" s="167"/>
      <c r="AS69" s="165"/>
      <c r="AT69" s="166"/>
      <c r="AU69" s="167"/>
      <c r="BT69" s="229">
        <v>41953</v>
      </c>
      <c r="BU69" s="170">
        <v>26</v>
      </c>
      <c r="BW69" s="171">
        <v>0.9</v>
      </c>
      <c r="BX69" s="172">
        <f t="shared" si="38"/>
        <v>28.888888888888889</v>
      </c>
      <c r="BZ69" s="172">
        <f t="shared" si="42"/>
        <v>5570</v>
      </c>
      <c r="CB69" s="172">
        <f t="shared" si="43"/>
        <v>6188.8888888888887</v>
      </c>
      <c r="CE69" s="165" t="s">
        <v>131</v>
      </c>
      <c r="CF69" s="167"/>
      <c r="CG69" s="230">
        <f>(0.5*SUM(CL58:CL64))/CG68</f>
        <v>18392.896551724138</v>
      </c>
      <c r="CH69" s="167"/>
      <c r="CJ69" s="230">
        <f>(0.5*SUM(CN58:CN64))/CJ68</f>
        <v>13334.85</v>
      </c>
      <c r="CK69" s="8"/>
      <c r="CL69" s="8"/>
      <c r="CM69" s="8"/>
      <c r="CN69" s="8"/>
    </row>
    <row r="70" spans="34:92" x14ac:dyDescent="0.2">
      <c r="AH70" s="165" t="s">
        <v>145</v>
      </c>
      <c r="AI70" s="166"/>
      <c r="AJ70" s="167"/>
      <c r="AS70" s="165" t="s">
        <v>145</v>
      </c>
      <c r="AT70" s="166"/>
      <c r="AU70" s="167"/>
      <c r="BS70" s="165" t="s">
        <v>128</v>
      </c>
      <c r="BT70" s="229">
        <v>41954</v>
      </c>
      <c r="BU70" s="176"/>
      <c r="BW70" s="171"/>
      <c r="BX70" s="172">
        <v>0</v>
      </c>
      <c r="BZ70" s="172">
        <f t="shared" si="42"/>
        <v>26</v>
      </c>
      <c r="CB70" s="172">
        <f t="shared" si="43"/>
        <v>28.888888888888889</v>
      </c>
    </row>
    <row r="71" spans="34:92" x14ac:dyDescent="0.2">
      <c r="AH71" s="165" t="s">
        <v>127</v>
      </c>
      <c r="AI71" s="229">
        <v>31291</v>
      </c>
      <c r="AJ71" s="167"/>
      <c r="AM71" s="169">
        <v>0</v>
      </c>
      <c r="AS71" s="165" t="s">
        <v>127</v>
      </c>
      <c r="AT71" s="229">
        <v>34213</v>
      </c>
      <c r="AU71" s="167"/>
      <c r="AX71" s="169">
        <v>0</v>
      </c>
      <c r="BS71" s="165" t="s">
        <v>2</v>
      </c>
      <c r="BT71" s="167">
        <v>7</v>
      </c>
      <c r="BU71" s="167"/>
      <c r="BV71" s="167"/>
    </row>
    <row r="72" spans="34:92" x14ac:dyDescent="0.2">
      <c r="AH72" s="165"/>
      <c r="AI72" s="229">
        <v>31322</v>
      </c>
      <c r="AJ72" s="170">
        <v>1000</v>
      </c>
      <c r="AL72" s="171">
        <v>0.9</v>
      </c>
      <c r="AM72" s="172">
        <f>AJ72/AL72</f>
        <v>1111.1111111111111</v>
      </c>
      <c r="AO72" s="172">
        <f>(AI72-AI71)*(AJ72+AJ71)</f>
        <v>31000</v>
      </c>
      <c r="AQ72" s="172">
        <f>(AI72-AI71)*(AM72+AM71)</f>
        <v>34444.444444444445</v>
      </c>
      <c r="AS72" s="165"/>
      <c r="AT72" s="229">
        <v>34235</v>
      </c>
      <c r="AU72" s="170">
        <v>4351</v>
      </c>
      <c r="AW72" s="171">
        <v>0.9</v>
      </c>
      <c r="AX72" s="172">
        <f t="shared" ref="AX72:AX77" si="44">AU72/AW72</f>
        <v>4834.4444444444443</v>
      </c>
      <c r="AZ72" s="172">
        <f t="shared" ref="AZ72:AZ78" si="45">(AT72-AT71)*(AU72+AU71)</f>
        <v>95722</v>
      </c>
      <c r="BB72" s="172">
        <f t="shared" ref="BB72:BB78" si="46">(AT72-AT71)*(AX72+AX71)</f>
        <v>106357.77777777778</v>
      </c>
      <c r="BS72" s="165" t="s">
        <v>129</v>
      </c>
      <c r="BT72" s="167"/>
      <c r="BU72" s="167">
        <f>MAX(BU60:BU70)</f>
        <v>3348</v>
      </c>
      <c r="BV72" s="167"/>
      <c r="BW72" s="167"/>
      <c r="BX72" s="167">
        <f>MAX(BX60:BX70)</f>
        <v>3720</v>
      </c>
      <c r="BY72" s="167"/>
      <c r="BZ72" s="167"/>
      <c r="CA72" s="180"/>
    </row>
    <row r="73" spans="34:92" ht="16.5" customHeight="1" x14ac:dyDescent="0.2">
      <c r="AH73" s="165"/>
      <c r="AI73" s="229">
        <v>31335</v>
      </c>
      <c r="AJ73" s="170">
        <v>5000</v>
      </c>
      <c r="AL73" s="171">
        <v>0.9</v>
      </c>
      <c r="AM73" s="172">
        <f>AJ73/AL73</f>
        <v>5555.5555555555557</v>
      </c>
      <c r="AO73" s="172">
        <f>(AI73-AI72)*(AJ73+AJ72)</f>
        <v>78000</v>
      </c>
      <c r="AQ73" s="172">
        <f>(AI73-AI72)*(AM73+AM72)</f>
        <v>86666.666666666672</v>
      </c>
      <c r="AS73" s="165"/>
      <c r="AT73" s="229">
        <v>34250</v>
      </c>
      <c r="AU73" s="170">
        <v>4560</v>
      </c>
      <c r="AW73" s="171">
        <v>0.9</v>
      </c>
      <c r="AX73" s="172">
        <f t="shared" si="44"/>
        <v>5066.666666666667</v>
      </c>
      <c r="AZ73" s="172">
        <f t="shared" si="45"/>
        <v>133665</v>
      </c>
      <c r="BB73" s="172">
        <f t="shared" si="46"/>
        <v>148516.66666666666</v>
      </c>
      <c r="BS73" s="165" t="s">
        <v>130</v>
      </c>
      <c r="BT73" s="167"/>
      <c r="BU73" s="169">
        <v>14.25</v>
      </c>
      <c r="BV73" s="167"/>
      <c r="BX73" s="169">
        <v>20</v>
      </c>
      <c r="BY73" s="8"/>
      <c r="BZ73" s="8"/>
      <c r="CA73" s="8"/>
      <c r="CB73" s="8"/>
      <c r="CH73" s="69">
        <v>44460</v>
      </c>
      <c r="CI73" s="69">
        <v>44466</v>
      </c>
      <c r="CJ73" s="69">
        <v>44477</v>
      </c>
    </row>
    <row r="74" spans="34:92" x14ac:dyDescent="0.2">
      <c r="AH74" s="173"/>
      <c r="AI74" s="229">
        <v>31356</v>
      </c>
      <c r="AJ74" s="170">
        <v>7640</v>
      </c>
      <c r="AL74" s="171">
        <v>0.9</v>
      </c>
      <c r="AM74" s="172">
        <f>AJ74/AL74</f>
        <v>8488.8888888888887</v>
      </c>
      <c r="AO74" s="172">
        <f>(AI74-AI73)*(AJ74+AJ73)</f>
        <v>265440</v>
      </c>
      <c r="AQ74" s="172">
        <f>(AI74-AI73)*(AM74+AM73)</f>
        <v>294933.33333333337</v>
      </c>
      <c r="AS74" s="173"/>
      <c r="AT74" s="229">
        <v>34261</v>
      </c>
      <c r="AU74" s="170">
        <v>16401</v>
      </c>
      <c r="AW74" s="171">
        <v>0.9</v>
      </c>
      <c r="AX74" s="172">
        <f t="shared" si="44"/>
        <v>18223.333333333332</v>
      </c>
      <c r="AZ74" s="172">
        <f t="shared" si="45"/>
        <v>230571</v>
      </c>
      <c r="BB74" s="172">
        <f t="shared" si="46"/>
        <v>256190</v>
      </c>
      <c r="BS74" s="165" t="s">
        <v>131</v>
      </c>
      <c r="BT74" s="167"/>
      <c r="BU74" s="230">
        <f>(0.5*SUM(BZ61:BZ70))/BU73</f>
        <v>11737.017543859649</v>
      </c>
      <c r="BV74" s="167"/>
      <c r="BX74" s="230">
        <f>(0.5*SUM(CB61:CB70))/BX73</f>
        <v>9291.8055555555547</v>
      </c>
      <c r="BY74" s="8"/>
      <c r="BZ74" s="8"/>
      <c r="CA74" s="8"/>
      <c r="CB74" s="8"/>
      <c r="CH74" t="s">
        <v>365</v>
      </c>
      <c r="CI74" t="s">
        <v>365</v>
      </c>
      <c r="CJ74" t="s">
        <v>365</v>
      </c>
    </row>
    <row r="75" spans="34:92" x14ac:dyDescent="0.2">
      <c r="AI75" s="229">
        <v>31377</v>
      </c>
      <c r="AJ75" s="170">
        <v>300</v>
      </c>
      <c r="AL75" s="171">
        <v>0.9</v>
      </c>
      <c r="AM75" s="172">
        <f>AJ75/AL75</f>
        <v>333.33333333333331</v>
      </c>
      <c r="AO75" s="172">
        <f>(AI75-AI74)*(AJ75+AJ74)</f>
        <v>166740</v>
      </c>
      <c r="AQ75" s="172">
        <f>(AI75-AI74)*(AM75+AM74)</f>
        <v>185266.66666666669</v>
      </c>
      <c r="AT75" s="229">
        <v>34270</v>
      </c>
      <c r="AU75" s="170">
        <v>114214</v>
      </c>
      <c r="AW75" s="171">
        <v>0.9</v>
      </c>
      <c r="AX75" s="172">
        <f t="shared" si="44"/>
        <v>126904.44444444444</v>
      </c>
      <c r="AZ75" s="172">
        <f t="shared" si="45"/>
        <v>1175535</v>
      </c>
      <c r="BB75" s="172">
        <f t="shared" si="46"/>
        <v>1306150</v>
      </c>
      <c r="CG75" s="866" t="s">
        <v>541</v>
      </c>
      <c r="CH75">
        <v>7</v>
      </c>
      <c r="CJ75">
        <v>42</v>
      </c>
    </row>
    <row r="76" spans="34:92" x14ac:dyDescent="0.2">
      <c r="AH76" s="165" t="s">
        <v>128</v>
      </c>
      <c r="AI76" s="229">
        <v>31382</v>
      </c>
      <c r="AJ76" s="176"/>
      <c r="AL76" s="177"/>
      <c r="AM76" s="178">
        <v>0</v>
      </c>
      <c r="AN76" s="179"/>
      <c r="AO76" s="172">
        <f>(AI76-AI84)*(AJ76+AJ84)</f>
        <v>0</v>
      </c>
      <c r="AQ76" s="172">
        <f>(AI76-AI84)*(AM76+AM84)</f>
        <v>0</v>
      </c>
      <c r="AT76" s="229">
        <v>34283</v>
      </c>
      <c r="AU76" s="170">
        <v>61312</v>
      </c>
      <c r="AW76" s="171">
        <v>0.9</v>
      </c>
      <c r="AX76" s="172">
        <f t="shared" si="44"/>
        <v>68124.444444444438</v>
      </c>
      <c r="AZ76" s="172">
        <f t="shared" si="45"/>
        <v>2281838</v>
      </c>
      <c r="BB76" s="172">
        <f t="shared" si="46"/>
        <v>2535375.5555555555</v>
      </c>
      <c r="BS76" s="299" t="s">
        <v>227</v>
      </c>
      <c r="BU76">
        <f>0.5*SUM(BZ61:BZ70)</f>
        <v>167252.5</v>
      </c>
      <c r="CG76" s="866" t="s">
        <v>543</v>
      </c>
      <c r="CH76">
        <v>16</v>
      </c>
      <c r="CJ76">
        <v>328</v>
      </c>
    </row>
    <row r="77" spans="34:92" ht="25.5" x14ac:dyDescent="0.25">
      <c r="AH77" s="165" t="s">
        <v>2</v>
      </c>
      <c r="AI77" s="167">
        <v>7</v>
      </c>
      <c r="AJ77" s="167"/>
      <c r="AK77" s="167"/>
      <c r="AT77" s="229">
        <v>34298</v>
      </c>
      <c r="AU77" s="170">
        <v>10889</v>
      </c>
      <c r="AW77" s="171">
        <v>0.9</v>
      </c>
      <c r="AX77" s="172">
        <f t="shared" si="44"/>
        <v>12098.888888888889</v>
      </c>
      <c r="AZ77" s="172">
        <f t="shared" si="45"/>
        <v>1083015</v>
      </c>
      <c r="BB77" s="172">
        <f t="shared" si="46"/>
        <v>1203350</v>
      </c>
      <c r="BS77" s="731" t="s">
        <v>117</v>
      </c>
      <c r="BT77" s="731" t="s">
        <v>118</v>
      </c>
      <c r="BU77" s="730" t="s">
        <v>119</v>
      </c>
      <c r="BW77" s="730" t="s">
        <v>120</v>
      </c>
      <c r="BX77" s="730"/>
      <c r="BZ77" s="160" t="s">
        <v>121</v>
      </c>
      <c r="CA77" s="160"/>
      <c r="CB77" s="161" t="s">
        <v>122</v>
      </c>
      <c r="CG77" s="866" t="s">
        <v>542</v>
      </c>
      <c r="CH77">
        <v>84</v>
      </c>
      <c r="CJ77">
        <v>594</v>
      </c>
    </row>
    <row r="78" spans="34:92" x14ac:dyDescent="0.2">
      <c r="AH78" s="165" t="s">
        <v>129</v>
      </c>
      <c r="AI78" s="167"/>
      <c r="AJ78" s="167">
        <f>MAX(AJ71:AJ76)</f>
        <v>7640</v>
      </c>
      <c r="AK78" s="167"/>
      <c r="AL78" s="167"/>
      <c r="AM78" s="167">
        <f>MAX(AM71:AM76)</f>
        <v>8488.8888888888887</v>
      </c>
      <c r="AN78" s="167"/>
      <c r="AO78" s="167"/>
      <c r="AS78" s="165" t="s">
        <v>128</v>
      </c>
      <c r="AT78" s="229">
        <v>34304</v>
      </c>
      <c r="AU78" s="176"/>
      <c r="AW78" s="177"/>
      <c r="AX78" s="178">
        <v>0</v>
      </c>
      <c r="AY78" s="179"/>
      <c r="AZ78" s="172">
        <f t="shared" si="45"/>
        <v>65334</v>
      </c>
      <c r="BB78" s="172">
        <f t="shared" si="46"/>
        <v>72593.333333333328</v>
      </c>
      <c r="BS78" s="732"/>
      <c r="BT78" s="732"/>
      <c r="BU78" s="732" t="s">
        <v>146</v>
      </c>
      <c r="BW78" s="163" t="s">
        <v>148</v>
      </c>
      <c r="BX78" s="163" t="s">
        <v>147</v>
      </c>
      <c r="BZ78" s="164"/>
      <c r="CB78" s="164"/>
      <c r="CG78" s="866" t="s">
        <v>544</v>
      </c>
      <c r="CH78">
        <v>45</v>
      </c>
      <c r="CJ78">
        <v>1065</v>
      </c>
    </row>
    <row r="79" spans="34:92" x14ac:dyDescent="0.2">
      <c r="AH79" s="165" t="s">
        <v>130</v>
      </c>
      <c r="AI79" s="167"/>
      <c r="AJ79" s="169">
        <v>14.5</v>
      </c>
      <c r="AK79" s="167"/>
      <c r="AM79" s="169">
        <v>15</v>
      </c>
      <c r="AN79" s="8"/>
      <c r="AO79" s="8"/>
      <c r="AS79" s="165" t="s">
        <v>2</v>
      </c>
      <c r="AT79" s="167">
        <v>7</v>
      </c>
      <c r="AU79" s="167"/>
      <c r="AV79" s="167"/>
      <c r="BS79" s="165"/>
      <c r="BT79" s="166"/>
      <c r="BU79" s="167"/>
      <c r="CG79" s="866" t="s">
        <v>545</v>
      </c>
      <c r="CH79">
        <v>126</v>
      </c>
      <c r="CJ79">
        <v>685</v>
      </c>
    </row>
    <row r="80" spans="34:92" x14ac:dyDescent="0.2">
      <c r="AH80" s="165" t="s">
        <v>131</v>
      </c>
      <c r="AI80" s="167"/>
      <c r="AJ80" s="230">
        <f>(0.5*SUM(AO72:AO75))/AJ79</f>
        <v>18661.379310344826</v>
      </c>
      <c r="AK80" s="167"/>
      <c r="AM80" s="230">
        <f>(0.5*SUM(AQ72:AQ75))/AM79</f>
        <v>20043.703703703708</v>
      </c>
      <c r="AN80" s="8"/>
      <c r="AO80" s="8"/>
      <c r="AS80" s="165" t="s">
        <v>129</v>
      </c>
      <c r="AT80" s="167"/>
      <c r="AU80" s="167">
        <f>MAX(AU71:AU78)</f>
        <v>114214</v>
      </c>
      <c r="AV80" s="167"/>
      <c r="AW80" s="167"/>
      <c r="AX80" s="167">
        <f>MAX(AX71:AX78)</f>
        <v>126904.44444444444</v>
      </c>
      <c r="AY80" s="167"/>
      <c r="AZ80" s="167"/>
      <c r="BA80" s="180"/>
      <c r="BS80" s="165" t="s">
        <v>145</v>
      </c>
      <c r="BT80" s="166"/>
      <c r="BU80" s="167"/>
      <c r="CG80" s="866" t="s">
        <v>546</v>
      </c>
      <c r="CH80">
        <v>565</v>
      </c>
      <c r="CJ80">
        <v>1100</v>
      </c>
    </row>
    <row r="81" spans="34:88" x14ac:dyDescent="0.2">
      <c r="AS81" s="165" t="s">
        <v>130</v>
      </c>
      <c r="AT81" s="167"/>
      <c r="AU81" s="169">
        <v>13.8</v>
      </c>
      <c r="AV81" s="167"/>
      <c r="AX81" s="169">
        <v>30</v>
      </c>
      <c r="AY81" s="8"/>
      <c r="AZ81" s="8"/>
      <c r="BA81" s="8"/>
      <c r="BB81" s="8"/>
      <c r="BR81" t="s">
        <v>422</v>
      </c>
      <c r="BS81" s="165" t="s">
        <v>127</v>
      </c>
      <c r="BT81" s="229">
        <v>42241</v>
      </c>
      <c r="BU81" s="167"/>
      <c r="BX81" s="169">
        <v>0</v>
      </c>
      <c r="CG81" s="866" t="s">
        <v>547</v>
      </c>
      <c r="CH81">
        <v>376</v>
      </c>
      <c r="CJ81">
        <v>800</v>
      </c>
    </row>
    <row r="82" spans="34:88" ht="25.5" x14ac:dyDescent="0.25">
      <c r="AH82" s="731" t="s">
        <v>117</v>
      </c>
      <c r="AI82" s="731" t="s">
        <v>118</v>
      </c>
      <c r="AJ82" s="730" t="s">
        <v>119</v>
      </c>
      <c r="AL82" s="730" t="s">
        <v>120</v>
      </c>
      <c r="AM82" s="730"/>
      <c r="AO82" s="160" t="s">
        <v>121</v>
      </c>
      <c r="AQ82" s="161" t="s">
        <v>122</v>
      </c>
      <c r="AS82" s="165" t="s">
        <v>131</v>
      </c>
      <c r="AT82" s="167"/>
      <c r="AU82" s="230">
        <f>(0.5*SUM(AZ72:AZ77))/AU81</f>
        <v>181171.95652173914</v>
      </c>
      <c r="AV82" s="167"/>
      <c r="AX82" s="230">
        <f>(0.5*SUM(BB72:BB77))/AX81</f>
        <v>92599</v>
      </c>
      <c r="AY82" s="8"/>
      <c r="AZ82" s="8"/>
      <c r="BA82" s="8"/>
      <c r="BB82" s="8"/>
      <c r="BQ82">
        <f t="shared" ref="BQ82:BQ94" si="47">BT82-$BT$81</f>
        <v>1</v>
      </c>
      <c r="BR82">
        <v>1</v>
      </c>
      <c r="BS82" s="165"/>
      <c r="BT82" s="229">
        <v>42242</v>
      </c>
      <c r="BU82" s="170">
        <v>0</v>
      </c>
      <c r="BW82" s="171">
        <v>0.9</v>
      </c>
      <c r="BX82" s="172">
        <f>BU82/BW82</f>
        <v>0</v>
      </c>
      <c r="BZ82" s="172">
        <f>(BT82-BT81)*(BU82+BU81)</f>
        <v>0</v>
      </c>
      <c r="CB82" s="172">
        <f>(BT82-BT81)*(BX82+BX81)</f>
        <v>0</v>
      </c>
      <c r="CG82" s="866" t="s">
        <v>548</v>
      </c>
      <c r="CH82">
        <v>701</v>
      </c>
      <c r="CJ82">
        <v>1160</v>
      </c>
    </row>
    <row r="83" spans="34:88" x14ac:dyDescent="0.2">
      <c r="AH83" s="732"/>
      <c r="AI83" s="732"/>
      <c r="AJ83" s="732" t="s">
        <v>146</v>
      </c>
      <c r="AL83" s="163" t="s">
        <v>148</v>
      </c>
      <c r="AM83" s="163" t="s">
        <v>147</v>
      </c>
      <c r="AO83" s="164"/>
      <c r="AQ83" s="164"/>
      <c r="BQ83">
        <f t="shared" si="47"/>
        <v>10</v>
      </c>
      <c r="BS83" s="165"/>
      <c r="BT83" s="229">
        <v>42251</v>
      </c>
      <c r="BU83" s="170">
        <v>175</v>
      </c>
      <c r="BW83" s="171">
        <v>0.9</v>
      </c>
      <c r="BX83" s="172">
        <f>BU83/BW83</f>
        <v>194.44444444444443</v>
      </c>
      <c r="BZ83" s="172">
        <f>(BT83-BT82)*(BU83+BU82)</f>
        <v>1575</v>
      </c>
      <c r="CB83" s="172">
        <f>(BT83-BT82)*(BX83+BX82)</f>
        <v>1749.9999999999998</v>
      </c>
      <c r="CG83" s="866" t="s">
        <v>549</v>
      </c>
      <c r="CH83">
        <v>1020</v>
      </c>
      <c r="CI83">
        <v>3050</v>
      </c>
      <c r="CJ83">
        <v>2822</v>
      </c>
    </row>
    <row r="84" spans="34:88" ht="26.25" x14ac:dyDescent="0.25">
      <c r="AH84" s="165"/>
      <c r="AI84" s="166"/>
      <c r="AJ84" s="167"/>
      <c r="AS84" s="1013" t="s">
        <v>117</v>
      </c>
      <c r="AT84" s="1013" t="s">
        <v>118</v>
      </c>
      <c r="AU84" s="157" t="s">
        <v>119</v>
      </c>
      <c r="AW84" s="1012" t="s">
        <v>120</v>
      </c>
      <c r="AX84" s="1012"/>
      <c r="AZ84" s="160" t="s">
        <v>121</v>
      </c>
      <c r="BA84" s="160"/>
      <c r="BB84" s="161" t="s">
        <v>122</v>
      </c>
      <c r="BQ84">
        <f t="shared" si="47"/>
        <v>17</v>
      </c>
      <c r="BS84" s="173"/>
      <c r="BT84" s="229">
        <v>42258</v>
      </c>
      <c r="BU84" s="170">
        <v>274</v>
      </c>
      <c r="BW84" s="171">
        <v>0.9</v>
      </c>
      <c r="BX84" s="172">
        <f>BU84/BW84</f>
        <v>304.44444444444446</v>
      </c>
      <c r="BZ84" s="172">
        <f>(BT84-BT83)*(BU84+BU83)</f>
        <v>3143</v>
      </c>
      <c r="CB84" s="172">
        <f>(BT84-BT83)*(BX84+BX83)</f>
        <v>3492.2222222222226</v>
      </c>
      <c r="CG84" s="574" t="s">
        <v>551</v>
      </c>
      <c r="CH84" s="867">
        <v>2350</v>
      </c>
      <c r="CI84" s="867">
        <v>2640</v>
      </c>
      <c r="CJ84" s="867">
        <v>0</v>
      </c>
    </row>
    <row r="85" spans="34:88" x14ac:dyDescent="0.2">
      <c r="AH85" s="165" t="s">
        <v>145</v>
      </c>
      <c r="AI85" s="166"/>
      <c r="AJ85" s="167"/>
      <c r="AS85" s="1014"/>
      <c r="AT85" s="1014"/>
      <c r="AU85" s="162" t="s">
        <v>146</v>
      </c>
      <c r="AW85" s="163" t="s">
        <v>148</v>
      </c>
      <c r="AX85" s="163" t="s">
        <v>147</v>
      </c>
      <c r="AZ85" s="164"/>
      <c r="BB85" s="164"/>
      <c r="BQ85">
        <f t="shared" si="47"/>
        <v>27</v>
      </c>
      <c r="BT85" s="229">
        <v>42268</v>
      </c>
      <c r="BU85" s="170">
        <v>497</v>
      </c>
      <c r="BW85" s="171">
        <v>0.9</v>
      </c>
      <c r="BX85" s="172">
        <f>BU85/BW85</f>
        <v>552.22222222222217</v>
      </c>
      <c r="BZ85" s="172">
        <f>(BT85-BT84)*(BU85+BU84)</f>
        <v>7710</v>
      </c>
      <c r="CB85" s="172">
        <f>(BT85-BT84)*(BX85+BX84)</f>
        <v>8566.6666666666661</v>
      </c>
      <c r="CH85">
        <f>SUM(CH75:CH84)</f>
        <v>5290</v>
      </c>
      <c r="CJ85">
        <f>SUM(CJ75:CJ84)</f>
        <v>8596</v>
      </c>
    </row>
    <row r="86" spans="34:88" x14ac:dyDescent="0.2">
      <c r="AH86" s="165" t="s">
        <v>127</v>
      </c>
      <c r="AI86" s="229">
        <v>31656</v>
      </c>
      <c r="AJ86" s="167"/>
      <c r="AM86" s="169">
        <v>0</v>
      </c>
      <c r="AS86" s="165"/>
      <c r="AT86" s="166"/>
      <c r="AU86" s="167"/>
      <c r="BQ86">
        <f t="shared" si="47"/>
        <v>34</v>
      </c>
      <c r="BT86" s="229">
        <v>42275</v>
      </c>
      <c r="BU86" s="170">
        <v>763</v>
      </c>
      <c r="BW86" s="171">
        <v>0.9</v>
      </c>
      <c r="BX86" s="172">
        <f t="shared" ref="BX86:BX93" si="48">BU86/BW86</f>
        <v>847.77777777777771</v>
      </c>
      <c r="BZ86" s="172">
        <f t="shared" ref="BZ86:BZ94" si="49">(BT86-BT85)*(BU86+BU85)</f>
        <v>8820</v>
      </c>
      <c r="CB86" s="172">
        <f t="shared" ref="CB86:CB94" si="50">(BT86-BT85)*(BX86+BX85)</f>
        <v>9800</v>
      </c>
    </row>
    <row r="87" spans="34:88" x14ac:dyDescent="0.2">
      <c r="AH87" s="165"/>
      <c r="AI87" s="229">
        <v>31680</v>
      </c>
      <c r="AJ87" s="170">
        <v>197</v>
      </c>
      <c r="AL87" s="171">
        <v>0.9</v>
      </c>
      <c r="AM87" s="172">
        <f t="shared" ref="AM87:AM94" si="51">AJ87/AL87</f>
        <v>218.88888888888889</v>
      </c>
      <c r="AO87" s="172">
        <f t="shared" ref="AO87:AO95" si="52">(AI87-AI86)*(AJ87+AJ86)</f>
        <v>4728</v>
      </c>
      <c r="AQ87" s="172">
        <f t="shared" ref="AQ87:AQ95" si="53">(AI87-AI86)*(AM87+AM86)</f>
        <v>5253.333333333333</v>
      </c>
      <c r="AS87" s="165" t="s">
        <v>145</v>
      </c>
      <c r="AT87" s="166"/>
      <c r="AU87" s="167"/>
      <c r="BQ87">
        <f t="shared" si="47"/>
        <v>41</v>
      </c>
      <c r="BT87" s="229">
        <v>42282</v>
      </c>
      <c r="BU87" s="170">
        <v>427</v>
      </c>
      <c r="BW87" s="171">
        <v>0.9</v>
      </c>
      <c r="BX87" s="172">
        <f t="shared" si="48"/>
        <v>474.44444444444446</v>
      </c>
      <c r="BZ87" s="172">
        <f t="shared" si="49"/>
        <v>8330</v>
      </c>
      <c r="CB87" s="172">
        <f t="shared" si="50"/>
        <v>9255.5555555555547</v>
      </c>
      <c r="CG87" t="s">
        <v>550</v>
      </c>
      <c r="CH87" s="432">
        <f>SUM(CH83:CH84)/CH85</f>
        <v>0.63705103969754251</v>
      </c>
      <c r="CJ87" s="432">
        <f>SUM(CJ83:CJ84)/CJ85</f>
        <v>0.32829222894369475</v>
      </c>
    </row>
    <row r="88" spans="34:88" x14ac:dyDescent="0.2">
      <c r="AH88" s="165"/>
      <c r="AI88" s="229">
        <v>31686</v>
      </c>
      <c r="AJ88" s="170">
        <v>805</v>
      </c>
      <c r="AL88" s="171">
        <v>0.9</v>
      </c>
      <c r="AM88" s="172">
        <f t="shared" si="51"/>
        <v>894.44444444444446</v>
      </c>
      <c r="AO88" s="172">
        <f t="shared" si="52"/>
        <v>6012</v>
      </c>
      <c r="AQ88" s="172">
        <f t="shared" si="53"/>
        <v>6680</v>
      </c>
      <c r="AS88" s="165" t="s">
        <v>127</v>
      </c>
      <c r="AT88" s="229">
        <v>34578</v>
      </c>
      <c r="AU88" s="167"/>
      <c r="AX88" s="169">
        <v>0</v>
      </c>
      <c r="BQ88">
        <f t="shared" si="47"/>
        <v>49</v>
      </c>
      <c r="BT88" s="229">
        <v>42290</v>
      </c>
      <c r="BU88" s="170">
        <v>402</v>
      </c>
      <c r="BW88" s="171">
        <v>0.9</v>
      </c>
      <c r="BX88" s="172">
        <f t="shared" si="48"/>
        <v>446.66666666666663</v>
      </c>
      <c r="BZ88" s="172">
        <f t="shared" si="49"/>
        <v>6632</v>
      </c>
      <c r="CB88" s="172">
        <f t="shared" si="50"/>
        <v>7368.8888888888887</v>
      </c>
    </row>
    <row r="89" spans="34:88" x14ac:dyDescent="0.2">
      <c r="AH89" s="173"/>
      <c r="AI89" s="229">
        <v>31694</v>
      </c>
      <c r="AJ89" s="170">
        <v>1132</v>
      </c>
      <c r="AL89" s="171">
        <v>0.9</v>
      </c>
      <c r="AM89" s="172">
        <f t="shared" si="51"/>
        <v>1257.7777777777778</v>
      </c>
      <c r="AO89" s="172">
        <f t="shared" si="52"/>
        <v>15496</v>
      </c>
      <c r="AQ89" s="172">
        <f t="shared" si="53"/>
        <v>17217.777777777777</v>
      </c>
      <c r="AS89" s="165"/>
      <c r="AT89" s="229">
        <v>34599</v>
      </c>
      <c r="AU89" s="170">
        <v>687</v>
      </c>
      <c r="AW89" s="171">
        <v>0.9</v>
      </c>
      <c r="AX89" s="172">
        <f t="shared" ref="AX89:AX94" si="54">AU89/AW89</f>
        <v>763.33333333333337</v>
      </c>
      <c r="AZ89" s="172">
        <f t="shared" ref="AZ89:AZ95" si="55">(AT89-AT88)*(AU89+AU88)</f>
        <v>14427</v>
      </c>
      <c r="BB89" s="172">
        <f t="shared" ref="BB89:BB95" si="56">(AT89-AT88)*(AX89+AX88)</f>
        <v>16030</v>
      </c>
      <c r="BQ89">
        <f t="shared" si="47"/>
        <v>56</v>
      </c>
      <c r="BT89" s="229">
        <v>42297</v>
      </c>
      <c r="BU89" s="170">
        <v>476</v>
      </c>
      <c r="BW89" s="171">
        <v>0.9</v>
      </c>
      <c r="BX89" s="172">
        <f t="shared" si="48"/>
        <v>528.88888888888891</v>
      </c>
      <c r="BZ89" s="172">
        <f t="shared" si="49"/>
        <v>6146</v>
      </c>
      <c r="CB89" s="172">
        <f t="shared" si="50"/>
        <v>6828.8888888888887</v>
      </c>
    </row>
    <row r="90" spans="34:88" x14ac:dyDescent="0.2">
      <c r="AI90" s="229">
        <v>31701</v>
      </c>
      <c r="AJ90" s="170">
        <v>1134</v>
      </c>
      <c r="AL90" s="171">
        <v>0.9</v>
      </c>
      <c r="AM90" s="172">
        <f t="shared" si="51"/>
        <v>1260</v>
      </c>
      <c r="AO90" s="172">
        <f t="shared" si="52"/>
        <v>15862</v>
      </c>
      <c r="AQ90" s="172">
        <f t="shared" si="53"/>
        <v>17624.444444444445</v>
      </c>
      <c r="AS90" s="165"/>
      <c r="AT90" s="229">
        <v>34619</v>
      </c>
      <c r="AU90" s="170">
        <v>2658</v>
      </c>
      <c r="AW90" s="171">
        <v>0.9</v>
      </c>
      <c r="AX90" s="172">
        <f t="shared" si="54"/>
        <v>2953.3333333333335</v>
      </c>
      <c r="AZ90" s="172">
        <f t="shared" si="55"/>
        <v>66900</v>
      </c>
      <c r="BB90" s="172">
        <f t="shared" si="56"/>
        <v>74333.333333333343</v>
      </c>
      <c r="BQ90">
        <f t="shared" si="47"/>
        <v>63</v>
      </c>
      <c r="BT90" s="229">
        <v>42304</v>
      </c>
      <c r="BU90" s="170">
        <v>517</v>
      </c>
      <c r="BW90" s="171">
        <v>0.9</v>
      </c>
      <c r="BX90" s="172">
        <f t="shared" si="48"/>
        <v>574.44444444444446</v>
      </c>
      <c r="BZ90" s="172">
        <f t="shared" si="49"/>
        <v>6951</v>
      </c>
      <c r="CB90" s="172">
        <f t="shared" si="50"/>
        <v>7723.3333333333339</v>
      </c>
    </row>
    <row r="91" spans="34:88" x14ac:dyDescent="0.2">
      <c r="AI91" s="229">
        <v>31709</v>
      </c>
      <c r="AJ91" s="170">
        <v>970</v>
      </c>
      <c r="AL91" s="171">
        <v>0.9</v>
      </c>
      <c r="AM91" s="172">
        <f t="shared" si="51"/>
        <v>1077.7777777777778</v>
      </c>
      <c r="AO91" s="172">
        <f t="shared" si="52"/>
        <v>16832</v>
      </c>
      <c r="AQ91" s="172">
        <f t="shared" si="53"/>
        <v>18702.222222222223</v>
      </c>
      <c r="AS91" s="173"/>
      <c r="AT91" s="229">
        <v>34636</v>
      </c>
      <c r="AU91" s="170">
        <v>7061</v>
      </c>
      <c r="AW91" s="171">
        <v>0.9</v>
      </c>
      <c r="AX91" s="172">
        <f t="shared" si="54"/>
        <v>7845.5555555555557</v>
      </c>
      <c r="AZ91" s="172">
        <f t="shared" si="55"/>
        <v>165223</v>
      </c>
      <c r="BB91" s="172">
        <f t="shared" si="56"/>
        <v>183581.11111111109</v>
      </c>
      <c r="BQ91">
        <f t="shared" si="47"/>
        <v>70</v>
      </c>
      <c r="BT91" s="229">
        <v>42311</v>
      </c>
      <c r="BU91" s="170">
        <v>223</v>
      </c>
      <c r="BW91" s="171">
        <v>0.9</v>
      </c>
      <c r="BX91" s="172">
        <f t="shared" si="48"/>
        <v>247.77777777777777</v>
      </c>
      <c r="BZ91" s="172">
        <f t="shared" si="49"/>
        <v>5180</v>
      </c>
      <c r="CB91" s="172">
        <f t="shared" si="50"/>
        <v>5755.5555555555547</v>
      </c>
    </row>
    <row r="92" spans="34:88" x14ac:dyDescent="0.2">
      <c r="AI92" s="229">
        <v>31714</v>
      </c>
      <c r="AJ92" s="170">
        <v>465</v>
      </c>
      <c r="AL92" s="171">
        <v>0.9</v>
      </c>
      <c r="AM92" s="172">
        <f t="shared" si="51"/>
        <v>516.66666666666663</v>
      </c>
      <c r="AO92" s="172">
        <f t="shared" si="52"/>
        <v>7175</v>
      </c>
      <c r="AQ92" s="172">
        <f t="shared" si="53"/>
        <v>7972.2222222222217</v>
      </c>
      <c r="AT92" s="229">
        <v>34656</v>
      </c>
      <c r="AU92" s="170">
        <v>2101</v>
      </c>
      <c r="AW92" s="171">
        <v>0.9</v>
      </c>
      <c r="AX92" s="172">
        <f t="shared" si="54"/>
        <v>2334.4444444444443</v>
      </c>
      <c r="AZ92" s="172">
        <f t="shared" si="55"/>
        <v>183240</v>
      </c>
      <c r="BB92" s="172">
        <f t="shared" si="56"/>
        <v>203600</v>
      </c>
      <c r="BQ92">
        <f t="shared" si="47"/>
        <v>76</v>
      </c>
      <c r="BT92" s="229">
        <v>42317</v>
      </c>
      <c r="BU92" s="170">
        <v>71</v>
      </c>
      <c r="BW92" s="171">
        <v>0.9</v>
      </c>
      <c r="BX92" s="172">
        <f t="shared" si="48"/>
        <v>78.888888888888886</v>
      </c>
      <c r="BZ92" s="172">
        <f t="shared" si="49"/>
        <v>1764</v>
      </c>
      <c r="CB92" s="172">
        <f t="shared" si="50"/>
        <v>1959.9999999999998</v>
      </c>
    </row>
    <row r="93" spans="34:88" x14ac:dyDescent="0.2">
      <c r="AI93" s="229">
        <v>31720</v>
      </c>
      <c r="AJ93" s="170">
        <v>1679</v>
      </c>
      <c r="AL93" s="171">
        <v>0.9</v>
      </c>
      <c r="AM93" s="172">
        <f t="shared" si="51"/>
        <v>1865.5555555555554</v>
      </c>
      <c r="AO93" s="172">
        <f t="shared" si="52"/>
        <v>12864</v>
      </c>
      <c r="AQ93" s="172">
        <f t="shared" si="53"/>
        <v>14293.333333333332</v>
      </c>
      <c r="AT93" s="229">
        <v>34682</v>
      </c>
      <c r="AU93" s="170">
        <v>2</v>
      </c>
      <c r="AW93" s="171">
        <v>0.9</v>
      </c>
      <c r="AX93" s="172">
        <f t="shared" si="54"/>
        <v>2.2222222222222223</v>
      </c>
      <c r="AZ93" s="172">
        <f t="shared" si="55"/>
        <v>54678</v>
      </c>
      <c r="BB93" s="172">
        <f t="shared" si="56"/>
        <v>60753.333333333328</v>
      </c>
      <c r="BQ93">
        <f t="shared" si="47"/>
        <v>86</v>
      </c>
      <c r="BT93" s="229">
        <v>42327</v>
      </c>
      <c r="BU93" s="170">
        <v>3</v>
      </c>
      <c r="BW93" s="171">
        <v>0.9</v>
      </c>
      <c r="BX93" s="172">
        <f t="shared" si="48"/>
        <v>3.333333333333333</v>
      </c>
      <c r="BZ93" s="172">
        <f t="shared" si="49"/>
        <v>740</v>
      </c>
      <c r="CB93" s="172">
        <f t="shared" si="50"/>
        <v>822.22222222222217</v>
      </c>
    </row>
    <row r="94" spans="34:88" x14ac:dyDescent="0.2">
      <c r="AI94" s="229">
        <v>31728</v>
      </c>
      <c r="AJ94" s="170">
        <v>805</v>
      </c>
      <c r="AL94" s="171">
        <v>0.9</v>
      </c>
      <c r="AM94" s="172">
        <f t="shared" si="51"/>
        <v>894.44444444444446</v>
      </c>
      <c r="AO94" s="172">
        <f t="shared" si="52"/>
        <v>19872</v>
      </c>
      <c r="AQ94" s="172">
        <f t="shared" si="53"/>
        <v>22080</v>
      </c>
      <c r="AT94" s="229">
        <v>34683</v>
      </c>
      <c r="AU94" s="170">
        <v>2</v>
      </c>
      <c r="AW94" s="171">
        <v>0.9</v>
      </c>
      <c r="AX94" s="172">
        <f t="shared" si="54"/>
        <v>2.2222222222222223</v>
      </c>
      <c r="AZ94" s="172">
        <f t="shared" si="55"/>
        <v>4</v>
      </c>
      <c r="BB94" s="172">
        <f t="shared" si="56"/>
        <v>4.4444444444444446</v>
      </c>
      <c r="BQ94">
        <f t="shared" si="47"/>
        <v>96</v>
      </c>
      <c r="BS94" s="165" t="s">
        <v>128</v>
      </c>
      <c r="BT94" s="229">
        <v>42337</v>
      </c>
      <c r="BU94" s="176"/>
      <c r="BW94" s="171"/>
      <c r="BX94" s="172">
        <v>0</v>
      </c>
      <c r="BZ94" s="172">
        <f t="shared" si="49"/>
        <v>30</v>
      </c>
      <c r="CB94" s="172">
        <f t="shared" si="50"/>
        <v>33.333333333333329</v>
      </c>
    </row>
    <row r="95" spans="34:88" x14ac:dyDescent="0.2">
      <c r="AH95" s="165" t="s">
        <v>128</v>
      </c>
      <c r="AI95" s="229">
        <v>31747</v>
      </c>
      <c r="AJ95" s="176"/>
      <c r="AL95" s="177"/>
      <c r="AM95" s="178">
        <v>0</v>
      </c>
      <c r="AN95" s="179"/>
      <c r="AO95" s="172">
        <f t="shared" si="52"/>
        <v>15295</v>
      </c>
      <c r="AQ95" s="172">
        <f t="shared" si="53"/>
        <v>16994.444444444445</v>
      </c>
      <c r="AS95" s="165" t="s">
        <v>128</v>
      </c>
      <c r="AT95" s="229">
        <v>34684</v>
      </c>
      <c r="AU95" s="176"/>
      <c r="AW95" s="177"/>
      <c r="AX95" s="178">
        <v>0</v>
      </c>
      <c r="AY95" s="179"/>
      <c r="AZ95" s="172">
        <f t="shared" si="55"/>
        <v>2</v>
      </c>
      <c r="BB95" s="172">
        <f t="shared" si="56"/>
        <v>2.2222222222222223</v>
      </c>
      <c r="BS95" s="165" t="s">
        <v>2</v>
      </c>
      <c r="BT95" s="167">
        <v>7</v>
      </c>
      <c r="BU95" s="167"/>
      <c r="BV95" s="167"/>
    </row>
    <row r="96" spans="34:88" x14ac:dyDescent="0.2">
      <c r="AH96" s="165" t="s">
        <v>2</v>
      </c>
      <c r="AI96" s="167">
        <v>7</v>
      </c>
      <c r="AJ96" s="167"/>
      <c r="AK96" s="167"/>
      <c r="AS96" s="165" t="s">
        <v>2</v>
      </c>
      <c r="AT96" s="167">
        <v>7</v>
      </c>
      <c r="AU96" s="167"/>
      <c r="AV96" s="167"/>
      <c r="BS96" s="165" t="s">
        <v>129</v>
      </c>
      <c r="BT96" s="167"/>
      <c r="BU96" s="167">
        <f>MAX(BU81:BU94)</f>
        <v>763</v>
      </c>
      <c r="BV96" s="167"/>
      <c r="BW96" s="167"/>
      <c r="BX96" s="167">
        <f>MAX(BX81:BX94)</f>
        <v>847.77777777777771</v>
      </c>
      <c r="BY96" s="167"/>
      <c r="BZ96" s="167"/>
      <c r="CA96" s="180"/>
    </row>
    <row r="97" spans="34:80" x14ac:dyDescent="0.2">
      <c r="AH97" s="165" t="s">
        <v>129</v>
      </c>
      <c r="AI97" s="167"/>
      <c r="AJ97" s="167">
        <f>MAX(AJ86:AJ95)</f>
        <v>1679</v>
      </c>
      <c r="AK97" s="167"/>
      <c r="AL97" s="167"/>
      <c r="AM97" s="167">
        <f>MAX(AM86:AM95)</f>
        <v>1865.5555555555554</v>
      </c>
      <c r="AN97" s="167"/>
      <c r="AO97" s="167"/>
      <c r="AS97" s="165" t="s">
        <v>129</v>
      </c>
      <c r="AT97" s="167"/>
      <c r="AU97" s="167">
        <f>MAX(AU88:AU95)</f>
        <v>7061</v>
      </c>
      <c r="AV97" s="167"/>
      <c r="AW97" s="167"/>
      <c r="AX97" s="167">
        <f>MAX(AX88:AX95)</f>
        <v>7845.5555555555557</v>
      </c>
      <c r="AY97" s="167"/>
      <c r="AZ97" s="167"/>
      <c r="BA97" s="180"/>
      <c r="BS97" s="165" t="s">
        <v>130</v>
      </c>
      <c r="BT97" s="167"/>
      <c r="BU97" s="169">
        <v>14.5</v>
      </c>
      <c r="BV97" s="167"/>
      <c r="BX97" s="169">
        <v>14.5</v>
      </c>
      <c r="BY97" s="8"/>
      <c r="BZ97" s="8"/>
      <c r="CA97" s="8"/>
      <c r="CB97" s="8"/>
    </row>
    <row r="98" spans="34:80" x14ac:dyDescent="0.2">
      <c r="AH98" s="165" t="s">
        <v>130</v>
      </c>
      <c r="AI98" s="167"/>
      <c r="AJ98" s="169">
        <v>14.5</v>
      </c>
      <c r="AK98" s="167"/>
      <c r="AM98" s="169">
        <v>15</v>
      </c>
      <c r="AN98" s="8"/>
      <c r="AO98" s="8"/>
      <c r="AS98" s="165" t="s">
        <v>130</v>
      </c>
      <c r="AT98" s="167"/>
      <c r="AU98" s="169">
        <v>14</v>
      </c>
      <c r="AV98" s="167"/>
      <c r="AX98" s="169">
        <v>30</v>
      </c>
      <c r="AY98" s="8"/>
      <c r="AZ98" s="8"/>
      <c r="BA98" s="8"/>
      <c r="BB98" s="8"/>
      <c r="BS98" s="165" t="s">
        <v>131</v>
      </c>
      <c r="BT98" s="167"/>
      <c r="BU98" s="230">
        <f>(0.5*SUM(BZ82:BZ94))/BU97</f>
        <v>1966.2413793103449</v>
      </c>
      <c r="BV98" s="167"/>
      <c r="BX98" s="230">
        <f>(0.5*SUM(CB82:CB94))/BX97</f>
        <v>2184.7126436781609</v>
      </c>
      <c r="BY98" s="8"/>
      <c r="BZ98" s="8"/>
      <c r="CA98" s="8"/>
      <c r="CB98" s="8"/>
    </row>
    <row r="99" spans="34:80" x14ac:dyDescent="0.2">
      <c r="AH99" s="165" t="s">
        <v>131</v>
      </c>
      <c r="AI99" s="167"/>
      <c r="AJ99" s="230">
        <f>(0.5*SUM(AO87:AO95))/AJ98</f>
        <v>3935.7241379310344</v>
      </c>
      <c r="AK99" s="167"/>
      <c r="AM99" s="230">
        <f>(0.5*SUM(AQ87:AQ95))/AM98</f>
        <v>4227.2592592592591</v>
      </c>
      <c r="AN99" s="8"/>
      <c r="AO99" s="8"/>
      <c r="AS99" s="165" t="s">
        <v>131</v>
      </c>
      <c r="AT99" s="167"/>
      <c r="AU99" s="230">
        <f>(0.5*SUM(AZ89:AZ94))/AU98</f>
        <v>17302.571428571428</v>
      </c>
      <c r="AV99" s="167"/>
      <c r="AX99" s="230">
        <f>(0.5*SUM(BB89:BB94))/AX98</f>
        <v>8971.7037037037044</v>
      </c>
      <c r="AY99" s="8"/>
      <c r="AZ99" s="8"/>
      <c r="BA99" s="8"/>
      <c r="BB99" s="8"/>
    </row>
    <row r="100" spans="34:80" x14ac:dyDescent="0.2">
      <c r="BU100">
        <f>(0.5*SUM(BZ82:BZ94))</f>
        <v>28510.5</v>
      </c>
    </row>
    <row r="101" spans="34:80" ht="15" customHeight="1" x14ac:dyDescent="0.25">
      <c r="AH101" s="731" t="s">
        <v>117</v>
      </c>
      <c r="AI101" s="731" t="s">
        <v>118</v>
      </c>
      <c r="AJ101" s="730" t="s">
        <v>119</v>
      </c>
      <c r="AL101" s="730" t="s">
        <v>120</v>
      </c>
      <c r="AM101" s="730"/>
      <c r="AO101" s="160" t="s">
        <v>121</v>
      </c>
      <c r="AP101" s="160"/>
      <c r="AQ101" s="161" t="s">
        <v>122</v>
      </c>
      <c r="AS101" s="1013" t="s">
        <v>117</v>
      </c>
      <c r="AT101" s="1013" t="s">
        <v>118</v>
      </c>
      <c r="AU101" s="157" t="s">
        <v>119</v>
      </c>
      <c r="AW101" s="1012" t="s">
        <v>120</v>
      </c>
      <c r="AX101" s="1012"/>
      <c r="AZ101" s="160" t="s">
        <v>121</v>
      </c>
      <c r="BA101" s="160"/>
      <c r="BB101" s="161" t="s">
        <v>122</v>
      </c>
    </row>
    <row r="102" spans="34:80" x14ac:dyDescent="0.2">
      <c r="AH102" s="732"/>
      <c r="AI102" s="732"/>
      <c r="AJ102" s="732" t="s">
        <v>146</v>
      </c>
      <c r="AL102" s="163" t="s">
        <v>148</v>
      </c>
      <c r="AM102" s="163" t="s">
        <v>147</v>
      </c>
      <c r="AO102" s="164"/>
      <c r="AQ102" s="164"/>
      <c r="AS102" s="1014"/>
      <c r="AT102" s="1014"/>
      <c r="AU102" s="162" t="s">
        <v>146</v>
      </c>
      <c r="AW102" s="163" t="s">
        <v>148</v>
      </c>
      <c r="AX102" s="163" t="s">
        <v>147</v>
      </c>
      <c r="AZ102" s="164"/>
      <c r="BB102" s="164"/>
    </row>
    <row r="103" spans="34:80" ht="15" x14ac:dyDescent="0.25">
      <c r="AH103" s="165"/>
      <c r="AI103" s="166"/>
      <c r="AJ103" s="167"/>
      <c r="AS103" s="165"/>
      <c r="AT103" s="166"/>
      <c r="AU103" s="167"/>
      <c r="BS103" s="731" t="s">
        <v>117</v>
      </c>
      <c r="BT103" s="731" t="s">
        <v>118</v>
      </c>
      <c r="BU103" s="730" t="s">
        <v>119</v>
      </c>
      <c r="BW103" s="730" t="s">
        <v>120</v>
      </c>
      <c r="BX103" s="730"/>
      <c r="BZ103" s="160" t="s">
        <v>121</v>
      </c>
      <c r="CA103" s="160"/>
      <c r="CB103" s="161" t="s">
        <v>122</v>
      </c>
    </row>
    <row r="104" spans="34:80" x14ac:dyDescent="0.2">
      <c r="AH104" s="165" t="s">
        <v>145</v>
      </c>
      <c r="AI104" s="166"/>
      <c r="AJ104" s="167"/>
      <c r="AS104" s="165" t="s">
        <v>145</v>
      </c>
      <c r="AT104" s="166"/>
      <c r="AU104" s="167"/>
      <c r="BS104" s="732"/>
      <c r="BT104" s="732"/>
      <c r="BU104" s="732" t="s">
        <v>146</v>
      </c>
      <c r="BW104" s="163" t="s">
        <v>148</v>
      </c>
      <c r="BX104" s="163" t="s">
        <v>147</v>
      </c>
      <c r="BZ104" s="164"/>
      <c r="CB104" s="164"/>
    </row>
    <row r="105" spans="34:80" x14ac:dyDescent="0.2">
      <c r="AH105" s="165" t="s">
        <v>127</v>
      </c>
      <c r="AI105" s="229">
        <v>32021</v>
      </c>
      <c r="AJ105" s="167"/>
      <c r="AM105" s="169">
        <v>0</v>
      </c>
      <c r="AS105" s="165" t="s">
        <v>127</v>
      </c>
      <c r="AT105" s="229">
        <v>34932</v>
      </c>
      <c r="AU105" s="167"/>
      <c r="AX105" s="169">
        <v>0</v>
      </c>
      <c r="BS105" s="165"/>
      <c r="BT105" s="166"/>
      <c r="BU105" s="167"/>
    </row>
    <row r="106" spans="34:80" ht="15" customHeight="1" x14ac:dyDescent="0.2">
      <c r="AH106" s="165"/>
      <c r="AI106" s="229">
        <v>32046</v>
      </c>
      <c r="AJ106" s="170">
        <v>1844</v>
      </c>
      <c r="AL106" s="171">
        <v>0.9</v>
      </c>
      <c r="AM106" s="172">
        <f t="shared" ref="AM106:AM111" si="57">AJ106/AL106</f>
        <v>2048.8888888888887</v>
      </c>
      <c r="AO106" s="172">
        <f t="shared" ref="AO106:AO112" si="58">(AI106-AI105)*(AJ106+AJ105)</f>
        <v>46100</v>
      </c>
      <c r="AQ106" s="172">
        <f t="shared" ref="AQ106:AQ112" si="59">(AI106-AI105)*(AM106+AM105)</f>
        <v>51222.222222222219</v>
      </c>
      <c r="AS106" s="165"/>
      <c r="AT106" s="229">
        <v>34933</v>
      </c>
      <c r="AU106" s="170">
        <v>55</v>
      </c>
      <c r="AW106" s="171">
        <v>0.9</v>
      </c>
      <c r="AX106" s="172">
        <f t="shared" ref="AX106:AX111" si="60">AU106/AW106</f>
        <v>61.111111111111107</v>
      </c>
      <c r="AZ106" s="172">
        <f t="shared" ref="AZ106:AZ112" si="61">(AT106-AT105)*(AU106+AU105)</f>
        <v>55</v>
      </c>
      <c r="BB106" s="172">
        <f t="shared" ref="BB106:BB112" si="62">(AT106-AT105)*(AX106+AX105)</f>
        <v>61.111111111111107</v>
      </c>
      <c r="BS106" s="165" t="s">
        <v>145</v>
      </c>
      <c r="BT106" s="166"/>
      <c r="BU106" s="167"/>
    </row>
    <row r="107" spans="34:80" x14ac:dyDescent="0.2">
      <c r="AH107" s="165"/>
      <c r="AI107" s="229">
        <v>32057</v>
      </c>
      <c r="AJ107" s="170">
        <v>3173</v>
      </c>
      <c r="AL107" s="171">
        <v>0.9</v>
      </c>
      <c r="AM107" s="172">
        <f t="shared" si="57"/>
        <v>3525.5555555555557</v>
      </c>
      <c r="AO107" s="172">
        <f t="shared" si="58"/>
        <v>55187</v>
      </c>
      <c r="AQ107" s="172">
        <f t="shared" si="59"/>
        <v>61318.888888888891</v>
      </c>
      <c r="AS107" s="165"/>
      <c r="AT107" s="229">
        <v>34956</v>
      </c>
      <c r="AU107" s="170">
        <v>41</v>
      </c>
      <c r="AW107" s="171">
        <v>0.9</v>
      </c>
      <c r="AX107" s="172">
        <f t="shared" si="60"/>
        <v>45.555555555555557</v>
      </c>
      <c r="AZ107" s="172">
        <f t="shared" si="61"/>
        <v>2208</v>
      </c>
      <c r="BB107" s="172">
        <f t="shared" si="62"/>
        <v>2453.333333333333</v>
      </c>
      <c r="BS107" s="165" t="s">
        <v>127</v>
      </c>
      <c r="BT107" s="229">
        <v>42602</v>
      </c>
      <c r="BU107" s="167"/>
      <c r="BX107" s="169">
        <v>0</v>
      </c>
    </row>
    <row r="108" spans="34:80" ht="15" customHeight="1" x14ac:dyDescent="0.2">
      <c r="AH108" s="173"/>
      <c r="AI108" s="229">
        <v>32065</v>
      </c>
      <c r="AJ108" s="170">
        <v>4478</v>
      </c>
      <c r="AL108" s="171">
        <v>0.9</v>
      </c>
      <c r="AM108" s="172">
        <f t="shared" si="57"/>
        <v>4975.5555555555557</v>
      </c>
      <c r="AO108" s="172">
        <f t="shared" si="58"/>
        <v>61208</v>
      </c>
      <c r="AQ108" s="172">
        <f t="shared" si="59"/>
        <v>68008.888888888891</v>
      </c>
      <c r="AS108" s="173"/>
      <c r="AT108" s="229">
        <v>34980</v>
      </c>
      <c r="AU108" s="170">
        <v>1539</v>
      </c>
      <c r="AW108" s="171">
        <v>0.9</v>
      </c>
      <c r="AX108" s="172">
        <f t="shared" si="60"/>
        <v>1710</v>
      </c>
      <c r="AZ108" s="172">
        <f t="shared" si="61"/>
        <v>37920</v>
      </c>
      <c r="BB108" s="172">
        <f t="shared" si="62"/>
        <v>42133.333333333336</v>
      </c>
      <c r="BS108" s="165"/>
      <c r="BT108" s="229">
        <v>42606</v>
      </c>
      <c r="BU108" s="170">
        <v>134</v>
      </c>
      <c r="BW108" s="171">
        <v>0.9</v>
      </c>
      <c r="BX108" s="172">
        <f>BU108/BW108</f>
        <v>148.88888888888889</v>
      </c>
      <c r="BZ108" s="172">
        <f>(BT108-BT107)*(BU108+BU107)</f>
        <v>536</v>
      </c>
      <c r="CB108" s="172">
        <f>(BT108-BT107)*(BX108+BX107)</f>
        <v>595.55555555555554</v>
      </c>
    </row>
    <row r="109" spans="34:80" x14ac:dyDescent="0.2">
      <c r="AI109" s="229">
        <v>32074</v>
      </c>
      <c r="AJ109" s="170">
        <v>3750</v>
      </c>
      <c r="AL109" s="171">
        <v>0.9</v>
      </c>
      <c r="AM109" s="172">
        <f t="shared" si="57"/>
        <v>4166.666666666667</v>
      </c>
      <c r="AO109" s="172">
        <f t="shared" si="58"/>
        <v>74052</v>
      </c>
      <c r="AQ109" s="172">
        <f t="shared" si="59"/>
        <v>82280</v>
      </c>
      <c r="AT109" s="229">
        <v>34991</v>
      </c>
      <c r="AU109" s="170">
        <v>1533</v>
      </c>
      <c r="AW109" s="171">
        <v>0.9</v>
      </c>
      <c r="AX109" s="172">
        <f t="shared" si="60"/>
        <v>1703.3333333333333</v>
      </c>
      <c r="AZ109" s="172">
        <f t="shared" si="61"/>
        <v>33792</v>
      </c>
      <c r="BB109" s="172">
        <f t="shared" si="62"/>
        <v>37546.666666666664</v>
      </c>
      <c r="BS109" s="165"/>
      <c r="BT109" s="229">
        <v>42620</v>
      </c>
      <c r="BU109" s="170">
        <v>249</v>
      </c>
      <c r="BW109" s="171">
        <v>0.9</v>
      </c>
      <c r="BX109" s="172">
        <f>BU109/BW109</f>
        <v>276.66666666666669</v>
      </c>
      <c r="BZ109" s="172">
        <f>(BT109-BT108)*(BU109+BU108)</f>
        <v>5362</v>
      </c>
      <c r="CB109" s="172">
        <f>(BT109-BT108)*(BX109+BX108)</f>
        <v>5957.7777777777774</v>
      </c>
    </row>
    <row r="110" spans="34:80" x14ac:dyDescent="0.2">
      <c r="AI110" s="229">
        <v>32084</v>
      </c>
      <c r="AJ110" s="170">
        <v>14145</v>
      </c>
      <c r="AL110" s="171">
        <v>0.9</v>
      </c>
      <c r="AM110" s="172">
        <f t="shared" si="57"/>
        <v>15716.666666666666</v>
      </c>
      <c r="AO110" s="172">
        <f t="shared" si="58"/>
        <v>178950</v>
      </c>
      <c r="AQ110" s="172">
        <f t="shared" si="59"/>
        <v>198833.33333333331</v>
      </c>
      <c r="AT110" s="229">
        <v>35000</v>
      </c>
      <c r="AU110" s="170">
        <v>1114</v>
      </c>
      <c r="AW110" s="171">
        <v>0.9</v>
      </c>
      <c r="AX110" s="172">
        <f t="shared" si="60"/>
        <v>1237.7777777777778</v>
      </c>
      <c r="AZ110" s="172">
        <f t="shared" si="61"/>
        <v>23823</v>
      </c>
      <c r="BB110" s="172">
        <f t="shared" si="62"/>
        <v>26470</v>
      </c>
      <c r="BS110" s="173"/>
      <c r="BT110" s="229">
        <v>42625</v>
      </c>
      <c r="BU110" s="170">
        <v>313</v>
      </c>
      <c r="BW110" s="171">
        <v>0.9</v>
      </c>
      <c r="BX110" s="172">
        <f>BU110/BW110</f>
        <v>347.77777777777777</v>
      </c>
      <c r="BZ110" s="172">
        <f>(BT110-BT109)*(BU110+BU109)</f>
        <v>2810</v>
      </c>
      <c r="CB110" s="172">
        <f>(BT110-BT109)*(BX110+BX109)</f>
        <v>3122.2222222222222</v>
      </c>
    </row>
    <row r="111" spans="34:80" x14ac:dyDescent="0.2">
      <c r="AI111" s="229">
        <v>32100</v>
      </c>
      <c r="AJ111" s="170">
        <v>7607</v>
      </c>
      <c r="AL111" s="171">
        <v>0.9</v>
      </c>
      <c r="AM111" s="172">
        <f t="shared" si="57"/>
        <v>8452.2222222222226</v>
      </c>
      <c r="AO111" s="172">
        <f t="shared" si="58"/>
        <v>348032</v>
      </c>
      <c r="AQ111" s="172">
        <f t="shared" si="59"/>
        <v>386702.22222222225</v>
      </c>
      <c r="AT111" s="229">
        <v>35009</v>
      </c>
      <c r="AU111" s="170">
        <v>476</v>
      </c>
      <c r="AW111" s="171">
        <v>0.9</v>
      </c>
      <c r="AX111" s="172">
        <f t="shared" si="60"/>
        <v>528.88888888888891</v>
      </c>
      <c r="AZ111" s="172">
        <f t="shared" si="61"/>
        <v>14310</v>
      </c>
      <c r="BB111" s="172">
        <f t="shared" si="62"/>
        <v>15900</v>
      </c>
      <c r="BT111" s="229">
        <v>42633</v>
      </c>
      <c r="BU111" s="170">
        <v>743</v>
      </c>
      <c r="BW111" s="171">
        <v>0.9</v>
      </c>
      <c r="BX111" s="172">
        <f>BU111/BW111</f>
        <v>825.55555555555554</v>
      </c>
      <c r="BZ111" s="172">
        <f>(BT111-BT110)*(BU111+BU110)</f>
        <v>8448</v>
      </c>
      <c r="CB111" s="172">
        <f>(BT111-BT110)*(BX111+BX110)</f>
        <v>9386.6666666666661</v>
      </c>
    </row>
    <row r="112" spans="34:80" x14ac:dyDescent="0.2">
      <c r="AH112" s="165" t="s">
        <v>128</v>
      </c>
      <c r="AI112" s="229">
        <v>32112</v>
      </c>
      <c r="AJ112" s="176"/>
      <c r="AL112" s="177"/>
      <c r="AM112" s="178">
        <v>0</v>
      </c>
      <c r="AN112" s="179"/>
      <c r="AO112" s="172">
        <f t="shared" si="58"/>
        <v>91284</v>
      </c>
      <c r="AQ112" s="172">
        <f t="shared" si="59"/>
        <v>101426.66666666667</v>
      </c>
      <c r="AS112" s="165" t="s">
        <v>128</v>
      </c>
      <c r="AT112" s="229">
        <v>35034</v>
      </c>
      <c r="AU112" s="176"/>
      <c r="AW112" s="177"/>
      <c r="AX112" s="178">
        <v>0</v>
      </c>
      <c r="AY112" s="179"/>
      <c r="AZ112" s="172">
        <f t="shared" si="61"/>
        <v>11900</v>
      </c>
      <c r="BB112" s="172">
        <f t="shared" si="62"/>
        <v>13222.222222222223</v>
      </c>
      <c r="BT112" s="229">
        <v>42641</v>
      </c>
      <c r="BU112" s="170">
        <f>856+780</f>
        <v>1636</v>
      </c>
      <c r="BW112" s="171">
        <v>0.9</v>
      </c>
      <c r="BX112" s="172">
        <f t="shared" ref="BX112:BX119" si="63">BU112/BW112</f>
        <v>1817.7777777777778</v>
      </c>
      <c r="BZ112" s="172">
        <f t="shared" ref="BZ112:BZ120" si="64">(BT112-BT111)*(BU112+BU111)</f>
        <v>19032</v>
      </c>
      <c r="CB112" s="172">
        <f t="shared" ref="CB112:CB120" si="65">(BT112-BT111)*(BX112+BX111)</f>
        <v>21146.666666666668</v>
      </c>
    </row>
    <row r="113" spans="34:80" x14ac:dyDescent="0.2">
      <c r="AH113" s="165" t="s">
        <v>2</v>
      </c>
      <c r="AI113" s="167">
        <v>7</v>
      </c>
      <c r="AJ113" s="167"/>
      <c r="AK113" s="167"/>
      <c r="AS113" s="165" t="s">
        <v>2</v>
      </c>
      <c r="AT113" s="167">
        <v>7</v>
      </c>
      <c r="AU113" s="167"/>
      <c r="AV113" s="167"/>
      <c r="BT113" s="229">
        <v>42646</v>
      </c>
      <c r="BU113" s="170">
        <v>2525</v>
      </c>
      <c r="BW113" s="171">
        <v>0.8</v>
      </c>
      <c r="BX113" s="172">
        <f t="shared" si="63"/>
        <v>3156.25</v>
      </c>
      <c r="BZ113" s="172">
        <f t="shared" si="64"/>
        <v>20805</v>
      </c>
      <c r="CB113" s="172">
        <f t="shared" si="65"/>
        <v>24870.138888888887</v>
      </c>
    </row>
    <row r="114" spans="34:80" x14ac:dyDescent="0.2">
      <c r="AH114" s="165" t="s">
        <v>129</v>
      </c>
      <c r="AI114" s="167"/>
      <c r="AJ114" s="167">
        <f>MAX(AJ105:AJ112)</f>
        <v>14145</v>
      </c>
      <c r="AK114" s="167"/>
      <c r="AL114" s="167"/>
      <c r="AM114" s="167">
        <f>MAX(AM105:AM112)</f>
        <v>15716.666666666666</v>
      </c>
      <c r="AN114" s="167"/>
      <c r="AO114" s="167"/>
      <c r="AP114" s="180"/>
      <c r="AS114" s="165" t="s">
        <v>129</v>
      </c>
      <c r="AT114" s="167"/>
      <c r="AU114" s="167">
        <f>MAX(AU105:AU112)</f>
        <v>1539</v>
      </c>
      <c r="AV114" s="167"/>
      <c r="AW114" s="167"/>
      <c r="AX114" s="167">
        <f>MAX(AX105:AX112)</f>
        <v>1710</v>
      </c>
      <c r="AY114" s="167"/>
      <c r="AZ114" s="167"/>
      <c r="BA114" s="180"/>
      <c r="BT114" s="229">
        <v>42654</v>
      </c>
      <c r="BU114" s="170">
        <v>5565</v>
      </c>
      <c r="BW114" s="171">
        <v>0.8</v>
      </c>
      <c r="BX114" s="172">
        <f t="shared" si="63"/>
        <v>6956.25</v>
      </c>
      <c r="BZ114" s="172">
        <f t="shared" si="64"/>
        <v>64720</v>
      </c>
      <c r="CB114" s="172">
        <f t="shared" si="65"/>
        <v>80900</v>
      </c>
    </row>
    <row r="115" spans="34:80" x14ac:dyDescent="0.2">
      <c r="AH115" s="165" t="s">
        <v>130</v>
      </c>
      <c r="AI115" s="167"/>
      <c r="AJ115" s="169">
        <v>12.5</v>
      </c>
      <c r="AK115" s="167"/>
      <c r="AM115" s="169">
        <v>30</v>
      </c>
      <c r="AN115" s="8"/>
      <c r="AO115" s="8"/>
      <c r="AP115" s="8"/>
      <c r="AQ115" s="8"/>
      <c r="AS115" s="165" t="s">
        <v>130</v>
      </c>
      <c r="AT115" s="167"/>
      <c r="AU115" s="169">
        <v>12.5</v>
      </c>
      <c r="AV115" s="167"/>
      <c r="AX115" s="169">
        <v>30</v>
      </c>
      <c r="AY115" s="8"/>
      <c r="AZ115" s="8"/>
      <c r="BA115" s="8"/>
      <c r="BB115" s="8"/>
      <c r="BT115" s="229">
        <v>42660</v>
      </c>
      <c r="BU115" s="170">
        <v>3262</v>
      </c>
      <c r="BW115" s="171">
        <v>0.65</v>
      </c>
      <c r="BX115" s="172">
        <f t="shared" si="63"/>
        <v>5018.4615384615381</v>
      </c>
      <c r="BZ115" s="172">
        <f t="shared" si="64"/>
        <v>52962</v>
      </c>
      <c r="CB115" s="172">
        <f t="shared" si="65"/>
        <v>71848.269230769234</v>
      </c>
    </row>
    <row r="116" spans="34:80" x14ac:dyDescent="0.2">
      <c r="AH116" s="165" t="s">
        <v>131</v>
      </c>
      <c r="AI116" s="167"/>
      <c r="AJ116" s="230">
        <f>(0.5*SUM(AO106:AO111))/AJ115</f>
        <v>30541.16</v>
      </c>
      <c r="AK116" s="167"/>
      <c r="AM116" s="230">
        <f>(0.5*SUM(AQ106:AQ111))/AM115</f>
        <v>14139.425925925925</v>
      </c>
      <c r="AN116" s="8"/>
      <c r="AO116" s="8"/>
      <c r="AP116" s="8"/>
      <c r="AQ116" s="8"/>
      <c r="AS116" s="165" t="s">
        <v>131</v>
      </c>
      <c r="AT116" s="167"/>
      <c r="AU116" s="230">
        <f>(0.5*SUM(AZ106:AZ111))/AU115</f>
        <v>4484.32</v>
      </c>
      <c r="AV116" s="167"/>
      <c r="AX116" s="230">
        <f>(0.5*SUM(BB106:BB111))/AX115</f>
        <v>2076.0740740740739</v>
      </c>
      <c r="AY116" s="8"/>
      <c r="AZ116" s="8"/>
      <c r="BA116" s="8"/>
      <c r="BB116" s="8"/>
      <c r="BT116" s="229">
        <v>42667</v>
      </c>
      <c r="BU116" s="170">
        <v>3040</v>
      </c>
      <c r="BW116" s="171">
        <v>0.8</v>
      </c>
      <c r="BX116" s="172">
        <f t="shared" si="63"/>
        <v>3800</v>
      </c>
      <c r="BZ116" s="172">
        <f t="shared" si="64"/>
        <v>44114</v>
      </c>
      <c r="CB116" s="172">
        <f t="shared" si="65"/>
        <v>61729.230769230773</v>
      </c>
    </row>
    <row r="117" spans="34:80" x14ac:dyDescent="0.2">
      <c r="BT117" s="229">
        <v>42674</v>
      </c>
      <c r="BU117" s="170">
        <v>1932</v>
      </c>
      <c r="BW117" s="171">
        <v>0.8</v>
      </c>
      <c r="BX117" s="172">
        <f t="shared" si="63"/>
        <v>2415</v>
      </c>
      <c r="BZ117" s="172">
        <f t="shared" si="64"/>
        <v>34804</v>
      </c>
      <c r="CB117" s="172">
        <f t="shared" si="65"/>
        <v>43505</v>
      </c>
    </row>
    <row r="118" spans="34:80" ht="25.5" x14ac:dyDescent="0.25">
      <c r="AH118" s="731" t="s">
        <v>117</v>
      </c>
      <c r="AI118" s="731" t="s">
        <v>118</v>
      </c>
      <c r="AJ118" s="730" t="s">
        <v>119</v>
      </c>
      <c r="AL118" s="730" t="s">
        <v>120</v>
      </c>
      <c r="AM118" s="730"/>
      <c r="AO118" s="160" t="s">
        <v>121</v>
      </c>
      <c r="AP118" s="160"/>
      <c r="AQ118" s="161" t="s">
        <v>122</v>
      </c>
      <c r="AS118" s="1013" t="s">
        <v>117</v>
      </c>
      <c r="AT118" s="1013" t="s">
        <v>118</v>
      </c>
      <c r="AU118" s="157" t="s">
        <v>119</v>
      </c>
      <c r="AW118" s="1012" t="s">
        <v>120</v>
      </c>
      <c r="AX118" s="1012"/>
      <c r="AZ118" s="160" t="s">
        <v>121</v>
      </c>
      <c r="BA118" s="160"/>
      <c r="BB118" s="161" t="s">
        <v>122</v>
      </c>
      <c r="BT118" s="229">
        <v>42688</v>
      </c>
      <c r="BU118" s="170">
        <v>16</v>
      </c>
      <c r="BW118" s="171">
        <v>0.8</v>
      </c>
      <c r="BX118" s="172">
        <f t="shared" si="63"/>
        <v>20</v>
      </c>
      <c r="BZ118" s="172">
        <f t="shared" si="64"/>
        <v>27272</v>
      </c>
      <c r="CB118" s="172">
        <f t="shared" si="65"/>
        <v>34090</v>
      </c>
    </row>
    <row r="119" spans="34:80" x14ac:dyDescent="0.2">
      <c r="AH119" s="732"/>
      <c r="AI119" s="732"/>
      <c r="AJ119" s="732" t="s">
        <v>146</v>
      </c>
      <c r="AL119" s="163" t="s">
        <v>148</v>
      </c>
      <c r="AM119" s="163" t="s">
        <v>147</v>
      </c>
      <c r="AO119" s="164"/>
      <c r="AQ119" s="164"/>
      <c r="AS119" s="1014"/>
      <c r="AT119" s="1014"/>
      <c r="AU119" s="162" t="s">
        <v>146</v>
      </c>
      <c r="AW119" s="163" t="s">
        <v>148</v>
      </c>
      <c r="AX119" s="163" t="s">
        <v>147</v>
      </c>
      <c r="AZ119" s="164"/>
      <c r="BB119" s="164"/>
      <c r="BS119" s="165" t="s">
        <v>128</v>
      </c>
      <c r="BT119" s="229">
        <v>42705</v>
      </c>
      <c r="BU119" s="170"/>
      <c r="BW119" s="171">
        <v>0.65</v>
      </c>
      <c r="BX119" s="172">
        <f t="shared" si="63"/>
        <v>0</v>
      </c>
      <c r="BZ119" s="172">
        <f t="shared" si="64"/>
        <v>272</v>
      </c>
      <c r="CB119" s="172">
        <f t="shared" si="65"/>
        <v>340</v>
      </c>
    </row>
    <row r="120" spans="34:80" x14ac:dyDescent="0.2">
      <c r="AH120" s="165"/>
      <c r="AI120" s="166"/>
      <c r="AJ120" s="167"/>
      <c r="AS120" s="165"/>
      <c r="AT120" s="166"/>
      <c r="AU120" s="167"/>
      <c r="BT120" s="229"/>
      <c r="BU120" s="176"/>
      <c r="BW120" s="171"/>
      <c r="BX120" s="172">
        <v>0</v>
      </c>
      <c r="BZ120" s="172">
        <f t="shared" si="64"/>
        <v>0</v>
      </c>
      <c r="CB120" s="172">
        <f t="shared" si="65"/>
        <v>0</v>
      </c>
    </row>
    <row r="121" spans="34:80" x14ac:dyDescent="0.2">
      <c r="AH121" s="165" t="s">
        <v>145</v>
      </c>
      <c r="AI121" s="166"/>
      <c r="AJ121" s="167"/>
      <c r="AS121" s="165" t="s">
        <v>145</v>
      </c>
      <c r="AT121" s="166"/>
      <c r="AU121" s="167"/>
      <c r="BS121" s="165" t="s">
        <v>2</v>
      </c>
      <c r="BT121" s="167">
        <v>7</v>
      </c>
      <c r="BU121" s="167"/>
      <c r="BV121" s="167"/>
    </row>
    <row r="122" spans="34:80" x14ac:dyDescent="0.2">
      <c r="AH122" s="165" t="s">
        <v>127</v>
      </c>
      <c r="AI122" s="229">
        <v>32387</v>
      </c>
      <c r="AJ122" s="167"/>
      <c r="AM122" s="169">
        <v>0</v>
      </c>
      <c r="AS122" s="165" t="s">
        <v>127</v>
      </c>
      <c r="AT122" s="229">
        <v>35298</v>
      </c>
      <c r="AU122" s="167"/>
      <c r="AX122" s="169">
        <v>0</v>
      </c>
      <c r="BS122" s="165" t="s">
        <v>129</v>
      </c>
      <c r="BT122" s="167"/>
      <c r="BU122" s="167">
        <f>MAX(BU107:BU120)</f>
        <v>5565</v>
      </c>
      <c r="BV122" s="167"/>
      <c r="BW122" s="167"/>
      <c r="BX122" s="167">
        <f>MAX(BX107:BX120)</f>
        <v>6956.25</v>
      </c>
      <c r="BY122" s="167"/>
      <c r="BZ122" s="167"/>
      <c r="CA122" s="180"/>
    </row>
    <row r="123" spans="34:80" ht="15" customHeight="1" x14ac:dyDescent="0.2">
      <c r="AH123" s="165"/>
      <c r="AI123" s="229">
        <v>32415</v>
      </c>
      <c r="AJ123" s="170">
        <v>5248</v>
      </c>
      <c r="AL123" s="171">
        <v>0.9</v>
      </c>
      <c r="AM123" s="172">
        <f t="shared" ref="AM123:AM128" si="66">AJ123/AL123</f>
        <v>5831.1111111111113</v>
      </c>
      <c r="AO123" s="172">
        <f t="shared" ref="AO123:AO129" si="67">(AI123-AI122)*(AJ123+AJ122)</f>
        <v>146944</v>
      </c>
      <c r="AQ123" s="172">
        <f t="shared" ref="AQ123:AQ129" si="68">(AI123-AI122)*(AM123+AM122)</f>
        <v>163271.11111111112</v>
      </c>
      <c r="AS123" s="165"/>
      <c r="AT123" s="229">
        <v>35299</v>
      </c>
      <c r="AU123" s="170">
        <v>100</v>
      </c>
      <c r="AW123" s="171">
        <v>0.9</v>
      </c>
      <c r="AX123" s="172">
        <f t="shared" ref="AX123:AX128" si="69">AU123/AW123</f>
        <v>111.11111111111111</v>
      </c>
      <c r="AZ123" s="172">
        <f t="shared" ref="AZ123:AZ129" si="70">(AT123-AT122)*(AU123+AU122)</f>
        <v>100</v>
      </c>
      <c r="BB123" s="172">
        <f t="shared" ref="BB123:BB129" si="71">(AT123-AT122)*(AX123+AX122)</f>
        <v>111.11111111111111</v>
      </c>
      <c r="BS123" s="165" t="s">
        <v>130</v>
      </c>
      <c r="BT123" s="167"/>
      <c r="BU123" s="169">
        <v>14.5</v>
      </c>
      <c r="BV123" s="167"/>
      <c r="BX123" s="169">
        <v>26</v>
      </c>
      <c r="BY123" s="8"/>
      <c r="BZ123" s="8"/>
      <c r="CA123" s="8"/>
      <c r="CB123" s="8"/>
    </row>
    <row r="124" spans="34:80" x14ac:dyDescent="0.2">
      <c r="AH124" s="165"/>
      <c r="AI124" s="229">
        <v>32422</v>
      </c>
      <c r="AJ124" s="170">
        <v>10230</v>
      </c>
      <c r="AL124" s="171">
        <v>0.9</v>
      </c>
      <c r="AM124" s="172">
        <f t="shared" si="66"/>
        <v>11366.666666666666</v>
      </c>
      <c r="AO124" s="172">
        <f t="shared" si="67"/>
        <v>108346</v>
      </c>
      <c r="AQ124" s="172">
        <f t="shared" si="68"/>
        <v>120384.44444444444</v>
      </c>
      <c r="AS124" s="165"/>
      <c r="AT124" s="229">
        <v>35319</v>
      </c>
      <c r="AU124" s="170">
        <v>1933</v>
      </c>
      <c r="AW124" s="171">
        <v>0.9</v>
      </c>
      <c r="AX124" s="172">
        <f t="shared" si="69"/>
        <v>2147.7777777777778</v>
      </c>
      <c r="AZ124" s="172">
        <f t="shared" si="70"/>
        <v>40660</v>
      </c>
      <c r="BB124" s="172">
        <f t="shared" si="71"/>
        <v>45177.777777777781</v>
      </c>
      <c r="BS124" s="165" t="s">
        <v>131</v>
      </c>
      <c r="BT124" s="167"/>
      <c r="BU124" s="230">
        <f>(0.5*SUM(BZ108:BZ120))/BU123</f>
        <v>9694.3793103448279</v>
      </c>
      <c r="BV124" s="167"/>
      <c r="BX124" s="230">
        <f>(0.5*SUM(CB108:CB120))/BX123</f>
        <v>6874.8370726495723</v>
      </c>
      <c r="BY124" s="8"/>
      <c r="BZ124" s="8"/>
      <c r="CA124" s="8"/>
      <c r="CB124" s="8"/>
    </row>
    <row r="125" spans="34:80" x14ac:dyDescent="0.2">
      <c r="AH125" s="173"/>
      <c r="AI125" s="229">
        <v>32434</v>
      </c>
      <c r="AJ125" s="170">
        <v>14326</v>
      </c>
      <c r="AL125" s="171">
        <v>0.9</v>
      </c>
      <c r="AM125" s="172">
        <f t="shared" si="66"/>
        <v>15917.777777777777</v>
      </c>
      <c r="AO125" s="172">
        <f t="shared" si="67"/>
        <v>294672</v>
      </c>
      <c r="AQ125" s="172">
        <f t="shared" si="68"/>
        <v>327413.33333333337</v>
      </c>
      <c r="AS125" s="173"/>
      <c r="AT125" s="229">
        <v>35334</v>
      </c>
      <c r="AU125" s="170">
        <v>12856</v>
      </c>
      <c r="AW125" s="171">
        <v>0.9</v>
      </c>
      <c r="AX125" s="172">
        <f t="shared" si="69"/>
        <v>14284.444444444443</v>
      </c>
      <c r="AZ125" s="172">
        <f t="shared" si="70"/>
        <v>221835</v>
      </c>
      <c r="BB125" s="172">
        <f t="shared" si="71"/>
        <v>246483.33333333334</v>
      </c>
    </row>
    <row r="126" spans="34:80" x14ac:dyDescent="0.2">
      <c r="AI126" s="229">
        <v>32445</v>
      </c>
      <c r="AJ126" s="170">
        <v>15652</v>
      </c>
      <c r="AL126" s="171">
        <v>0.9</v>
      </c>
      <c r="AM126" s="172">
        <f t="shared" si="66"/>
        <v>17391.111111111109</v>
      </c>
      <c r="AO126" s="172">
        <f t="shared" si="67"/>
        <v>329758</v>
      </c>
      <c r="AQ126" s="172">
        <f t="shared" si="68"/>
        <v>366397.77777777781</v>
      </c>
      <c r="AT126" s="229">
        <v>35348</v>
      </c>
      <c r="AU126" s="170">
        <v>21497</v>
      </c>
      <c r="AW126" s="171">
        <v>0.9</v>
      </c>
      <c r="AX126" s="172">
        <f t="shared" si="69"/>
        <v>23885.555555555555</v>
      </c>
      <c r="AZ126" s="172">
        <f t="shared" si="70"/>
        <v>480942</v>
      </c>
      <c r="BB126" s="172">
        <f t="shared" si="71"/>
        <v>534380</v>
      </c>
      <c r="BU126">
        <f>(0.5*SUM(BZ108:BZ120))</f>
        <v>140568.5</v>
      </c>
    </row>
    <row r="127" spans="34:80" x14ac:dyDescent="0.2">
      <c r="AI127" s="229">
        <v>32461</v>
      </c>
      <c r="AJ127" s="170">
        <v>2609</v>
      </c>
      <c r="AL127" s="171">
        <v>0.9</v>
      </c>
      <c r="AM127" s="172">
        <f t="shared" si="66"/>
        <v>2898.8888888888887</v>
      </c>
      <c r="AO127" s="172">
        <f t="shared" si="67"/>
        <v>292176</v>
      </c>
      <c r="AQ127" s="172">
        <f t="shared" si="68"/>
        <v>324640</v>
      </c>
      <c r="AT127" s="229">
        <v>35368</v>
      </c>
      <c r="AU127" s="170">
        <v>12016</v>
      </c>
      <c r="AW127" s="171">
        <v>0.9</v>
      </c>
      <c r="AX127" s="172">
        <f t="shared" si="69"/>
        <v>13351.111111111111</v>
      </c>
      <c r="AZ127" s="172">
        <f t="shared" si="70"/>
        <v>670260</v>
      </c>
      <c r="BB127" s="172">
        <f t="shared" si="71"/>
        <v>744733.33333333326</v>
      </c>
    </row>
    <row r="128" spans="34:80" x14ac:dyDescent="0.2">
      <c r="AI128" s="229">
        <v>32475</v>
      </c>
      <c r="AJ128" s="170">
        <v>118</v>
      </c>
      <c r="AL128" s="171">
        <v>0.9</v>
      </c>
      <c r="AM128" s="172">
        <f t="shared" si="66"/>
        <v>131.11111111111111</v>
      </c>
      <c r="AO128" s="172">
        <f t="shared" si="67"/>
        <v>38178</v>
      </c>
      <c r="AQ128" s="172">
        <f t="shared" si="68"/>
        <v>42420</v>
      </c>
      <c r="AT128" s="229">
        <v>35391</v>
      </c>
      <c r="AU128" s="170">
        <v>205</v>
      </c>
      <c r="AW128" s="171">
        <v>0.9</v>
      </c>
      <c r="AX128" s="172">
        <f t="shared" si="69"/>
        <v>227.77777777777777</v>
      </c>
      <c r="AZ128" s="172">
        <f t="shared" si="70"/>
        <v>281083</v>
      </c>
      <c r="BB128" s="172">
        <f t="shared" si="71"/>
        <v>312314.44444444444</v>
      </c>
      <c r="BS128" s="299" t="s">
        <v>9</v>
      </c>
      <c r="BU128" s="169">
        <v>5565</v>
      </c>
      <c r="BX128" s="169">
        <v>6956</v>
      </c>
    </row>
    <row r="129" spans="34:80" x14ac:dyDescent="0.2">
      <c r="AH129" s="165" t="s">
        <v>128</v>
      </c>
      <c r="AI129" s="229">
        <v>32478</v>
      </c>
      <c r="AJ129" s="176"/>
      <c r="AL129" s="177"/>
      <c r="AM129" s="178">
        <v>0</v>
      </c>
      <c r="AN129" s="179"/>
      <c r="AO129" s="172">
        <f t="shared" si="67"/>
        <v>354</v>
      </c>
      <c r="AQ129" s="172">
        <f t="shared" si="68"/>
        <v>393.33333333333337</v>
      </c>
      <c r="AS129" s="165" t="s">
        <v>128</v>
      </c>
      <c r="AT129" s="229">
        <v>35400</v>
      </c>
      <c r="AU129" s="176"/>
      <c r="AW129" s="177"/>
      <c r="AX129" s="178">
        <v>0</v>
      </c>
      <c r="AY129" s="179"/>
      <c r="AZ129" s="172">
        <f t="shared" si="70"/>
        <v>1845</v>
      </c>
      <c r="BB129" s="172">
        <f t="shared" si="71"/>
        <v>2050</v>
      </c>
      <c r="BS129" s="299" t="s">
        <v>250</v>
      </c>
      <c r="BU129" s="370">
        <v>25</v>
      </c>
      <c r="BX129" s="370">
        <v>26</v>
      </c>
    </row>
    <row r="130" spans="34:80" x14ac:dyDescent="0.2">
      <c r="AH130" s="165" t="s">
        <v>2</v>
      </c>
      <c r="AI130" s="167">
        <v>7</v>
      </c>
      <c r="AJ130" s="167"/>
      <c r="AK130" s="167"/>
      <c r="AS130" s="165" t="s">
        <v>2</v>
      </c>
      <c r="AT130" s="167">
        <v>7</v>
      </c>
      <c r="AU130" s="167"/>
      <c r="AV130" s="167"/>
    </row>
    <row r="131" spans="34:80" x14ac:dyDescent="0.2">
      <c r="AH131" s="165" t="s">
        <v>129</v>
      </c>
      <c r="AI131" s="167"/>
      <c r="AJ131" s="167">
        <f>MAX(AJ122:AJ129)</f>
        <v>15652</v>
      </c>
      <c r="AK131" s="167"/>
      <c r="AL131" s="167"/>
      <c r="AM131" s="167">
        <f>MAX(AM122:AM129)</f>
        <v>17391.111111111109</v>
      </c>
      <c r="AN131" s="167"/>
      <c r="AO131" s="167"/>
      <c r="AP131" s="180"/>
      <c r="AS131" s="165" t="s">
        <v>129</v>
      </c>
      <c r="AT131" s="167"/>
      <c r="AU131" s="167">
        <f>MAX(AU122:AU129)</f>
        <v>21497</v>
      </c>
      <c r="AV131" s="167"/>
      <c r="AW131" s="167"/>
      <c r="AX131" s="167">
        <f>MAX(AX122:AX129)</f>
        <v>23885.555555555555</v>
      </c>
      <c r="AY131" s="167"/>
      <c r="AZ131" s="167"/>
      <c r="BA131" s="180"/>
    </row>
    <row r="132" spans="34:80" ht="15" x14ac:dyDescent="0.25">
      <c r="AH132" s="165" t="s">
        <v>130</v>
      </c>
      <c r="AI132" s="167"/>
      <c r="AJ132" s="169">
        <v>15</v>
      </c>
      <c r="AK132" s="167"/>
      <c r="AM132" s="169">
        <v>30</v>
      </c>
      <c r="AN132" s="8"/>
      <c r="AO132" s="8"/>
      <c r="AP132" s="8"/>
      <c r="AQ132" s="8"/>
      <c r="AS132" s="165" t="s">
        <v>130</v>
      </c>
      <c r="AT132" s="167"/>
      <c r="AU132" s="169">
        <v>14.3</v>
      </c>
      <c r="AV132" s="167"/>
      <c r="AX132" s="169">
        <v>30</v>
      </c>
      <c r="AY132" s="8"/>
      <c r="AZ132" s="8"/>
      <c r="BA132" s="8"/>
      <c r="BB132" s="8"/>
      <c r="BS132" s="731" t="s">
        <v>117</v>
      </c>
      <c r="BT132" s="731" t="s">
        <v>118</v>
      </c>
      <c r="BU132" s="730" t="s">
        <v>119</v>
      </c>
      <c r="BW132" s="730" t="s">
        <v>120</v>
      </c>
      <c r="BX132" s="730"/>
      <c r="BZ132" s="160" t="s">
        <v>121</v>
      </c>
      <c r="CA132" s="160"/>
      <c r="CB132" s="161" t="s">
        <v>122</v>
      </c>
    </row>
    <row r="133" spans="34:80" x14ac:dyDescent="0.2">
      <c r="AH133" s="165" t="s">
        <v>131</v>
      </c>
      <c r="AI133" s="167"/>
      <c r="AJ133" s="230">
        <f>(0.5*SUM(AO123:AO128))/AJ132</f>
        <v>40335.800000000003</v>
      </c>
      <c r="AK133" s="167"/>
      <c r="AM133" s="230">
        <f>(0.5*SUM(AQ123:AQ128))/AM132</f>
        <v>22408.777777777777</v>
      </c>
      <c r="AN133" s="8"/>
      <c r="AO133" s="8"/>
      <c r="AP133" s="8"/>
      <c r="AQ133" s="8"/>
      <c r="AS133" s="165" t="s">
        <v>131</v>
      </c>
      <c r="AT133" s="167"/>
      <c r="AU133" s="230">
        <f>(0.5*SUM(AZ123:AZ128))/AU132</f>
        <v>59261.538461538461</v>
      </c>
      <c r="AV133" s="167"/>
      <c r="AX133" s="230">
        <f>(0.5*SUM(BB123:BB128))/AX132</f>
        <v>31386.666666666668</v>
      </c>
      <c r="AY133" s="8"/>
      <c r="AZ133" s="8"/>
      <c r="BA133" s="8"/>
      <c r="BB133" s="8"/>
      <c r="BS133" s="732"/>
      <c r="BT133" s="732"/>
      <c r="BU133" s="732" t="s">
        <v>146</v>
      </c>
      <c r="BW133" s="163" t="s">
        <v>148</v>
      </c>
      <c r="BX133" s="163" t="s">
        <v>147</v>
      </c>
      <c r="BZ133" s="164"/>
      <c r="CB133" s="164"/>
    </row>
    <row r="134" spans="34:80" x14ac:dyDescent="0.2">
      <c r="BS134" s="165"/>
      <c r="BT134" s="166"/>
      <c r="BU134" s="167"/>
    </row>
    <row r="135" spans="34:80" ht="25.5" x14ac:dyDescent="0.25">
      <c r="AH135" s="731" t="s">
        <v>117</v>
      </c>
      <c r="AI135" s="731" t="s">
        <v>118</v>
      </c>
      <c r="AJ135" s="730" t="s">
        <v>119</v>
      </c>
      <c r="AL135" s="730" t="s">
        <v>120</v>
      </c>
      <c r="AM135" s="730"/>
      <c r="AO135" s="160" t="s">
        <v>121</v>
      </c>
      <c r="AP135" s="160"/>
      <c r="AQ135" s="161" t="s">
        <v>122</v>
      </c>
      <c r="AS135" s="222" t="s">
        <v>117</v>
      </c>
      <c r="AT135" s="222" t="s">
        <v>118</v>
      </c>
      <c r="AU135" s="157" t="s">
        <v>119</v>
      </c>
      <c r="AW135" s="157" t="s">
        <v>120</v>
      </c>
      <c r="AX135" s="157"/>
      <c r="AZ135" s="160" t="s">
        <v>121</v>
      </c>
      <c r="BA135" s="160"/>
      <c r="BB135" s="161" t="s">
        <v>122</v>
      </c>
      <c r="BS135" s="165" t="s">
        <v>145</v>
      </c>
      <c r="BT135" s="166"/>
      <c r="BU135" s="167"/>
    </row>
    <row r="136" spans="34:80" x14ac:dyDescent="0.2">
      <c r="AH136" s="732"/>
      <c r="AI136" s="732"/>
      <c r="AJ136" s="732" t="s">
        <v>146</v>
      </c>
      <c r="AL136" s="163" t="s">
        <v>148</v>
      </c>
      <c r="AM136" s="163" t="s">
        <v>147</v>
      </c>
      <c r="AO136" s="164"/>
      <c r="AQ136" s="164"/>
      <c r="AS136" s="162"/>
      <c r="AT136" s="162"/>
      <c r="AU136" s="162" t="s">
        <v>146</v>
      </c>
      <c r="AW136" s="163" t="s">
        <v>148</v>
      </c>
      <c r="AX136" s="163" t="s">
        <v>147</v>
      </c>
      <c r="AZ136" s="164"/>
      <c r="BB136" s="164"/>
      <c r="BS136" s="165" t="s">
        <v>127</v>
      </c>
      <c r="BT136" s="229">
        <v>42967</v>
      </c>
      <c r="BU136" s="167"/>
      <c r="BX136" s="169">
        <v>0</v>
      </c>
    </row>
    <row r="137" spans="34:80" ht="15" customHeight="1" x14ac:dyDescent="0.2">
      <c r="AH137" s="165"/>
      <c r="AI137" s="166"/>
      <c r="AJ137" s="167"/>
      <c r="AS137" s="165"/>
      <c r="AT137" s="166"/>
      <c r="AU137" s="167"/>
      <c r="BS137" s="165"/>
      <c r="BT137" s="229">
        <v>42976</v>
      </c>
      <c r="BU137" s="170">
        <v>133</v>
      </c>
      <c r="BW137" s="171">
        <v>0.9</v>
      </c>
      <c r="BX137" s="172">
        <f>BU137/BW137</f>
        <v>147.77777777777777</v>
      </c>
      <c r="BZ137" s="172">
        <f>(BT137-BT136)*(BU137+BU136)</f>
        <v>1197</v>
      </c>
      <c r="CB137" s="172">
        <f>(BT137-BT136)*(BX137+BX136)</f>
        <v>1330</v>
      </c>
    </row>
    <row r="138" spans="34:80" x14ac:dyDescent="0.2">
      <c r="AH138" s="165" t="s">
        <v>145</v>
      </c>
      <c r="AI138" s="166"/>
      <c r="AJ138" s="167"/>
      <c r="AS138" s="165" t="s">
        <v>145</v>
      </c>
      <c r="AT138" s="166"/>
      <c r="AU138" s="167"/>
      <c r="BS138" s="165"/>
      <c r="BT138" s="229">
        <v>42983</v>
      </c>
      <c r="BU138" s="170">
        <v>141</v>
      </c>
      <c r="BW138" s="171">
        <v>0.9</v>
      </c>
      <c r="BX138" s="172">
        <f>BU138/BW138</f>
        <v>156.66666666666666</v>
      </c>
      <c r="BZ138" s="172">
        <f>(BT138-BT137)*(BU138+BU137)</f>
        <v>1918</v>
      </c>
      <c r="CB138" s="172">
        <f>(BT138-BT137)*(BX138+BX137)</f>
        <v>2131.1111111111113</v>
      </c>
    </row>
    <row r="139" spans="34:80" x14ac:dyDescent="0.2">
      <c r="AH139" s="165" t="s">
        <v>127</v>
      </c>
      <c r="AI139" s="229">
        <v>32752</v>
      </c>
      <c r="AJ139" s="167"/>
      <c r="AM139" s="169">
        <v>0</v>
      </c>
      <c r="AS139" s="165" t="s">
        <v>127</v>
      </c>
      <c r="AT139" s="185">
        <v>35674</v>
      </c>
      <c r="AU139" s="167"/>
      <c r="AX139" s="169">
        <v>0</v>
      </c>
      <c r="BS139" s="173"/>
      <c r="BT139" s="229">
        <v>42989</v>
      </c>
      <c r="BU139" s="170">
        <v>90</v>
      </c>
      <c r="BW139" s="171">
        <v>0.9</v>
      </c>
      <c r="BX139" s="172">
        <f>BU139/BW139</f>
        <v>100</v>
      </c>
      <c r="BZ139" s="172">
        <f>(BT139-BT138)*(BU139+BU138)</f>
        <v>1386</v>
      </c>
      <c r="CB139" s="172">
        <f>(BT139-BT138)*(BX139+BX138)</f>
        <v>1539.9999999999998</v>
      </c>
    </row>
    <row r="140" spans="34:80" ht="15" customHeight="1" x14ac:dyDescent="0.2">
      <c r="AH140" s="165"/>
      <c r="AI140" s="229">
        <v>32771</v>
      </c>
      <c r="AJ140" s="170">
        <v>578</v>
      </c>
      <c r="AL140" s="171">
        <v>0.9</v>
      </c>
      <c r="AM140" s="172">
        <f t="shared" ref="AM140:AM145" si="72">AJ140/AL140</f>
        <v>642.22222222222217</v>
      </c>
      <c r="AO140" s="172">
        <f t="shared" ref="AO140:AO146" si="73">(AI140-AI139)*(AJ140+AJ139)</f>
        <v>10982</v>
      </c>
      <c r="AQ140" s="172">
        <f t="shared" ref="AQ140:AQ146" si="74">(AI140-AI139)*(AM140+AM139)</f>
        <v>12202.222222222221</v>
      </c>
      <c r="AS140" s="165"/>
      <c r="AT140" s="185">
        <v>35698</v>
      </c>
      <c r="AU140" s="170">
        <v>18774</v>
      </c>
      <c r="AW140" s="171">
        <v>0.9</v>
      </c>
      <c r="AX140" s="172">
        <f>AU140/AW140</f>
        <v>20860</v>
      </c>
      <c r="AZ140" s="172">
        <f>(AT140-AT139)*(AU140+AU139)</f>
        <v>450576</v>
      </c>
      <c r="BB140" s="172">
        <f>(AT140-AT139)*(AX140+AX139)</f>
        <v>500640</v>
      </c>
      <c r="BT140" s="229">
        <v>42998</v>
      </c>
      <c r="BU140" s="170">
        <v>587</v>
      </c>
      <c r="BW140" s="171">
        <v>0.9</v>
      </c>
      <c r="BX140" s="172">
        <f>BU140/BW140</f>
        <v>652.22222222222217</v>
      </c>
      <c r="BZ140" s="172">
        <f>(BT140-BT139)*(BU140+BU139)</f>
        <v>6093</v>
      </c>
      <c r="CB140" s="172">
        <f>(BT140-BT139)*(BX140+BX139)</f>
        <v>6770</v>
      </c>
    </row>
    <row r="141" spans="34:80" x14ac:dyDescent="0.2">
      <c r="AH141" s="165"/>
      <c r="AI141" s="229">
        <v>32785</v>
      </c>
      <c r="AJ141" s="170">
        <v>735</v>
      </c>
      <c r="AL141" s="171">
        <v>0.9</v>
      </c>
      <c r="AM141" s="172">
        <f t="shared" si="72"/>
        <v>816.66666666666663</v>
      </c>
      <c r="AO141" s="172">
        <f t="shared" si="73"/>
        <v>18382</v>
      </c>
      <c r="AQ141" s="172">
        <f t="shared" si="74"/>
        <v>20424.444444444442</v>
      </c>
      <c r="AS141" s="165"/>
      <c r="AT141" s="185">
        <v>35710</v>
      </c>
      <c r="AU141" s="170">
        <v>12452</v>
      </c>
      <c r="AW141" s="171">
        <v>0.9</v>
      </c>
      <c r="AX141" s="172">
        <f>AU141/AW141</f>
        <v>13835.555555555555</v>
      </c>
      <c r="AZ141" s="172">
        <f>(AT141-AT140)*(AU141+AU140)</f>
        <v>374712</v>
      </c>
      <c r="BB141" s="172">
        <f>(AT141-AT140)*(AX141+AX140)</f>
        <v>416346.66666666663</v>
      </c>
      <c r="BT141" s="229">
        <v>43006</v>
      </c>
      <c r="BU141" s="170">
        <v>895</v>
      </c>
      <c r="BW141" s="171">
        <v>0.9</v>
      </c>
      <c r="BX141" s="172">
        <f t="shared" ref="BX141:BX148" si="75">BU141/BW141</f>
        <v>994.44444444444446</v>
      </c>
      <c r="BZ141" s="172">
        <f t="shared" ref="BZ141:BZ149" si="76">(BT141-BT140)*(BU141+BU140)</f>
        <v>11856</v>
      </c>
      <c r="CB141" s="172">
        <f t="shared" ref="CB141:CB149" si="77">(BT141-BT140)*(BX141+BX140)</f>
        <v>13173.333333333332</v>
      </c>
    </row>
    <row r="142" spans="34:80" x14ac:dyDescent="0.2">
      <c r="AH142" s="173"/>
      <c r="AI142" s="229">
        <v>32797</v>
      </c>
      <c r="AJ142" s="170">
        <v>12027</v>
      </c>
      <c r="AL142" s="171">
        <v>0.9</v>
      </c>
      <c r="AM142" s="172">
        <f t="shared" si="72"/>
        <v>13363.333333333332</v>
      </c>
      <c r="AO142" s="172">
        <f t="shared" si="73"/>
        <v>153144</v>
      </c>
      <c r="AQ142" s="172">
        <f t="shared" si="74"/>
        <v>170159.99999999997</v>
      </c>
      <c r="AS142" s="173"/>
      <c r="AT142" s="185">
        <v>35722</v>
      </c>
      <c r="AU142" s="170">
        <v>14603</v>
      </c>
      <c r="AW142" s="171">
        <v>0.9</v>
      </c>
      <c r="AX142" s="172">
        <f>AU142/AW142</f>
        <v>16225.555555555555</v>
      </c>
      <c r="AZ142" s="172">
        <f>(AT142-AT141)*(AU142+AU141)</f>
        <v>324660</v>
      </c>
      <c r="BB142" s="172">
        <f>(AT142-AT141)*(AX142+AX141)</f>
        <v>360733.33333333331</v>
      </c>
      <c r="BT142" s="229">
        <v>43012</v>
      </c>
      <c r="BU142" s="170">
        <v>5645</v>
      </c>
      <c r="BW142" s="171">
        <v>0.9</v>
      </c>
      <c r="BX142" s="172">
        <f t="shared" si="75"/>
        <v>6272.2222222222217</v>
      </c>
      <c r="BZ142" s="172">
        <f t="shared" si="76"/>
        <v>39240</v>
      </c>
      <c r="CB142" s="172">
        <f t="shared" si="77"/>
        <v>43600</v>
      </c>
    </row>
    <row r="143" spans="34:80" x14ac:dyDescent="0.2">
      <c r="AI143" s="229">
        <v>32811</v>
      </c>
      <c r="AJ143" s="170">
        <v>17463</v>
      </c>
      <c r="AL143" s="171">
        <v>0.9</v>
      </c>
      <c r="AM143" s="172">
        <f t="shared" si="72"/>
        <v>19403.333333333332</v>
      </c>
      <c r="AO143" s="172">
        <f t="shared" si="73"/>
        <v>412860</v>
      </c>
      <c r="AQ143" s="172">
        <f t="shared" si="74"/>
        <v>458733.33333333331</v>
      </c>
      <c r="AT143" s="229">
        <v>35765</v>
      </c>
      <c r="AU143" s="170">
        <v>0</v>
      </c>
      <c r="AW143" s="171">
        <v>0.9</v>
      </c>
      <c r="AX143" s="172">
        <f>AU143/AW143</f>
        <v>0</v>
      </c>
      <c r="AZ143" s="172">
        <f>(AT143-AT142)*(AU143+AU142)</f>
        <v>627929</v>
      </c>
      <c r="BB143" s="172">
        <f>(AT143-AT142)*(AX143+AX142)</f>
        <v>697698.88888888888</v>
      </c>
      <c r="BT143" s="229">
        <v>43020</v>
      </c>
      <c r="BU143" s="170">
        <v>16648</v>
      </c>
      <c r="BW143" s="171">
        <v>0.9</v>
      </c>
      <c r="BX143" s="172">
        <f t="shared" si="75"/>
        <v>18497.777777777777</v>
      </c>
      <c r="BZ143" s="172">
        <f t="shared" si="76"/>
        <v>178344</v>
      </c>
      <c r="CB143" s="172">
        <f t="shared" si="77"/>
        <v>198160</v>
      </c>
    </row>
    <row r="144" spans="34:80" x14ac:dyDescent="0.2">
      <c r="AI144" s="229">
        <v>32830</v>
      </c>
      <c r="AJ144" s="170">
        <v>8096</v>
      </c>
      <c r="AL144" s="171">
        <v>0.9</v>
      </c>
      <c r="AM144" s="172">
        <f t="shared" si="72"/>
        <v>8995.5555555555547</v>
      </c>
      <c r="AO144" s="172">
        <f t="shared" si="73"/>
        <v>485621</v>
      </c>
      <c r="AQ144" s="172">
        <f t="shared" si="74"/>
        <v>539578.88888888888</v>
      </c>
      <c r="AS144" s="165" t="s">
        <v>128</v>
      </c>
      <c r="AT144" s="229"/>
      <c r="AU144" s="176"/>
      <c r="AW144" s="177"/>
      <c r="AX144" s="178">
        <v>0</v>
      </c>
      <c r="AY144" s="179"/>
      <c r="AZ144" s="172">
        <f>(AT144-AT143)*(AU144+AU143)</f>
        <v>0</v>
      </c>
      <c r="BB144" s="172">
        <f>(AT144-AT143)*(AX144+AX143)</f>
        <v>0</v>
      </c>
      <c r="BT144" s="229">
        <v>43033</v>
      </c>
      <c r="BU144" s="170">
        <v>4858</v>
      </c>
      <c r="BW144" s="171">
        <v>0.9</v>
      </c>
      <c r="BX144" s="172">
        <f t="shared" si="75"/>
        <v>5397.7777777777774</v>
      </c>
      <c r="BZ144" s="172">
        <f t="shared" si="76"/>
        <v>279578</v>
      </c>
      <c r="CB144" s="172">
        <f t="shared" si="77"/>
        <v>310642.22222222219</v>
      </c>
    </row>
    <row r="145" spans="34:80" x14ac:dyDescent="0.2">
      <c r="AI145" s="229">
        <v>32840</v>
      </c>
      <c r="AJ145" s="170">
        <v>451</v>
      </c>
      <c r="AL145" s="171">
        <v>0.9</v>
      </c>
      <c r="AM145" s="172">
        <f t="shared" si="72"/>
        <v>501.11111111111109</v>
      </c>
      <c r="AO145" s="172">
        <f t="shared" si="73"/>
        <v>85470</v>
      </c>
      <c r="AQ145" s="172">
        <f t="shared" si="74"/>
        <v>94966.666666666657</v>
      </c>
      <c r="AS145" s="165" t="s">
        <v>2</v>
      </c>
      <c r="AT145" s="167">
        <v>7</v>
      </c>
      <c r="AU145" s="167"/>
      <c r="AV145" s="167"/>
      <c r="BT145" s="229">
        <v>43039</v>
      </c>
      <c r="BU145" s="170">
        <v>4172</v>
      </c>
      <c r="BW145" s="171">
        <v>0.9</v>
      </c>
      <c r="BX145" s="172">
        <f t="shared" si="75"/>
        <v>4635.5555555555557</v>
      </c>
      <c r="BZ145" s="172">
        <f t="shared" si="76"/>
        <v>54180</v>
      </c>
      <c r="CB145" s="172">
        <f t="shared" si="77"/>
        <v>60199.999999999993</v>
      </c>
    </row>
    <row r="146" spans="34:80" x14ac:dyDescent="0.2">
      <c r="AH146" s="165" t="s">
        <v>128</v>
      </c>
      <c r="AI146" s="229">
        <v>32848</v>
      </c>
      <c r="AJ146" s="176">
        <v>4</v>
      </c>
      <c r="AL146" s="177"/>
      <c r="AM146" s="178">
        <v>4</v>
      </c>
      <c r="AN146" s="179"/>
      <c r="AO146" s="172">
        <f t="shared" si="73"/>
        <v>3640</v>
      </c>
      <c r="AQ146" s="172">
        <f t="shared" si="74"/>
        <v>4040.8888888888887</v>
      </c>
      <c r="AS146" s="165" t="s">
        <v>129</v>
      </c>
      <c r="AT146" s="167"/>
      <c r="AU146" s="167">
        <f>MAX(AU139:AU144)</f>
        <v>18774</v>
      </c>
      <c r="AV146" s="167"/>
      <c r="AW146" s="167"/>
      <c r="AX146" s="167">
        <f>MAX(AX139:AX144)</f>
        <v>20860</v>
      </c>
      <c r="AY146" s="167"/>
      <c r="AZ146" s="167"/>
      <c r="BA146" s="180"/>
      <c r="BT146" s="229">
        <v>43054</v>
      </c>
      <c r="BU146" s="170"/>
      <c r="BW146" s="171">
        <v>0.9</v>
      </c>
      <c r="BX146" s="172">
        <f t="shared" si="75"/>
        <v>0</v>
      </c>
      <c r="BZ146" s="172">
        <f t="shared" si="76"/>
        <v>62580</v>
      </c>
      <c r="CB146" s="172">
        <f t="shared" si="77"/>
        <v>69533.333333333328</v>
      </c>
    </row>
    <row r="147" spans="34:80" x14ac:dyDescent="0.2">
      <c r="AH147" s="165" t="s">
        <v>2</v>
      </c>
      <c r="AI147" s="167">
        <v>7</v>
      </c>
      <c r="AJ147" s="167"/>
      <c r="AK147" s="167"/>
      <c r="AS147" s="165" t="s">
        <v>130</v>
      </c>
      <c r="AT147" s="167"/>
      <c r="AU147" s="169">
        <v>19.2</v>
      </c>
      <c r="AV147" s="167"/>
      <c r="AX147" s="169">
        <v>30</v>
      </c>
      <c r="AY147" s="8"/>
      <c r="AZ147" s="8"/>
      <c r="BA147" s="8"/>
      <c r="BB147" s="8"/>
      <c r="BT147" s="229">
        <v>43055</v>
      </c>
      <c r="BU147" s="170"/>
      <c r="BW147" s="171">
        <v>0.9</v>
      </c>
      <c r="BX147" s="172">
        <f t="shared" si="75"/>
        <v>0</v>
      </c>
      <c r="BZ147" s="172">
        <f t="shared" si="76"/>
        <v>0</v>
      </c>
      <c r="CB147" s="172">
        <f t="shared" si="77"/>
        <v>0</v>
      </c>
    </row>
    <row r="148" spans="34:80" x14ac:dyDescent="0.2">
      <c r="AH148" s="165" t="s">
        <v>129</v>
      </c>
      <c r="AI148" s="167"/>
      <c r="AJ148" s="167">
        <f>MAX(AJ139:AJ146)</f>
        <v>17463</v>
      </c>
      <c r="AK148" s="167"/>
      <c r="AL148" s="167"/>
      <c r="AM148" s="167">
        <f>MAX(AM139:AM146)</f>
        <v>19403.333333333332</v>
      </c>
      <c r="AN148" s="167"/>
      <c r="AO148" s="167"/>
      <c r="AP148" s="180"/>
      <c r="AS148" s="165" t="s">
        <v>131</v>
      </c>
      <c r="AT148" s="167"/>
      <c r="AU148" s="230">
        <f>(0.5*SUM(AZ140:AZ144))/AU147</f>
        <v>46298.880208333336</v>
      </c>
      <c r="AV148" s="167"/>
      <c r="AX148" s="230">
        <f>(0.5*SUM(BB140:BB144))/AX147</f>
        <v>32923.648148148153</v>
      </c>
      <c r="AY148" s="8"/>
      <c r="AZ148" s="8"/>
      <c r="BA148" s="8"/>
      <c r="BB148" s="8"/>
      <c r="BS148" s="165" t="s">
        <v>128</v>
      </c>
      <c r="BT148" s="229">
        <v>43070</v>
      </c>
      <c r="BU148" s="170"/>
      <c r="BW148" s="171">
        <v>0.9</v>
      </c>
      <c r="BX148" s="172">
        <f t="shared" si="75"/>
        <v>0</v>
      </c>
      <c r="BZ148" s="172">
        <f t="shared" si="76"/>
        <v>0</v>
      </c>
      <c r="CB148" s="172">
        <f t="shared" si="77"/>
        <v>0</v>
      </c>
    </row>
    <row r="149" spans="34:80" x14ac:dyDescent="0.2">
      <c r="AH149" s="165" t="s">
        <v>130</v>
      </c>
      <c r="AI149" s="167"/>
      <c r="AJ149" s="169">
        <v>14.5</v>
      </c>
      <c r="AK149" s="167"/>
      <c r="AM149" s="169">
        <v>30</v>
      </c>
      <c r="AN149" s="8"/>
      <c r="AO149" s="8"/>
      <c r="AP149" s="8"/>
      <c r="AQ149" s="8"/>
      <c r="BT149" s="229"/>
      <c r="BU149" s="176"/>
      <c r="BW149" s="171"/>
      <c r="BX149" s="172">
        <v>0</v>
      </c>
      <c r="BZ149" s="172">
        <f t="shared" si="76"/>
        <v>0</v>
      </c>
      <c r="CB149" s="172">
        <f t="shared" si="77"/>
        <v>0</v>
      </c>
    </row>
    <row r="150" spans="34:80" ht="19.5" customHeight="1" x14ac:dyDescent="0.25">
      <c r="AH150" s="165" t="s">
        <v>131</v>
      </c>
      <c r="AI150" s="167"/>
      <c r="AJ150" s="230">
        <f>(0.5*SUM(AO140:AO146))/AJ149</f>
        <v>40348.241379310348</v>
      </c>
      <c r="AK150" s="167"/>
      <c r="AM150" s="230">
        <f>(0.5*SUM(AQ140:AQ146))/AM149</f>
        <v>21668.440740740745</v>
      </c>
      <c r="AN150" s="8"/>
      <c r="AO150" s="8"/>
      <c r="AP150" s="8"/>
      <c r="AQ150" s="8"/>
      <c r="AS150" s="222" t="s">
        <v>117</v>
      </c>
      <c r="AT150" s="222" t="s">
        <v>118</v>
      </c>
      <c r="AU150" s="157" t="s">
        <v>119</v>
      </c>
      <c r="AW150" s="157" t="s">
        <v>120</v>
      </c>
      <c r="AX150" s="157"/>
      <c r="AZ150" s="160" t="s">
        <v>121</v>
      </c>
      <c r="BB150" s="161" t="s">
        <v>122</v>
      </c>
      <c r="BS150" s="165" t="s">
        <v>2</v>
      </c>
      <c r="BT150" s="167">
        <v>7</v>
      </c>
      <c r="BU150" s="167"/>
      <c r="BV150" s="167"/>
    </row>
    <row r="151" spans="34:80" x14ac:dyDescent="0.2">
      <c r="AS151" s="162"/>
      <c r="AT151" s="162"/>
      <c r="AU151" s="162" t="s">
        <v>146</v>
      </c>
      <c r="AW151" s="163" t="s">
        <v>148</v>
      </c>
      <c r="AX151" s="163" t="s">
        <v>147</v>
      </c>
      <c r="AZ151" s="164"/>
      <c r="BB151" s="164"/>
      <c r="BS151" s="165" t="s">
        <v>129</v>
      </c>
      <c r="BT151" s="167"/>
      <c r="BU151" s="167">
        <f>MAX(BU136:BU149)</f>
        <v>16648</v>
      </c>
      <c r="BV151" s="167"/>
      <c r="BW151" s="167"/>
      <c r="BX151" s="167">
        <f>MAX(BX136:BX149)</f>
        <v>18497.777777777777</v>
      </c>
      <c r="BY151" s="167"/>
      <c r="BZ151" s="167"/>
      <c r="CA151" s="180"/>
    </row>
    <row r="152" spans="34:80" x14ac:dyDescent="0.2">
      <c r="AS152" s="165"/>
      <c r="AT152" s="166"/>
      <c r="AU152" s="167"/>
      <c r="BS152" s="165" t="s">
        <v>130</v>
      </c>
      <c r="BT152" s="167"/>
      <c r="BU152" s="169">
        <v>14.5</v>
      </c>
      <c r="BV152" s="167"/>
      <c r="BX152" s="169">
        <v>26</v>
      </c>
      <c r="BY152" s="8"/>
      <c r="BZ152" s="8"/>
      <c r="CA152" s="8"/>
      <c r="CB152" s="8"/>
    </row>
    <row r="153" spans="34:80" x14ac:dyDescent="0.2">
      <c r="AS153" s="165" t="s">
        <v>145</v>
      </c>
      <c r="AT153" s="166"/>
      <c r="AU153" s="167"/>
      <c r="BS153" s="165" t="s">
        <v>131</v>
      </c>
      <c r="BT153" s="167"/>
      <c r="BU153" s="230">
        <f>(0.5*SUM(BZ137:BZ149))/BU152</f>
        <v>21943.862068965518</v>
      </c>
      <c r="BV153" s="167"/>
      <c r="BX153" s="230">
        <f>(0.5*SUM(CB137:CB149))/BX152</f>
        <v>13597.692307692309</v>
      </c>
      <c r="BY153" s="8"/>
      <c r="BZ153" s="8"/>
      <c r="CA153" s="8"/>
      <c r="CB153" s="8"/>
    </row>
    <row r="154" spans="34:80" x14ac:dyDescent="0.2">
      <c r="AS154" s="165" t="s">
        <v>127</v>
      </c>
      <c r="AT154" s="229">
        <v>36039</v>
      </c>
      <c r="AU154" s="167"/>
      <c r="AX154" s="169">
        <v>0</v>
      </c>
    </row>
    <row r="155" spans="34:80" x14ac:dyDescent="0.2">
      <c r="AS155" s="165"/>
      <c r="AT155" s="229">
        <v>36041</v>
      </c>
      <c r="AU155" s="170">
        <v>2978</v>
      </c>
      <c r="AW155" s="171">
        <v>0.9</v>
      </c>
      <c r="AX155" s="172">
        <f>AU155/AW155</f>
        <v>3308.8888888888887</v>
      </c>
      <c r="AZ155" s="172">
        <f>(AT155-AT154)*(AU155+AU154)</f>
        <v>5956</v>
      </c>
      <c r="BB155" s="172">
        <f>(AT155-AT154)*(AX155+AX154)</f>
        <v>6617.7777777777774</v>
      </c>
      <c r="BU155">
        <f>(0.5*SUM(BZ137:BZ149))</f>
        <v>318186</v>
      </c>
    </row>
    <row r="156" spans="34:80" x14ac:dyDescent="0.2">
      <c r="AS156" s="165"/>
      <c r="AT156" s="229">
        <v>36090</v>
      </c>
      <c r="AU156" s="170">
        <v>28192</v>
      </c>
      <c r="AW156" s="171">
        <v>0.9</v>
      </c>
      <c r="AX156" s="172">
        <f>AU156/AW156</f>
        <v>31324.444444444445</v>
      </c>
      <c r="AZ156" s="172">
        <f>(AT156-AT155)*(AU156+AU155)</f>
        <v>1527330</v>
      </c>
      <c r="BB156" s="172">
        <f>(AT156-AT155)*(AX156+AX155)</f>
        <v>1697033.3333333335</v>
      </c>
    </row>
    <row r="157" spans="34:80" x14ac:dyDescent="0.2">
      <c r="AS157" s="173"/>
      <c r="AT157" s="229">
        <v>36103</v>
      </c>
      <c r="AU157" s="170">
        <v>16524</v>
      </c>
      <c r="AW157" s="171">
        <v>0.9</v>
      </c>
      <c r="AX157" s="172">
        <f>AU157/AW157</f>
        <v>18360</v>
      </c>
      <c r="AZ157" s="172">
        <f>(AT157-AT156)*(AU157+AU156)</f>
        <v>581308</v>
      </c>
      <c r="BB157" s="172">
        <f>(AT157-AT156)*(AX157+AX156)</f>
        <v>645897.77777777775</v>
      </c>
      <c r="BS157" s="299" t="s">
        <v>9</v>
      </c>
      <c r="BU157" s="169">
        <v>16648</v>
      </c>
      <c r="BX157" s="169">
        <v>6956</v>
      </c>
    </row>
    <row r="158" spans="34:80" x14ac:dyDescent="0.2">
      <c r="AT158" s="229">
        <v>36111</v>
      </c>
      <c r="AU158" s="170">
        <v>12838</v>
      </c>
      <c r="AW158" s="171">
        <v>0.9</v>
      </c>
      <c r="AX158" s="172">
        <f>AU158/AW158</f>
        <v>14264.444444444443</v>
      </c>
      <c r="AZ158" s="172">
        <f>(AT158-AT157)*(AU158+AU157)</f>
        <v>234896</v>
      </c>
      <c r="BB158" s="172">
        <f>(AT158-AT157)*(AX158+AX157)</f>
        <v>260995.55555555556</v>
      </c>
      <c r="BS158" s="299" t="s">
        <v>250</v>
      </c>
      <c r="BU158" s="370">
        <v>17</v>
      </c>
      <c r="BX158" s="370">
        <v>26</v>
      </c>
    </row>
    <row r="159" spans="34:80" x14ac:dyDescent="0.2">
      <c r="AS159" s="165" t="s">
        <v>128</v>
      </c>
      <c r="AT159" s="229">
        <v>36130</v>
      </c>
      <c r="AU159" s="176"/>
      <c r="AW159" s="177"/>
      <c r="AX159" s="178">
        <v>0</v>
      </c>
      <c r="AY159" s="179"/>
      <c r="AZ159" s="172">
        <f>(AT159-AT158)*(AU159+AU158)</f>
        <v>243922</v>
      </c>
      <c r="BB159" s="172">
        <f>(AT159-AT158)*(AX159+AX158)</f>
        <v>271024.44444444444</v>
      </c>
    </row>
    <row r="160" spans="34:80" x14ac:dyDescent="0.2">
      <c r="AS160" s="165" t="s">
        <v>2</v>
      </c>
      <c r="AT160" s="167">
        <v>7</v>
      </c>
      <c r="AU160" s="167"/>
      <c r="AV160" s="167"/>
    </row>
    <row r="161" spans="45:80" ht="15" x14ac:dyDescent="0.25">
      <c r="AS161" s="165" t="s">
        <v>129</v>
      </c>
      <c r="AT161" s="167"/>
      <c r="AU161" s="167">
        <f>MAX(AU154:AU159)</f>
        <v>28192</v>
      </c>
      <c r="AV161" s="167"/>
      <c r="AW161" s="167"/>
      <c r="AX161" s="167">
        <f>MAX(AX154:AX159)</f>
        <v>31324.444444444445</v>
      </c>
      <c r="AY161" s="167"/>
      <c r="AZ161" s="167"/>
      <c r="BS161" s="731" t="s">
        <v>117</v>
      </c>
      <c r="BT161" s="731" t="s">
        <v>118</v>
      </c>
      <c r="BU161" s="730" t="s">
        <v>119</v>
      </c>
      <c r="BW161" s="730" t="s">
        <v>120</v>
      </c>
      <c r="BX161" s="730"/>
      <c r="BZ161" s="160" t="s">
        <v>121</v>
      </c>
      <c r="CA161" s="160"/>
      <c r="CB161" s="161" t="s">
        <v>122</v>
      </c>
    </row>
    <row r="162" spans="45:80" x14ac:dyDescent="0.2">
      <c r="AS162" s="165" t="s">
        <v>130</v>
      </c>
      <c r="AT162" s="167"/>
      <c r="AU162" s="169">
        <v>14</v>
      </c>
      <c r="AV162" s="167"/>
      <c r="AX162" s="169">
        <v>15</v>
      </c>
      <c r="AY162" s="8"/>
      <c r="AZ162" s="8"/>
      <c r="BS162" s="732"/>
      <c r="BT162" s="732"/>
      <c r="BU162" s="732" t="s">
        <v>146</v>
      </c>
      <c r="BW162" s="163" t="s">
        <v>148</v>
      </c>
      <c r="BX162" s="163" t="s">
        <v>147</v>
      </c>
      <c r="BZ162" s="164"/>
      <c r="CB162" s="164"/>
    </row>
    <row r="163" spans="45:80" x14ac:dyDescent="0.2">
      <c r="AS163" s="165" t="s">
        <v>131</v>
      </c>
      <c r="AT163" s="167"/>
      <c r="AU163" s="230">
        <f>(0.5*SUM(AZ155:AZ159))/AU162</f>
        <v>92621.857142857145</v>
      </c>
      <c r="AV163" s="167"/>
      <c r="AX163" s="230">
        <f>(0.5*SUM(BB155:BB159))/AX162</f>
        <v>96052.296296296307</v>
      </c>
      <c r="AY163" s="8"/>
      <c r="AZ163" s="8"/>
      <c r="BS163" s="165"/>
      <c r="BT163" s="166"/>
      <c r="BU163" s="167"/>
    </row>
    <row r="164" spans="45:80" x14ac:dyDescent="0.2">
      <c r="BS164" s="165" t="s">
        <v>145</v>
      </c>
      <c r="BT164" s="166"/>
      <c r="BU164" s="167"/>
    </row>
    <row r="165" spans="45:80" ht="15" x14ac:dyDescent="0.25">
      <c r="AS165" s="1013" t="s">
        <v>117</v>
      </c>
      <c r="AT165" s="1013" t="s">
        <v>118</v>
      </c>
      <c r="AU165" s="157" t="s">
        <v>119</v>
      </c>
      <c r="AW165" s="1012" t="s">
        <v>120</v>
      </c>
      <c r="AX165" s="1012"/>
      <c r="AZ165" s="160" t="s">
        <v>121</v>
      </c>
      <c r="BA165" s="160"/>
      <c r="BB165" s="161" t="s">
        <v>122</v>
      </c>
      <c r="BS165" s="165" t="s">
        <v>127</v>
      </c>
      <c r="BT165" s="229">
        <v>43697</v>
      </c>
      <c r="BU165" s="167"/>
      <c r="BX165" s="169">
        <v>0</v>
      </c>
    </row>
    <row r="166" spans="45:80" ht="15" customHeight="1" x14ac:dyDescent="0.2">
      <c r="AS166" s="1014"/>
      <c r="AT166" s="1014"/>
      <c r="AU166" s="162" t="s">
        <v>146</v>
      </c>
      <c r="AW166" s="163" t="s">
        <v>148</v>
      </c>
      <c r="AX166" s="163" t="s">
        <v>147</v>
      </c>
      <c r="AZ166" s="164"/>
      <c r="BB166" s="164"/>
      <c r="BS166" s="165"/>
      <c r="BT166" s="229">
        <v>43706</v>
      </c>
      <c r="BU166" s="170">
        <v>101</v>
      </c>
      <c r="BW166" s="171">
        <v>0.9</v>
      </c>
      <c r="BX166" s="172">
        <f>BU166/BW166</f>
        <v>112.22222222222221</v>
      </c>
      <c r="BZ166" s="172">
        <f>(BT166-BT165)*(BU166+BU165)</f>
        <v>909</v>
      </c>
      <c r="CB166" s="172">
        <f>(BT166-BT165)*(BX166+BX165)</f>
        <v>1009.9999999999999</v>
      </c>
    </row>
    <row r="167" spans="45:80" x14ac:dyDescent="0.2">
      <c r="AS167" s="165"/>
      <c r="AT167" s="166"/>
      <c r="AU167" s="167"/>
      <c r="BS167" s="165"/>
      <c r="BT167" s="229">
        <v>43714</v>
      </c>
      <c r="BU167" s="170">
        <v>559</v>
      </c>
      <c r="BW167" s="171">
        <v>0.9</v>
      </c>
      <c r="BX167" s="172">
        <f>BU167/BW167</f>
        <v>621.11111111111109</v>
      </c>
      <c r="BZ167" s="172">
        <f>(BT167-BT166)*(BU167+BU166)</f>
        <v>5280</v>
      </c>
      <c r="CB167" s="172">
        <f>(BT167-BT166)*(BX167+BX166)</f>
        <v>5866.6666666666661</v>
      </c>
    </row>
    <row r="168" spans="45:80" x14ac:dyDescent="0.2">
      <c r="AS168" s="165" t="s">
        <v>145</v>
      </c>
      <c r="AT168" s="166"/>
      <c r="AU168" s="167"/>
      <c r="BS168" s="173"/>
      <c r="BT168" s="229">
        <v>43726</v>
      </c>
      <c r="BU168" s="170">
        <v>1450</v>
      </c>
      <c r="BW168" s="171">
        <v>0.9</v>
      </c>
      <c r="BX168" s="172">
        <f>BU168/BW168</f>
        <v>1611.1111111111111</v>
      </c>
      <c r="BZ168" s="172">
        <f>(BT168-BT167)*(BU168+BU167)</f>
        <v>24108</v>
      </c>
      <c r="CB168" s="172">
        <f>(BT168-BT167)*(BX168+BX167)</f>
        <v>26786.666666666664</v>
      </c>
    </row>
    <row r="169" spans="45:80" x14ac:dyDescent="0.2">
      <c r="AS169" s="165" t="s">
        <v>127</v>
      </c>
      <c r="AT169" s="229">
        <v>36392</v>
      </c>
      <c r="AU169" s="167"/>
      <c r="AX169" s="169">
        <v>0</v>
      </c>
      <c r="BT169" s="229">
        <v>43732</v>
      </c>
      <c r="BU169" s="170">
        <v>1564</v>
      </c>
      <c r="BW169" s="171">
        <v>0.9</v>
      </c>
      <c r="BX169" s="172">
        <f>BU169/BW169</f>
        <v>1737.7777777777778</v>
      </c>
      <c r="BZ169" s="172">
        <f>(BT169-BT168)*(BU169+BU168)</f>
        <v>18084</v>
      </c>
      <c r="CB169" s="172">
        <f>(BT169-BT168)*(BX169+BX168)</f>
        <v>20093.333333333332</v>
      </c>
    </row>
    <row r="170" spans="45:80" x14ac:dyDescent="0.2">
      <c r="AS170" s="165"/>
      <c r="AT170" s="229">
        <v>36397</v>
      </c>
      <c r="AU170" s="170">
        <v>80</v>
      </c>
      <c r="AW170" s="171">
        <v>0.9</v>
      </c>
      <c r="AX170" s="172">
        <f t="shared" ref="AX170:AX175" si="78">AU170/AW170</f>
        <v>88.888888888888886</v>
      </c>
      <c r="AZ170" s="172">
        <f t="shared" ref="AZ170:AZ176" si="79">(AT170-AT169)*(AU170+AU169)</f>
        <v>400</v>
      </c>
      <c r="BB170" s="172">
        <f t="shared" ref="BB170:BB176" si="80">(AT170-AT169)*(AX170+AX169)</f>
        <v>444.44444444444446</v>
      </c>
      <c r="BT170" s="229">
        <v>43739</v>
      </c>
      <c r="BU170" s="170">
        <v>1554</v>
      </c>
      <c r="BW170" s="171">
        <v>0.9</v>
      </c>
      <c r="BX170" s="172">
        <f t="shared" ref="BX170:BX177" si="81">BU170/BW170</f>
        <v>1726.6666666666665</v>
      </c>
      <c r="BZ170" s="172">
        <f t="shared" ref="BZ170:BZ178" si="82">(BT170-BT169)*(BU170+BU169)</f>
        <v>21826</v>
      </c>
      <c r="CB170" s="172">
        <f t="shared" ref="CB170:CB178" si="83">(BT170-BT169)*(BX170+BX169)</f>
        <v>24251.111111111109</v>
      </c>
    </row>
    <row r="171" spans="45:80" x14ac:dyDescent="0.2">
      <c r="AS171" s="165"/>
      <c r="AT171" s="229">
        <v>36404</v>
      </c>
      <c r="AU171" s="170">
        <v>832</v>
      </c>
      <c r="AW171" s="171">
        <v>0.9</v>
      </c>
      <c r="AX171" s="172">
        <f t="shared" si="78"/>
        <v>924.44444444444446</v>
      </c>
      <c r="AZ171" s="172">
        <f t="shared" si="79"/>
        <v>6384</v>
      </c>
      <c r="BB171" s="172">
        <f t="shared" si="80"/>
        <v>7093.3333333333339</v>
      </c>
      <c r="BT171" s="229">
        <v>43749</v>
      </c>
      <c r="BU171" s="170">
        <v>2270</v>
      </c>
      <c r="BW171" s="171">
        <v>0.9</v>
      </c>
      <c r="BX171" s="172">
        <f t="shared" si="81"/>
        <v>2522.2222222222222</v>
      </c>
      <c r="BZ171" s="172">
        <f t="shared" si="82"/>
        <v>38240</v>
      </c>
      <c r="CB171" s="172">
        <f t="shared" si="83"/>
        <v>42488.888888888891</v>
      </c>
    </row>
    <row r="172" spans="45:80" x14ac:dyDescent="0.2">
      <c r="AS172" s="173"/>
      <c r="AT172" s="229">
        <v>36417</v>
      </c>
      <c r="AU172" s="170">
        <v>2684</v>
      </c>
      <c r="AW172" s="171">
        <v>0.9</v>
      </c>
      <c r="AX172" s="172">
        <f t="shared" si="78"/>
        <v>2982.2222222222222</v>
      </c>
      <c r="AZ172" s="172">
        <f t="shared" si="79"/>
        <v>45708</v>
      </c>
      <c r="BB172" s="172">
        <f t="shared" si="80"/>
        <v>50786.666666666664</v>
      </c>
      <c r="BT172" s="229">
        <v>43753</v>
      </c>
      <c r="BU172" s="170">
        <v>2197</v>
      </c>
      <c r="BW172" s="171">
        <v>0.9</v>
      </c>
      <c r="BX172" s="172">
        <f t="shared" si="81"/>
        <v>2441.1111111111109</v>
      </c>
      <c r="BZ172" s="172">
        <f t="shared" si="82"/>
        <v>17868</v>
      </c>
      <c r="CB172" s="172">
        <f t="shared" si="83"/>
        <v>19853.333333333332</v>
      </c>
    </row>
    <row r="173" spans="45:80" x14ac:dyDescent="0.2">
      <c r="AT173" s="229">
        <v>36424</v>
      </c>
      <c r="AU173" s="170">
        <v>4412</v>
      </c>
      <c r="AW173" s="171">
        <v>0.9</v>
      </c>
      <c r="AX173" s="172">
        <f t="shared" si="78"/>
        <v>4902.2222222222217</v>
      </c>
      <c r="AZ173" s="172">
        <f t="shared" si="79"/>
        <v>49672</v>
      </c>
      <c r="BB173" s="172">
        <f t="shared" si="80"/>
        <v>55191.111111111102</v>
      </c>
      <c r="BT173" s="229">
        <v>43761</v>
      </c>
      <c r="BU173" s="170">
        <v>862</v>
      </c>
      <c r="BW173" s="171">
        <v>0.9</v>
      </c>
      <c r="BX173" s="172">
        <f t="shared" si="81"/>
        <v>957.77777777777771</v>
      </c>
      <c r="BZ173" s="172">
        <f t="shared" si="82"/>
        <v>24472</v>
      </c>
      <c r="CB173" s="172">
        <f t="shared" si="83"/>
        <v>27191.111111111109</v>
      </c>
    </row>
    <row r="174" spans="45:80" x14ac:dyDescent="0.2">
      <c r="AT174" s="229">
        <v>36447</v>
      </c>
      <c r="AU174" s="170">
        <v>2561</v>
      </c>
      <c r="AW174" s="171">
        <v>0.9</v>
      </c>
      <c r="AX174" s="172">
        <f t="shared" si="78"/>
        <v>2845.5555555555557</v>
      </c>
      <c r="AZ174" s="172">
        <f t="shared" si="79"/>
        <v>160379</v>
      </c>
      <c r="BB174" s="172">
        <f t="shared" si="80"/>
        <v>178198.88888888888</v>
      </c>
      <c r="BT174" s="229">
        <v>43767</v>
      </c>
      <c r="BU174" s="170">
        <v>562</v>
      </c>
      <c r="BW174" s="171">
        <v>0.9</v>
      </c>
      <c r="BX174" s="172">
        <f t="shared" si="81"/>
        <v>624.44444444444446</v>
      </c>
      <c r="BZ174" s="172">
        <f t="shared" si="82"/>
        <v>8544</v>
      </c>
      <c r="CB174" s="172">
        <f t="shared" si="83"/>
        <v>9493.3333333333321</v>
      </c>
    </row>
    <row r="175" spans="45:80" x14ac:dyDescent="0.2">
      <c r="AT175" s="229">
        <v>36468</v>
      </c>
      <c r="AU175" s="170">
        <v>895</v>
      </c>
      <c r="AW175" s="171">
        <v>0.9</v>
      </c>
      <c r="AX175" s="172">
        <f t="shared" si="78"/>
        <v>994.44444444444446</v>
      </c>
      <c r="AZ175" s="172">
        <f t="shared" si="79"/>
        <v>72576</v>
      </c>
      <c r="BB175" s="172">
        <f t="shared" si="80"/>
        <v>80640</v>
      </c>
      <c r="BT175" s="229">
        <v>43787</v>
      </c>
      <c r="BU175" s="170">
        <v>0</v>
      </c>
      <c r="BW175" s="171">
        <v>0.9</v>
      </c>
      <c r="BX175" s="172">
        <f t="shared" si="81"/>
        <v>0</v>
      </c>
      <c r="BZ175" s="172">
        <f t="shared" si="82"/>
        <v>11240</v>
      </c>
      <c r="CB175" s="172">
        <f t="shared" si="83"/>
        <v>12488.888888888889</v>
      </c>
    </row>
    <row r="176" spans="45:80" x14ac:dyDescent="0.2">
      <c r="AS176" s="165" t="s">
        <v>128</v>
      </c>
      <c r="AT176" s="229">
        <v>36495</v>
      </c>
      <c r="AU176" s="176"/>
      <c r="AW176" s="177"/>
      <c r="AX176" s="178">
        <v>0</v>
      </c>
      <c r="AY176" s="179"/>
      <c r="AZ176" s="172">
        <f t="shared" si="79"/>
        <v>24165</v>
      </c>
      <c r="BB176" s="172">
        <f t="shared" si="80"/>
        <v>26850</v>
      </c>
      <c r="BT176" s="229">
        <v>43787</v>
      </c>
      <c r="BU176" s="170"/>
      <c r="BW176" s="171">
        <v>0.9</v>
      </c>
      <c r="BX176" s="172">
        <f t="shared" si="81"/>
        <v>0</v>
      </c>
      <c r="BZ176" s="172">
        <f t="shared" si="82"/>
        <v>0</v>
      </c>
      <c r="CB176" s="172">
        <f t="shared" si="83"/>
        <v>0</v>
      </c>
    </row>
    <row r="177" spans="45:80" x14ac:dyDescent="0.2">
      <c r="AS177" s="165" t="s">
        <v>2</v>
      </c>
      <c r="AT177" s="167">
        <v>7</v>
      </c>
      <c r="AU177" s="167"/>
      <c r="AV177" s="167"/>
      <c r="BS177" s="165" t="s">
        <v>128</v>
      </c>
      <c r="BT177" s="229">
        <v>43787</v>
      </c>
      <c r="BU177" s="170"/>
      <c r="BW177" s="171">
        <v>0.9</v>
      </c>
      <c r="BX177" s="172">
        <f t="shared" si="81"/>
        <v>0</v>
      </c>
      <c r="BZ177" s="172">
        <f t="shared" si="82"/>
        <v>0</v>
      </c>
      <c r="CB177" s="172">
        <f t="shared" si="83"/>
        <v>0</v>
      </c>
    </row>
    <row r="178" spans="45:80" x14ac:dyDescent="0.2">
      <c r="AS178" s="165" t="s">
        <v>129</v>
      </c>
      <c r="AT178" s="167"/>
      <c r="AU178" s="167">
        <f>MAX(AU169:AU176)</f>
        <v>4412</v>
      </c>
      <c r="AV178" s="167"/>
      <c r="AW178" s="167"/>
      <c r="AX178" s="167">
        <f>MAX(AX169:AX176)</f>
        <v>4902.2222222222217</v>
      </c>
      <c r="AY178" s="167"/>
      <c r="AZ178" s="167"/>
      <c r="BA178" s="180"/>
      <c r="BT178" s="229"/>
      <c r="BU178" s="176"/>
      <c r="BW178" s="171"/>
      <c r="BX178" s="172">
        <v>0</v>
      </c>
      <c r="BZ178" s="172">
        <f t="shared" si="82"/>
        <v>0</v>
      </c>
      <c r="CB178" s="172">
        <f t="shared" si="83"/>
        <v>0</v>
      </c>
    </row>
    <row r="179" spans="45:80" x14ac:dyDescent="0.2">
      <c r="AS179" s="165" t="s">
        <v>130</v>
      </c>
      <c r="AT179" s="167"/>
      <c r="AU179" s="169">
        <v>13.5</v>
      </c>
      <c r="AV179" s="167"/>
      <c r="AX179" s="169">
        <v>20</v>
      </c>
      <c r="AY179" s="8"/>
      <c r="AZ179" s="8"/>
      <c r="BA179" s="8"/>
      <c r="BB179" s="8"/>
      <c r="BS179" s="165" t="s">
        <v>2</v>
      </c>
      <c r="BT179" s="167">
        <v>7</v>
      </c>
      <c r="BU179" s="167"/>
      <c r="BV179" s="167"/>
    </row>
    <row r="180" spans="45:80" x14ac:dyDescent="0.2">
      <c r="AS180" s="165" t="s">
        <v>131</v>
      </c>
      <c r="AT180" s="167"/>
      <c r="AU180" s="230">
        <f>(0.5*SUM(AZ170:AZ176))/AU179</f>
        <v>13306.814814814816</v>
      </c>
      <c r="AV180" s="167"/>
      <c r="AX180" s="230">
        <f>(0.5*SUM(BB170:BB176))/AX179</f>
        <v>9980.1111111111113</v>
      </c>
      <c r="AY180" s="8"/>
      <c r="AZ180" s="8"/>
      <c r="BA180" s="8"/>
      <c r="BB180" s="8"/>
      <c r="BS180" s="165" t="s">
        <v>129</v>
      </c>
      <c r="BT180" s="167"/>
      <c r="BU180" s="167">
        <f>MAX(BU165:BU178)</f>
        <v>2270</v>
      </c>
      <c r="BV180" s="167"/>
      <c r="BW180" s="167"/>
      <c r="BX180" s="167">
        <f>MAX(BX165:BX178)</f>
        <v>2522.2222222222222</v>
      </c>
      <c r="BY180" s="167"/>
      <c r="BZ180" s="167"/>
      <c r="CA180" s="180"/>
    </row>
    <row r="181" spans="45:80" x14ac:dyDescent="0.2">
      <c r="BS181" s="165" t="s">
        <v>130</v>
      </c>
      <c r="BT181" s="167"/>
      <c r="BU181" s="169">
        <v>14.5</v>
      </c>
      <c r="BV181" s="167"/>
      <c r="BX181" s="169">
        <v>14.5</v>
      </c>
      <c r="BY181" s="8"/>
      <c r="BZ181" s="8"/>
      <c r="CA181" s="8"/>
      <c r="CB181" s="8"/>
    </row>
    <row r="182" spans="45:80" x14ac:dyDescent="0.2">
      <c r="BS182" s="165" t="s">
        <v>131</v>
      </c>
      <c r="BT182" s="167"/>
      <c r="BU182" s="230">
        <f>(0.5*SUM(BZ166:BZ178))/BU181</f>
        <v>5881.7586206896549</v>
      </c>
      <c r="BV182" s="167"/>
      <c r="BX182" s="230">
        <f>(0.5*SUM(CB166:CB178))/BX181</f>
        <v>6535.2873563218391</v>
      </c>
      <c r="BY182" s="8"/>
      <c r="BZ182" s="8"/>
      <c r="CA182" s="8"/>
      <c r="CB182" s="8"/>
    </row>
    <row r="184" spans="45:80" x14ac:dyDescent="0.2">
      <c r="BU184">
        <f>(0.5*SUM(BZ166:BZ178))</f>
        <v>85285.5</v>
      </c>
    </row>
    <row r="186" spans="45:80" x14ac:dyDescent="0.2">
      <c r="BS186" s="299" t="s">
        <v>9</v>
      </c>
      <c r="BU186" s="249">
        <f>MAX(BU166:BU177)</f>
        <v>2270</v>
      </c>
      <c r="BX186" s="249">
        <f>MAX(BX166:BX177)</f>
        <v>2522.2222222222222</v>
      </c>
    </row>
    <row r="187" spans="45:80" x14ac:dyDescent="0.2">
      <c r="BS187" s="299" t="s">
        <v>250</v>
      </c>
      <c r="BU187" s="370">
        <v>38</v>
      </c>
      <c r="BX187" s="370">
        <v>38</v>
      </c>
    </row>
  </sheetData>
  <mergeCells count="45">
    <mergeCell ref="CQ4:CQ5"/>
    <mergeCell ref="CR4:CR5"/>
    <mergeCell ref="CU4:CV4"/>
    <mergeCell ref="AS165:AS166"/>
    <mergeCell ref="AT165:AT166"/>
    <mergeCell ref="AW165:AX165"/>
    <mergeCell ref="BS38:BS39"/>
    <mergeCell ref="BT38:BT39"/>
    <mergeCell ref="BW38:BX38"/>
    <mergeCell ref="CE4:CE5"/>
    <mergeCell ref="CF4:CF5"/>
    <mergeCell ref="CI4:CJ4"/>
    <mergeCell ref="BW4:BX4"/>
    <mergeCell ref="BS21:BS22"/>
    <mergeCell ref="BT21:BT22"/>
    <mergeCell ref="BW21:BX21"/>
    <mergeCell ref="AI4:AI5"/>
    <mergeCell ref="AL4:AM4"/>
    <mergeCell ref="AW101:AX101"/>
    <mergeCell ref="AS118:AS119"/>
    <mergeCell ref="AW118:AX118"/>
    <mergeCell ref="AW67:AX67"/>
    <mergeCell ref="AW84:AX84"/>
    <mergeCell ref="AS84:AS85"/>
    <mergeCell ref="AT84:AT85"/>
    <mergeCell ref="AS101:AS102"/>
    <mergeCell ref="AT118:AT119"/>
    <mergeCell ref="AT101:AT102"/>
    <mergeCell ref="AS67:AS68"/>
    <mergeCell ref="AT67:AT68"/>
    <mergeCell ref="A1:L1"/>
    <mergeCell ref="AA4:AA5"/>
    <mergeCell ref="AB4:AB5"/>
    <mergeCell ref="AC4:AC5"/>
    <mergeCell ref="AH4:AH5"/>
    <mergeCell ref="B4:Z4"/>
    <mergeCell ref="AD4:AD5"/>
    <mergeCell ref="BS4:BS5"/>
    <mergeCell ref="BT4:BT5"/>
    <mergeCell ref="CE53:CE54"/>
    <mergeCell ref="CF53:CF54"/>
    <mergeCell ref="CI53:CJ53"/>
    <mergeCell ref="CE33:CE34"/>
    <mergeCell ref="CF33:CF34"/>
    <mergeCell ref="CI33:CJ33"/>
  </mergeCell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2:E10868"/>
  <sheetViews>
    <sheetView topLeftCell="A10566" workbookViewId="0">
      <selection activeCell="A10461" sqref="A10461"/>
    </sheetView>
  </sheetViews>
  <sheetFormatPr defaultColWidth="9.140625" defaultRowHeight="12.75" x14ac:dyDescent="0.2"/>
  <cols>
    <col min="1" max="1" width="10.140625" style="116" bestFit="1" customWidth="1"/>
    <col min="2" max="5" width="9.140625" style="116"/>
    <col min="6" max="6" width="10.42578125" style="116" customWidth="1"/>
    <col min="7" max="16384" width="9.140625" style="116"/>
  </cols>
  <sheetData>
    <row r="2" spans="1:5" x14ac:dyDescent="0.2">
      <c r="A2" s="115" t="s">
        <v>106</v>
      </c>
      <c r="B2" s="115" t="s">
        <v>107</v>
      </c>
      <c r="C2" s="116" t="s">
        <v>224</v>
      </c>
    </row>
    <row r="3" spans="1:5" x14ac:dyDescent="0.2">
      <c r="A3" s="117">
        <v>34700</v>
      </c>
      <c r="B3" s="116">
        <f>VLOOKUP(WEEKNUM(A3),$D$4:$E$59,2)</f>
        <v>11</v>
      </c>
      <c r="C3" s="116">
        <v>1</v>
      </c>
      <c r="D3" s="118" t="s">
        <v>108</v>
      </c>
      <c r="E3" s="118"/>
    </row>
    <row r="4" spans="1:5" x14ac:dyDescent="0.2">
      <c r="A4" s="117">
        <v>34701</v>
      </c>
      <c r="B4" s="116">
        <f t="shared" ref="B4:B67" si="0">VLOOKUP(WEEKNUM(A4),$D$4:$E$59,2)</f>
        <v>11</v>
      </c>
      <c r="C4" s="116">
        <v>2</v>
      </c>
      <c r="D4" s="118">
        <v>1</v>
      </c>
      <c r="E4" s="118">
        <v>11</v>
      </c>
    </row>
    <row r="5" spans="1:5" x14ac:dyDescent="0.2">
      <c r="A5" s="117">
        <v>34702</v>
      </c>
      <c r="B5" s="116">
        <f t="shared" si="0"/>
        <v>11</v>
      </c>
      <c r="C5" s="116">
        <v>3</v>
      </c>
      <c r="D5" s="118">
        <v>2</v>
      </c>
      <c r="E5" s="118">
        <v>12</v>
      </c>
    </row>
    <row r="6" spans="1:5" x14ac:dyDescent="0.2">
      <c r="A6" s="117">
        <v>34703</v>
      </c>
      <c r="B6" s="116">
        <f t="shared" si="0"/>
        <v>11</v>
      </c>
      <c r="C6" s="116">
        <v>4</v>
      </c>
      <c r="D6" s="118">
        <v>3</v>
      </c>
      <c r="E6" s="118">
        <v>13</v>
      </c>
    </row>
    <row r="7" spans="1:5" x14ac:dyDescent="0.2">
      <c r="A7" s="117">
        <v>34704</v>
      </c>
      <c r="B7" s="116">
        <f t="shared" si="0"/>
        <v>11</v>
      </c>
      <c r="C7" s="116">
        <v>5</v>
      </c>
      <c r="D7" s="118">
        <v>4</v>
      </c>
      <c r="E7" s="118">
        <v>14</v>
      </c>
    </row>
    <row r="8" spans="1:5" x14ac:dyDescent="0.2">
      <c r="A8" s="117">
        <v>34705</v>
      </c>
      <c r="B8" s="116">
        <f t="shared" si="0"/>
        <v>11</v>
      </c>
      <c r="C8" s="116">
        <v>6</v>
      </c>
      <c r="D8" s="118">
        <v>5</v>
      </c>
      <c r="E8" s="118">
        <v>15</v>
      </c>
    </row>
    <row r="9" spans="1:5" x14ac:dyDescent="0.2">
      <c r="A9" s="117">
        <v>34706</v>
      </c>
      <c r="B9" s="116">
        <f t="shared" si="0"/>
        <v>11</v>
      </c>
      <c r="C9" s="116">
        <v>7</v>
      </c>
      <c r="D9" s="118">
        <v>6</v>
      </c>
      <c r="E9" s="118">
        <v>21</v>
      </c>
    </row>
    <row r="10" spans="1:5" x14ac:dyDescent="0.2">
      <c r="A10" s="117">
        <v>34707</v>
      </c>
      <c r="B10" s="116">
        <f t="shared" si="0"/>
        <v>12</v>
      </c>
      <c r="C10" s="116">
        <v>8</v>
      </c>
      <c r="D10" s="118">
        <v>7</v>
      </c>
      <c r="E10" s="118">
        <v>22</v>
      </c>
    </row>
    <row r="11" spans="1:5" x14ac:dyDescent="0.2">
      <c r="A11" s="117">
        <v>34708</v>
      </c>
      <c r="B11" s="116">
        <f t="shared" si="0"/>
        <v>12</v>
      </c>
      <c r="C11" s="116">
        <v>9</v>
      </c>
      <c r="D11" s="118">
        <v>8</v>
      </c>
      <c r="E11" s="118">
        <v>23</v>
      </c>
    </row>
    <row r="12" spans="1:5" x14ac:dyDescent="0.2">
      <c r="A12" s="117">
        <v>34709</v>
      </c>
      <c r="B12" s="116">
        <f t="shared" si="0"/>
        <v>12</v>
      </c>
      <c r="C12" s="116">
        <v>10</v>
      </c>
      <c r="D12" s="118">
        <v>9</v>
      </c>
      <c r="E12" s="118">
        <v>24</v>
      </c>
    </row>
    <row r="13" spans="1:5" x14ac:dyDescent="0.2">
      <c r="A13" s="117">
        <v>34710</v>
      </c>
      <c r="B13" s="116">
        <f t="shared" si="0"/>
        <v>12</v>
      </c>
      <c r="C13" s="116">
        <v>11</v>
      </c>
      <c r="D13" s="118">
        <v>10</v>
      </c>
      <c r="E13" s="118">
        <v>31</v>
      </c>
    </row>
    <row r="14" spans="1:5" x14ac:dyDescent="0.2">
      <c r="A14" s="117">
        <v>34711</v>
      </c>
      <c r="B14" s="116">
        <f t="shared" si="0"/>
        <v>12</v>
      </c>
      <c r="C14" s="116">
        <v>12</v>
      </c>
      <c r="D14" s="118">
        <v>11</v>
      </c>
      <c r="E14" s="118">
        <v>32</v>
      </c>
    </row>
    <row r="15" spans="1:5" x14ac:dyDescent="0.2">
      <c r="A15" s="117">
        <v>34712</v>
      </c>
      <c r="B15" s="116">
        <f t="shared" si="0"/>
        <v>12</v>
      </c>
      <c r="C15" s="116">
        <v>13</v>
      </c>
      <c r="D15" s="118">
        <v>12</v>
      </c>
      <c r="E15" s="118">
        <v>33</v>
      </c>
    </row>
    <row r="16" spans="1:5" x14ac:dyDescent="0.2">
      <c r="A16" s="117">
        <v>34713</v>
      </c>
      <c r="B16" s="116">
        <f t="shared" si="0"/>
        <v>12</v>
      </c>
      <c r="C16" s="116">
        <v>14</v>
      </c>
      <c r="D16" s="118">
        <v>13</v>
      </c>
      <c r="E16" s="118">
        <v>34</v>
      </c>
    </row>
    <row r="17" spans="1:5" x14ac:dyDescent="0.2">
      <c r="A17" s="117">
        <v>34714</v>
      </c>
      <c r="B17" s="116">
        <f t="shared" si="0"/>
        <v>13</v>
      </c>
      <c r="C17" s="116">
        <v>15</v>
      </c>
      <c r="D17" s="118">
        <v>14</v>
      </c>
      <c r="E17" s="118">
        <v>41</v>
      </c>
    </row>
    <row r="18" spans="1:5" x14ac:dyDescent="0.2">
      <c r="A18" s="117">
        <v>34715</v>
      </c>
      <c r="B18" s="116">
        <f t="shared" si="0"/>
        <v>13</v>
      </c>
      <c r="C18" s="116">
        <v>16</v>
      </c>
      <c r="D18" s="118">
        <v>15</v>
      </c>
      <c r="E18" s="118">
        <v>42</v>
      </c>
    </row>
    <row r="19" spans="1:5" x14ac:dyDescent="0.2">
      <c r="A19" s="117">
        <v>34716</v>
      </c>
      <c r="B19" s="116">
        <f t="shared" si="0"/>
        <v>13</v>
      </c>
      <c r="C19" s="116">
        <v>17</v>
      </c>
      <c r="D19" s="118">
        <v>16</v>
      </c>
      <c r="E19" s="118">
        <v>43</v>
      </c>
    </row>
    <row r="20" spans="1:5" x14ac:dyDescent="0.2">
      <c r="A20" s="117">
        <v>34717</v>
      </c>
      <c r="B20" s="116">
        <f t="shared" si="0"/>
        <v>13</v>
      </c>
      <c r="C20" s="116">
        <v>18</v>
      </c>
      <c r="D20" s="118">
        <v>17</v>
      </c>
      <c r="E20" s="118">
        <v>44</v>
      </c>
    </row>
    <row r="21" spans="1:5" x14ac:dyDescent="0.2">
      <c r="A21" s="117">
        <v>34718</v>
      </c>
      <c r="B21" s="116">
        <f t="shared" si="0"/>
        <v>13</v>
      </c>
      <c r="C21" s="116">
        <v>19</v>
      </c>
      <c r="D21" s="118">
        <v>18</v>
      </c>
      <c r="E21" s="118">
        <v>45</v>
      </c>
    </row>
    <row r="22" spans="1:5" x14ac:dyDescent="0.2">
      <c r="A22" s="117">
        <v>34719</v>
      </c>
      <c r="B22" s="116">
        <f t="shared" si="0"/>
        <v>13</v>
      </c>
      <c r="C22" s="116">
        <v>20</v>
      </c>
      <c r="D22" s="118">
        <v>19</v>
      </c>
      <c r="E22" s="118">
        <v>51</v>
      </c>
    </row>
    <row r="23" spans="1:5" x14ac:dyDescent="0.2">
      <c r="A23" s="117">
        <v>34720</v>
      </c>
      <c r="B23" s="116">
        <f t="shared" si="0"/>
        <v>13</v>
      </c>
      <c r="C23" s="116">
        <v>21</v>
      </c>
      <c r="D23" s="118">
        <v>20</v>
      </c>
      <c r="E23" s="118">
        <v>52</v>
      </c>
    </row>
    <row r="24" spans="1:5" x14ac:dyDescent="0.2">
      <c r="A24" s="117">
        <v>34721</v>
      </c>
      <c r="B24" s="116">
        <f t="shared" si="0"/>
        <v>14</v>
      </c>
      <c r="C24" s="116">
        <v>22</v>
      </c>
      <c r="D24" s="118">
        <v>21</v>
      </c>
      <c r="E24" s="118">
        <v>53</v>
      </c>
    </row>
    <row r="25" spans="1:5" x14ac:dyDescent="0.2">
      <c r="A25" s="117">
        <v>34722</v>
      </c>
      <c r="B25" s="116">
        <f t="shared" si="0"/>
        <v>14</v>
      </c>
      <c r="C25" s="116">
        <v>23</v>
      </c>
      <c r="D25" s="118">
        <v>22</v>
      </c>
      <c r="E25" s="118">
        <v>54</v>
      </c>
    </row>
    <row r="26" spans="1:5" x14ac:dyDescent="0.2">
      <c r="A26" s="117">
        <v>34723</v>
      </c>
      <c r="B26" s="116">
        <f t="shared" si="0"/>
        <v>14</v>
      </c>
      <c r="C26" s="116">
        <v>24</v>
      </c>
      <c r="D26" s="118">
        <v>23</v>
      </c>
      <c r="E26" s="118">
        <v>61</v>
      </c>
    </row>
    <row r="27" spans="1:5" x14ac:dyDescent="0.2">
      <c r="A27" s="117">
        <v>34724</v>
      </c>
      <c r="B27" s="116">
        <f t="shared" si="0"/>
        <v>14</v>
      </c>
      <c r="C27" s="116">
        <v>25</v>
      </c>
      <c r="D27" s="118">
        <v>24</v>
      </c>
      <c r="E27" s="118">
        <v>62</v>
      </c>
    </row>
    <row r="28" spans="1:5" x14ac:dyDescent="0.2">
      <c r="A28" s="117">
        <v>34725</v>
      </c>
      <c r="B28" s="116">
        <f t="shared" si="0"/>
        <v>14</v>
      </c>
      <c r="C28" s="116">
        <v>26</v>
      </c>
      <c r="D28" s="118">
        <v>25</v>
      </c>
      <c r="E28" s="118">
        <v>63</v>
      </c>
    </row>
    <row r="29" spans="1:5" x14ac:dyDescent="0.2">
      <c r="A29" s="117">
        <v>34726</v>
      </c>
      <c r="B29" s="116">
        <f t="shared" si="0"/>
        <v>14</v>
      </c>
      <c r="C29" s="116">
        <v>27</v>
      </c>
      <c r="D29" s="118">
        <v>26</v>
      </c>
      <c r="E29" s="118">
        <v>64</v>
      </c>
    </row>
    <row r="30" spans="1:5" x14ac:dyDescent="0.2">
      <c r="A30" s="117">
        <v>34727</v>
      </c>
      <c r="B30" s="116">
        <f t="shared" si="0"/>
        <v>14</v>
      </c>
      <c r="C30" s="116">
        <v>28</v>
      </c>
      <c r="D30" s="118">
        <v>27</v>
      </c>
      <c r="E30" s="118">
        <v>71</v>
      </c>
    </row>
    <row r="31" spans="1:5" x14ac:dyDescent="0.2">
      <c r="A31" s="117">
        <v>34728</v>
      </c>
      <c r="B31" s="116">
        <f t="shared" si="0"/>
        <v>15</v>
      </c>
      <c r="C31" s="116">
        <v>29</v>
      </c>
      <c r="D31" s="118">
        <v>28</v>
      </c>
      <c r="E31" s="118">
        <v>72</v>
      </c>
    </row>
    <row r="32" spans="1:5" x14ac:dyDescent="0.2">
      <c r="A32" s="117">
        <v>34729</v>
      </c>
      <c r="B32" s="116">
        <f t="shared" si="0"/>
        <v>15</v>
      </c>
      <c r="C32" s="116">
        <v>30</v>
      </c>
      <c r="D32" s="118">
        <v>29</v>
      </c>
      <c r="E32" s="118">
        <v>73</v>
      </c>
    </row>
    <row r="33" spans="1:5" x14ac:dyDescent="0.2">
      <c r="A33" s="117">
        <v>34730</v>
      </c>
      <c r="B33" s="116">
        <f t="shared" si="0"/>
        <v>15</v>
      </c>
      <c r="C33" s="116">
        <v>31</v>
      </c>
      <c r="D33" s="118">
        <v>30</v>
      </c>
      <c r="E33" s="118">
        <v>74</v>
      </c>
    </row>
    <row r="34" spans="1:5" x14ac:dyDescent="0.2">
      <c r="A34" s="117">
        <v>34731</v>
      </c>
      <c r="B34" s="116">
        <f t="shared" si="0"/>
        <v>15</v>
      </c>
      <c r="C34" s="116">
        <v>32</v>
      </c>
      <c r="D34" s="118">
        <v>31</v>
      </c>
      <c r="E34" s="118">
        <v>75</v>
      </c>
    </row>
    <row r="35" spans="1:5" x14ac:dyDescent="0.2">
      <c r="A35" s="117">
        <v>34732</v>
      </c>
      <c r="B35" s="116">
        <f t="shared" si="0"/>
        <v>15</v>
      </c>
      <c r="C35" s="116">
        <v>33</v>
      </c>
      <c r="D35" s="118">
        <v>32</v>
      </c>
      <c r="E35" s="118">
        <v>81</v>
      </c>
    </row>
    <row r="36" spans="1:5" x14ac:dyDescent="0.2">
      <c r="A36" s="117">
        <v>34733</v>
      </c>
      <c r="B36" s="116">
        <f t="shared" si="0"/>
        <v>15</v>
      </c>
      <c r="C36" s="116">
        <v>34</v>
      </c>
      <c r="D36" s="118">
        <v>33</v>
      </c>
      <c r="E36" s="118">
        <v>82</v>
      </c>
    </row>
    <row r="37" spans="1:5" x14ac:dyDescent="0.2">
      <c r="A37" s="117">
        <v>34734</v>
      </c>
      <c r="B37" s="116">
        <f t="shared" si="0"/>
        <v>15</v>
      </c>
      <c r="C37" s="116">
        <v>35</v>
      </c>
      <c r="D37" s="118">
        <v>34</v>
      </c>
      <c r="E37" s="118">
        <v>83</v>
      </c>
    </row>
    <row r="38" spans="1:5" x14ac:dyDescent="0.2">
      <c r="A38" s="117">
        <v>34735</v>
      </c>
      <c r="B38" s="116">
        <f t="shared" si="0"/>
        <v>21</v>
      </c>
      <c r="C38" s="116">
        <v>36</v>
      </c>
      <c r="D38" s="118">
        <v>35</v>
      </c>
      <c r="E38" s="118">
        <v>84</v>
      </c>
    </row>
    <row r="39" spans="1:5" x14ac:dyDescent="0.2">
      <c r="A39" s="117">
        <v>34736</v>
      </c>
      <c r="B39" s="116">
        <f t="shared" si="0"/>
        <v>21</v>
      </c>
      <c r="C39" s="116">
        <v>37</v>
      </c>
      <c r="D39" s="118">
        <v>36</v>
      </c>
      <c r="E39" s="118">
        <v>91</v>
      </c>
    </row>
    <row r="40" spans="1:5" x14ac:dyDescent="0.2">
      <c r="A40" s="117">
        <v>34737</v>
      </c>
      <c r="B40" s="116">
        <f t="shared" si="0"/>
        <v>21</v>
      </c>
      <c r="C40" s="116">
        <v>38</v>
      </c>
      <c r="D40" s="118">
        <v>37</v>
      </c>
      <c r="E40" s="118">
        <v>92</v>
      </c>
    </row>
    <row r="41" spans="1:5" x14ac:dyDescent="0.2">
      <c r="A41" s="117">
        <v>34738</v>
      </c>
      <c r="B41" s="116">
        <f t="shared" si="0"/>
        <v>21</v>
      </c>
      <c r="C41" s="116">
        <v>39</v>
      </c>
      <c r="D41" s="118">
        <v>38</v>
      </c>
      <c r="E41" s="118">
        <v>93</v>
      </c>
    </row>
    <row r="42" spans="1:5" x14ac:dyDescent="0.2">
      <c r="A42" s="117">
        <v>34739</v>
      </c>
      <c r="B42" s="116">
        <f t="shared" si="0"/>
        <v>21</v>
      </c>
      <c r="C42" s="116">
        <v>40</v>
      </c>
      <c r="D42" s="118">
        <v>39</v>
      </c>
      <c r="E42" s="118">
        <v>94</v>
      </c>
    </row>
    <row r="43" spans="1:5" x14ac:dyDescent="0.2">
      <c r="A43" s="117">
        <v>34740</v>
      </c>
      <c r="B43" s="116">
        <f t="shared" si="0"/>
        <v>21</v>
      </c>
      <c r="C43" s="116">
        <v>41</v>
      </c>
      <c r="D43" s="118">
        <v>40</v>
      </c>
      <c r="E43" s="118">
        <v>101</v>
      </c>
    </row>
    <row r="44" spans="1:5" x14ac:dyDescent="0.2">
      <c r="A44" s="117">
        <v>34741</v>
      </c>
      <c r="B44" s="116">
        <f t="shared" si="0"/>
        <v>21</v>
      </c>
      <c r="C44" s="116">
        <v>42</v>
      </c>
      <c r="D44" s="118">
        <v>41</v>
      </c>
      <c r="E44" s="118">
        <v>102</v>
      </c>
    </row>
    <row r="45" spans="1:5" x14ac:dyDescent="0.2">
      <c r="A45" s="117">
        <v>34742</v>
      </c>
      <c r="B45" s="116">
        <f t="shared" si="0"/>
        <v>22</v>
      </c>
      <c r="C45" s="116">
        <v>43</v>
      </c>
      <c r="D45" s="118">
        <v>42</v>
      </c>
      <c r="E45" s="118">
        <v>103</v>
      </c>
    </row>
    <row r="46" spans="1:5" x14ac:dyDescent="0.2">
      <c r="A46" s="117">
        <v>34743</v>
      </c>
      <c r="B46" s="116">
        <f t="shared" si="0"/>
        <v>22</v>
      </c>
      <c r="C46" s="116">
        <v>44</v>
      </c>
      <c r="D46" s="118">
        <v>43</v>
      </c>
      <c r="E46" s="118">
        <v>104</v>
      </c>
    </row>
    <row r="47" spans="1:5" x14ac:dyDescent="0.2">
      <c r="A47" s="117">
        <v>34744</v>
      </c>
      <c r="B47" s="116">
        <f t="shared" si="0"/>
        <v>22</v>
      </c>
      <c r="C47" s="116">
        <v>45</v>
      </c>
      <c r="D47" s="118">
        <v>44</v>
      </c>
      <c r="E47" s="118">
        <v>105</v>
      </c>
    </row>
    <row r="48" spans="1:5" x14ac:dyDescent="0.2">
      <c r="A48" s="117">
        <v>34745</v>
      </c>
      <c r="B48" s="116">
        <f t="shared" si="0"/>
        <v>22</v>
      </c>
      <c r="C48" s="116">
        <v>46</v>
      </c>
      <c r="D48" s="118">
        <v>45</v>
      </c>
      <c r="E48" s="118">
        <v>111</v>
      </c>
    </row>
    <row r="49" spans="1:5" x14ac:dyDescent="0.2">
      <c r="A49" s="117">
        <v>34746</v>
      </c>
      <c r="B49" s="116">
        <f t="shared" si="0"/>
        <v>22</v>
      </c>
      <c r="C49" s="116">
        <v>47</v>
      </c>
      <c r="D49" s="118">
        <v>46</v>
      </c>
      <c r="E49" s="118">
        <v>112</v>
      </c>
    </row>
    <row r="50" spans="1:5" x14ac:dyDescent="0.2">
      <c r="A50" s="117">
        <v>34747</v>
      </c>
      <c r="B50" s="116">
        <f t="shared" si="0"/>
        <v>22</v>
      </c>
      <c r="C50" s="116">
        <v>48</v>
      </c>
      <c r="D50" s="118">
        <v>47</v>
      </c>
      <c r="E50" s="118">
        <v>113</v>
      </c>
    </row>
    <row r="51" spans="1:5" x14ac:dyDescent="0.2">
      <c r="A51" s="117">
        <v>34748</v>
      </c>
      <c r="B51" s="116">
        <f t="shared" si="0"/>
        <v>22</v>
      </c>
      <c r="C51" s="116">
        <v>49</v>
      </c>
      <c r="D51" s="118">
        <v>48</v>
      </c>
      <c r="E51" s="118">
        <v>114</v>
      </c>
    </row>
    <row r="52" spans="1:5" x14ac:dyDescent="0.2">
      <c r="A52" s="117">
        <v>34749</v>
      </c>
      <c r="B52" s="116">
        <f t="shared" si="0"/>
        <v>23</v>
      </c>
      <c r="C52" s="116">
        <v>50</v>
      </c>
      <c r="D52" s="118">
        <v>49</v>
      </c>
      <c r="E52" s="118">
        <v>115</v>
      </c>
    </row>
    <row r="53" spans="1:5" x14ac:dyDescent="0.2">
      <c r="A53" s="117">
        <v>34750</v>
      </c>
      <c r="B53" s="116">
        <f t="shared" si="0"/>
        <v>23</v>
      </c>
      <c r="C53" s="116">
        <v>51</v>
      </c>
      <c r="D53" s="118">
        <v>50</v>
      </c>
      <c r="E53" s="118">
        <v>121</v>
      </c>
    </row>
    <row r="54" spans="1:5" x14ac:dyDescent="0.2">
      <c r="A54" s="117">
        <v>34751</v>
      </c>
      <c r="B54" s="116">
        <f t="shared" si="0"/>
        <v>23</v>
      </c>
      <c r="C54" s="116">
        <v>52</v>
      </c>
      <c r="D54" s="118">
        <v>51</v>
      </c>
      <c r="E54" s="118">
        <v>122</v>
      </c>
    </row>
    <row r="55" spans="1:5" x14ac:dyDescent="0.2">
      <c r="A55" s="117">
        <v>34752</v>
      </c>
      <c r="B55" s="116">
        <f t="shared" si="0"/>
        <v>23</v>
      </c>
      <c r="C55" s="116">
        <v>53</v>
      </c>
      <c r="D55" s="118">
        <v>52</v>
      </c>
      <c r="E55" s="118">
        <v>123</v>
      </c>
    </row>
    <row r="56" spans="1:5" x14ac:dyDescent="0.2">
      <c r="A56" s="117">
        <v>34753</v>
      </c>
      <c r="B56" s="116">
        <f t="shared" si="0"/>
        <v>23</v>
      </c>
      <c r="C56" s="116">
        <v>54</v>
      </c>
      <c r="D56" s="118">
        <v>53</v>
      </c>
      <c r="E56" s="118">
        <v>124</v>
      </c>
    </row>
    <row r="57" spans="1:5" x14ac:dyDescent="0.2">
      <c r="A57" s="117">
        <v>34754</v>
      </c>
      <c r="B57" s="116">
        <f t="shared" si="0"/>
        <v>23</v>
      </c>
      <c r="C57" s="116">
        <v>55</v>
      </c>
      <c r="D57" s="118">
        <v>54</v>
      </c>
      <c r="E57" s="118">
        <v>125</v>
      </c>
    </row>
    <row r="58" spans="1:5" x14ac:dyDescent="0.2">
      <c r="A58" s="117">
        <v>34755</v>
      </c>
      <c r="B58" s="116">
        <f t="shared" si="0"/>
        <v>23</v>
      </c>
      <c r="C58" s="116">
        <v>56</v>
      </c>
      <c r="D58" s="118">
        <v>55</v>
      </c>
      <c r="E58" s="118"/>
    </row>
    <row r="59" spans="1:5" x14ac:dyDescent="0.2">
      <c r="A59" s="117">
        <v>34756</v>
      </c>
      <c r="B59" s="116">
        <f t="shared" si="0"/>
        <v>24</v>
      </c>
      <c r="C59" s="116">
        <v>57</v>
      </c>
      <c r="D59" s="118">
        <v>56</v>
      </c>
      <c r="E59" s="118"/>
    </row>
    <row r="60" spans="1:5" x14ac:dyDescent="0.2">
      <c r="A60" s="117">
        <v>34757</v>
      </c>
      <c r="B60" s="116">
        <f t="shared" si="0"/>
        <v>24</v>
      </c>
      <c r="C60" s="116">
        <v>58</v>
      </c>
    </row>
    <row r="61" spans="1:5" x14ac:dyDescent="0.2">
      <c r="A61" s="117">
        <v>34758</v>
      </c>
      <c r="B61" s="116">
        <f t="shared" si="0"/>
        <v>24</v>
      </c>
      <c r="C61" s="116">
        <v>59</v>
      </c>
    </row>
    <row r="62" spans="1:5" x14ac:dyDescent="0.2">
      <c r="A62" s="117">
        <v>34759</v>
      </c>
      <c r="B62" s="116">
        <f t="shared" si="0"/>
        <v>24</v>
      </c>
      <c r="C62" s="116">
        <v>60</v>
      </c>
    </row>
    <row r="63" spans="1:5" x14ac:dyDescent="0.2">
      <c r="A63" s="117">
        <v>34760</v>
      </c>
      <c r="B63" s="116">
        <f t="shared" si="0"/>
        <v>24</v>
      </c>
      <c r="C63" s="116">
        <v>61</v>
      </c>
    </row>
    <row r="64" spans="1:5" x14ac:dyDescent="0.2">
      <c r="A64" s="117">
        <v>34761</v>
      </c>
      <c r="B64" s="116">
        <f t="shared" si="0"/>
        <v>24</v>
      </c>
      <c r="C64" s="116">
        <v>62</v>
      </c>
    </row>
    <row r="65" spans="1:3" x14ac:dyDescent="0.2">
      <c r="A65" s="117">
        <v>34762</v>
      </c>
      <c r="B65" s="116">
        <f t="shared" si="0"/>
        <v>24</v>
      </c>
      <c r="C65" s="116">
        <v>63</v>
      </c>
    </row>
    <row r="66" spans="1:3" x14ac:dyDescent="0.2">
      <c r="A66" s="117">
        <v>34763</v>
      </c>
      <c r="B66" s="116">
        <f t="shared" si="0"/>
        <v>31</v>
      </c>
      <c r="C66" s="116">
        <v>64</v>
      </c>
    </row>
    <row r="67" spans="1:3" x14ac:dyDescent="0.2">
      <c r="A67" s="117">
        <v>34764</v>
      </c>
      <c r="B67" s="116">
        <f t="shared" si="0"/>
        <v>31</v>
      </c>
      <c r="C67" s="116">
        <v>65</v>
      </c>
    </row>
    <row r="68" spans="1:3" x14ac:dyDescent="0.2">
      <c r="A68" s="117">
        <v>34765</v>
      </c>
      <c r="B68" s="116">
        <f t="shared" ref="B68:B131" si="1">VLOOKUP(WEEKNUM(A68),$D$4:$E$59,2)</f>
        <v>31</v>
      </c>
      <c r="C68" s="116">
        <v>66</v>
      </c>
    </row>
    <row r="69" spans="1:3" x14ac:dyDescent="0.2">
      <c r="A69" s="117">
        <v>34766</v>
      </c>
      <c r="B69" s="116">
        <f t="shared" si="1"/>
        <v>31</v>
      </c>
      <c r="C69" s="116">
        <v>67</v>
      </c>
    </row>
    <row r="70" spans="1:3" x14ac:dyDescent="0.2">
      <c r="A70" s="117">
        <v>34767</v>
      </c>
      <c r="B70" s="116">
        <f t="shared" si="1"/>
        <v>31</v>
      </c>
      <c r="C70" s="116">
        <v>68</v>
      </c>
    </row>
    <row r="71" spans="1:3" x14ac:dyDescent="0.2">
      <c r="A71" s="117">
        <v>34768</v>
      </c>
      <c r="B71" s="116">
        <f t="shared" si="1"/>
        <v>31</v>
      </c>
      <c r="C71" s="116">
        <v>69</v>
      </c>
    </row>
    <row r="72" spans="1:3" x14ac:dyDescent="0.2">
      <c r="A72" s="117">
        <v>34769</v>
      </c>
      <c r="B72" s="116">
        <f t="shared" si="1"/>
        <v>31</v>
      </c>
      <c r="C72" s="116">
        <v>70</v>
      </c>
    </row>
    <row r="73" spans="1:3" x14ac:dyDescent="0.2">
      <c r="A73" s="117">
        <v>34770</v>
      </c>
      <c r="B73" s="116">
        <f t="shared" si="1"/>
        <v>32</v>
      </c>
      <c r="C73" s="116">
        <v>71</v>
      </c>
    </row>
    <row r="74" spans="1:3" x14ac:dyDescent="0.2">
      <c r="A74" s="117">
        <v>34771</v>
      </c>
      <c r="B74" s="116">
        <f t="shared" si="1"/>
        <v>32</v>
      </c>
      <c r="C74" s="116">
        <v>72</v>
      </c>
    </row>
    <row r="75" spans="1:3" x14ac:dyDescent="0.2">
      <c r="A75" s="117">
        <v>34772</v>
      </c>
      <c r="B75" s="116">
        <f t="shared" si="1"/>
        <v>32</v>
      </c>
      <c r="C75" s="116">
        <v>73</v>
      </c>
    </row>
    <row r="76" spans="1:3" x14ac:dyDescent="0.2">
      <c r="A76" s="117">
        <v>34773</v>
      </c>
      <c r="B76" s="116">
        <f t="shared" si="1"/>
        <v>32</v>
      </c>
      <c r="C76" s="116">
        <v>74</v>
      </c>
    </row>
    <row r="77" spans="1:3" x14ac:dyDescent="0.2">
      <c r="A77" s="117">
        <v>34774</v>
      </c>
      <c r="B77" s="116">
        <f t="shared" si="1"/>
        <v>32</v>
      </c>
      <c r="C77" s="116">
        <v>75</v>
      </c>
    </row>
    <row r="78" spans="1:3" x14ac:dyDescent="0.2">
      <c r="A78" s="117">
        <v>34775</v>
      </c>
      <c r="B78" s="116">
        <f t="shared" si="1"/>
        <v>32</v>
      </c>
      <c r="C78" s="116">
        <v>76</v>
      </c>
    </row>
    <row r="79" spans="1:3" x14ac:dyDescent="0.2">
      <c r="A79" s="117">
        <v>34776</v>
      </c>
      <c r="B79" s="116">
        <f t="shared" si="1"/>
        <v>32</v>
      </c>
      <c r="C79" s="116">
        <v>77</v>
      </c>
    </row>
    <row r="80" spans="1:3" x14ac:dyDescent="0.2">
      <c r="A80" s="117">
        <v>34777</v>
      </c>
      <c r="B80" s="116">
        <f t="shared" si="1"/>
        <v>33</v>
      </c>
      <c r="C80" s="116">
        <v>78</v>
      </c>
    </row>
    <row r="81" spans="1:3" x14ac:dyDescent="0.2">
      <c r="A81" s="117">
        <v>34778</v>
      </c>
      <c r="B81" s="116">
        <f t="shared" si="1"/>
        <v>33</v>
      </c>
      <c r="C81" s="116">
        <v>79</v>
      </c>
    </row>
    <row r="82" spans="1:3" x14ac:dyDescent="0.2">
      <c r="A82" s="117">
        <v>34779</v>
      </c>
      <c r="B82" s="116">
        <f t="shared" si="1"/>
        <v>33</v>
      </c>
      <c r="C82" s="116">
        <v>80</v>
      </c>
    </row>
    <row r="83" spans="1:3" x14ac:dyDescent="0.2">
      <c r="A83" s="117">
        <v>34780</v>
      </c>
      <c r="B83" s="116">
        <f t="shared" si="1"/>
        <v>33</v>
      </c>
      <c r="C83" s="116">
        <v>81</v>
      </c>
    </row>
    <row r="84" spans="1:3" x14ac:dyDescent="0.2">
      <c r="A84" s="117">
        <v>34781</v>
      </c>
      <c r="B84" s="116">
        <f t="shared" si="1"/>
        <v>33</v>
      </c>
      <c r="C84" s="116">
        <v>82</v>
      </c>
    </row>
    <row r="85" spans="1:3" x14ac:dyDescent="0.2">
      <c r="A85" s="117">
        <v>34782</v>
      </c>
      <c r="B85" s="116">
        <f t="shared" si="1"/>
        <v>33</v>
      </c>
      <c r="C85" s="116">
        <v>83</v>
      </c>
    </row>
    <row r="86" spans="1:3" x14ac:dyDescent="0.2">
      <c r="A86" s="117">
        <v>34783</v>
      </c>
      <c r="B86" s="116">
        <f t="shared" si="1"/>
        <v>33</v>
      </c>
      <c r="C86" s="116">
        <v>84</v>
      </c>
    </row>
    <row r="87" spans="1:3" x14ac:dyDescent="0.2">
      <c r="A87" s="117">
        <v>34784</v>
      </c>
      <c r="B87" s="116">
        <f t="shared" si="1"/>
        <v>34</v>
      </c>
      <c r="C87" s="116">
        <v>85</v>
      </c>
    </row>
    <row r="88" spans="1:3" x14ac:dyDescent="0.2">
      <c r="A88" s="117">
        <v>34785</v>
      </c>
      <c r="B88" s="116">
        <f t="shared" si="1"/>
        <v>34</v>
      </c>
      <c r="C88" s="116">
        <v>86</v>
      </c>
    </row>
    <row r="89" spans="1:3" x14ac:dyDescent="0.2">
      <c r="A89" s="117">
        <v>34786</v>
      </c>
      <c r="B89" s="116">
        <f t="shared" si="1"/>
        <v>34</v>
      </c>
      <c r="C89" s="116">
        <v>87</v>
      </c>
    </row>
    <row r="90" spans="1:3" x14ac:dyDescent="0.2">
      <c r="A90" s="117">
        <v>34787</v>
      </c>
      <c r="B90" s="116">
        <f t="shared" si="1"/>
        <v>34</v>
      </c>
      <c r="C90" s="116">
        <v>88</v>
      </c>
    </row>
    <row r="91" spans="1:3" x14ac:dyDescent="0.2">
      <c r="A91" s="117">
        <v>34788</v>
      </c>
      <c r="B91" s="116">
        <f t="shared" si="1"/>
        <v>34</v>
      </c>
      <c r="C91" s="116">
        <v>89</v>
      </c>
    </row>
    <row r="92" spans="1:3" x14ac:dyDescent="0.2">
      <c r="A92" s="117">
        <v>34789</v>
      </c>
      <c r="B92" s="116">
        <f t="shared" si="1"/>
        <v>34</v>
      </c>
      <c r="C92" s="116">
        <v>90</v>
      </c>
    </row>
    <row r="93" spans="1:3" x14ac:dyDescent="0.2">
      <c r="A93" s="117">
        <v>34790</v>
      </c>
      <c r="B93" s="116">
        <f t="shared" si="1"/>
        <v>34</v>
      </c>
      <c r="C93" s="116">
        <v>91</v>
      </c>
    </row>
    <row r="94" spans="1:3" x14ac:dyDescent="0.2">
      <c r="A94" s="117">
        <v>34791</v>
      </c>
      <c r="B94" s="116">
        <f t="shared" si="1"/>
        <v>41</v>
      </c>
      <c r="C94" s="116">
        <v>92</v>
      </c>
    </row>
    <row r="95" spans="1:3" x14ac:dyDescent="0.2">
      <c r="A95" s="117">
        <v>34792</v>
      </c>
      <c r="B95" s="116">
        <f t="shared" si="1"/>
        <v>41</v>
      </c>
      <c r="C95" s="116">
        <v>93</v>
      </c>
    </row>
    <row r="96" spans="1:3" x14ac:dyDescent="0.2">
      <c r="A96" s="117">
        <v>34793</v>
      </c>
      <c r="B96" s="116">
        <f t="shared" si="1"/>
        <v>41</v>
      </c>
      <c r="C96" s="116">
        <v>94</v>
      </c>
    </row>
    <row r="97" spans="1:3" x14ac:dyDescent="0.2">
      <c r="A97" s="117">
        <v>34794</v>
      </c>
      <c r="B97" s="116">
        <f t="shared" si="1"/>
        <v>41</v>
      </c>
      <c r="C97" s="116">
        <v>95</v>
      </c>
    </row>
    <row r="98" spans="1:3" x14ac:dyDescent="0.2">
      <c r="A98" s="117">
        <v>34795</v>
      </c>
      <c r="B98" s="116">
        <f t="shared" si="1"/>
        <v>41</v>
      </c>
      <c r="C98" s="116">
        <v>96</v>
      </c>
    </row>
    <row r="99" spans="1:3" x14ac:dyDescent="0.2">
      <c r="A99" s="117">
        <v>34796</v>
      </c>
      <c r="B99" s="116">
        <f t="shared" si="1"/>
        <v>41</v>
      </c>
      <c r="C99" s="116">
        <v>97</v>
      </c>
    </row>
    <row r="100" spans="1:3" x14ac:dyDescent="0.2">
      <c r="A100" s="117">
        <v>34797</v>
      </c>
      <c r="B100" s="116">
        <f t="shared" si="1"/>
        <v>41</v>
      </c>
      <c r="C100" s="116">
        <v>98</v>
      </c>
    </row>
    <row r="101" spans="1:3" x14ac:dyDescent="0.2">
      <c r="A101" s="117">
        <v>34798</v>
      </c>
      <c r="B101" s="116">
        <f t="shared" si="1"/>
        <v>42</v>
      </c>
      <c r="C101" s="116">
        <v>99</v>
      </c>
    </row>
    <row r="102" spans="1:3" x14ac:dyDescent="0.2">
      <c r="A102" s="117">
        <v>34799</v>
      </c>
      <c r="B102" s="116">
        <f t="shared" si="1"/>
        <v>42</v>
      </c>
      <c r="C102" s="116">
        <v>100</v>
      </c>
    </row>
    <row r="103" spans="1:3" x14ac:dyDescent="0.2">
      <c r="A103" s="117">
        <v>34800</v>
      </c>
      <c r="B103" s="116">
        <f t="shared" si="1"/>
        <v>42</v>
      </c>
      <c r="C103" s="116">
        <v>101</v>
      </c>
    </row>
    <row r="104" spans="1:3" x14ac:dyDescent="0.2">
      <c r="A104" s="117">
        <v>34801</v>
      </c>
      <c r="B104" s="116">
        <f t="shared" si="1"/>
        <v>42</v>
      </c>
      <c r="C104" s="116">
        <v>102</v>
      </c>
    </row>
    <row r="105" spans="1:3" x14ac:dyDescent="0.2">
      <c r="A105" s="117">
        <v>34802</v>
      </c>
      <c r="B105" s="116">
        <f t="shared" si="1"/>
        <v>42</v>
      </c>
      <c r="C105" s="116">
        <v>103</v>
      </c>
    </row>
    <row r="106" spans="1:3" x14ac:dyDescent="0.2">
      <c r="A106" s="117">
        <v>34803</v>
      </c>
      <c r="B106" s="116">
        <f t="shared" si="1"/>
        <v>42</v>
      </c>
      <c r="C106" s="116">
        <v>104</v>
      </c>
    </row>
    <row r="107" spans="1:3" x14ac:dyDescent="0.2">
      <c r="A107" s="117">
        <v>34804</v>
      </c>
      <c r="B107" s="116">
        <f t="shared" si="1"/>
        <v>42</v>
      </c>
      <c r="C107" s="116">
        <v>105</v>
      </c>
    </row>
    <row r="108" spans="1:3" x14ac:dyDescent="0.2">
      <c r="A108" s="117">
        <v>34805</v>
      </c>
      <c r="B108" s="116">
        <f t="shared" si="1"/>
        <v>43</v>
      </c>
      <c r="C108" s="116">
        <v>106</v>
      </c>
    </row>
    <row r="109" spans="1:3" x14ac:dyDescent="0.2">
      <c r="A109" s="117">
        <v>34806</v>
      </c>
      <c r="B109" s="116">
        <f t="shared" si="1"/>
        <v>43</v>
      </c>
      <c r="C109" s="116">
        <v>107</v>
      </c>
    </row>
    <row r="110" spans="1:3" x14ac:dyDescent="0.2">
      <c r="A110" s="117">
        <v>34807</v>
      </c>
      <c r="B110" s="116">
        <f t="shared" si="1"/>
        <v>43</v>
      </c>
      <c r="C110" s="116">
        <v>108</v>
      </c>
    </row>
    <row r="111" spans="1:3" x14ac:dyDescent="0.2">
      <c r="A111" s="117">
        <v>34808</v>
      </c>
      <c r="B111" s="116">
        <f t="shared" si="1"/>
        <v>43</v>
      </c>
      <c r="C111" s="116">
        <v>109</v>
      </c>
    </row>
    <row r="112" spans="1:3" x14ac:dyDescent="0.2">
      <c r="A112" s="117">
        <v>34809</v>
      </c>
      <c r="B112" s="116">
        <f t="shared" si="1"/>
        <v>43</v>
      </c>
      <c r="C112" s="116">
        <v>110</v>
      </c>
    </row>
    <row r="113" spans="1:3" x14ac:dyDescent="0.2">
      <c r="A113" s="117">
        <v>34810</v>
      </c>
      <c r="B113" s="116">
        <f t="shared" si="1"/>
        <v>43</v>
      </c>
      <c r="C113" s="116">
        <v>111</v>
      </c>
    </row>
    <row r="114" spans="1:3" x14ac:dyDescent="0.2">
      <c r="A114" s="117">
        <v>34811</v>
      </c>
      <c r="B114" s="116">
        <f t="shared" si="1"/>
        <v>43</v>
      </c>
      <c r="C114" s="116">
        <v>112</v>
      </c>
    </row>
    <row r="115" spans="1:3" x14ac:dyDescent="0.2">
      <c r="A115" s="117">
        <v>34812</v>
      </c>
      <c r="B115" s="116">
        <f t="shared" si="1"/>
        <v>44</v>
      </c>
      <c r="C115" s="116">
        <v>113</v>
      </c>
    </row>
    <row r="116" spans="1:3" x14ac:dyDescent="0.2">
      <c r="A116" s="117">
        <v>34813</v>
      </c>
      <c r="B116" s="116">
        <f t="shared" si="1"/>
        <v>44</v>
      </c>
      <c r="C116" s="116">
        <v>114</v>
      </c>
    </row>
    <row r="117" spans="1:3" x14ac:dyDescent="0.2">
      <c r="A117" s="117">
        <v>34814</v>
      </c>
      <c r="B117" s="116">
        <f t="shared" si="1"/>
        <v>44</v>
      </c>
      <c r="C117" s="116">
        <v>115</v>
      </c>
    </row>
    <row r="118" spans="1:3" x14ac:dyDescent="0.2">
      <c r="A118" s="117">
        <v>34815</v>
      </c>
      <c r="B118" s="116">
        <f t="shared" si="1"/>
        <v>44</v>
      </c>
      <c r="C118" s="116">
        <v>116</v>
      </c>
    </row>
    <row r="119" spans="1:3" x14ac:dyDescent="0.2">
      <c r="A119" s="117">
        <v>34816</v>
      </c>
      <c r="B119" s="116">
        <f t="shared" si="1"/>
        <v>44</v>
      </c>
      <c r="C119" s="116">
        <v>117</v>
      </c>
    </row>
    <row r="120" spans="1:3" x14ac:dyDescent="0.2">
      <c r="A120" s="117">
        <v>34817</v>
      </c>
      <c r="B120" s="116">
        <f t="shared" si="1"/>
        <v>44</v>
      </c>
      <c r="C120" s="116">
        <v>118</v>
      </c>
    </row>
    <row r="121" spans="1:3" x14ac:dyDescent="0.2">
      <c r="A121" s="117">
        <v>34818</v>
      </c>
      <c r="B121" s="116">
        <f t="shared" si="1"/>
        <v>44</v>
      </c>
      <c r="C121" s="116">
        <v>119</v>
      </c>
    </row>
    <row r="122" spans="1:3" x14ac:dyDescent="0.2">
      <c r="A122" s="117">
        <v>34819</v>
      </c>
      <c r="B122" s="116">
        <f t="shared" si="1"/>
        <v>45</v>
      </c>
      <c r="C122" s="116">
        <v>120</v>
      </c>
    </row>
    <row r="123" spans="1:3" x14ac:dyDescent="0.2">
      <c r="A123" s="117">
        <v>34820</v>
      </c>
      <c r="B123" s="116">
        <f t="shared" si="1"/>
        <v>45</v>
      </c>
      <c r="C123" s="116">
        <v>121</v>
      </c>
    </row>
    <row r="124" spans="1:3" x14ac:dyDescent="0.2">
      <c r="A124" s="117">
        <v>34821</v>
      </c>
      <c r="B124" s="116">
        <f t="shared" si="1"/>
        <v>45</v>
      </c>
      <c r="C124" s="116">
        <v>122</v>
      </c>
    </row>
    <row r="125" spans="1:3" x14ac:dyDescent="0.2">
      <c r="A125" s="117">
        <v>34822</v>
      </c>
      <c r="B125" s="116">
        <f t="shared" si="1"/>
        <v>45</v>
      </c>
      <c r="C125" s="116">
        <v>123</v>
      </c>
    </row>
    <row r="126" spans="1:3" x14ac:dyDescent="0.2">
      <c r="A126" s="117">
        <v>34823</v>
      </c>
      <c r="B126" s="116">
        <f t="shared" si="1"/>
        <v>45</v>
      </c>
      <c r="C126" s="116">
        <v>124</v>
      </c>
    </row>
    <row r="127" spans="1:3" x14ac:dyDescent="0.2">
      <c r="A127" s="117">
        <v>34824</v>
      </c>
      <c r="B127" s="116">
        <f t="shared" si="1"/>
        <v>45</v>
      </c>
      <c r="C127" s="116">
        <v>125</v>
      </c>
    </row>
    <row r="128" spans="1:3" x14ac:dyDescent="0.2">
      <c r="A128" s="117">
        <v>34825</v>
      </c>
      <c r="B128" s="116">
        <f t="shared" si="1"/>
        <v>45</v>
      </c>
      <c r="C128" s="116">
        <v>126</v>
      </c>
    </row>
    <row r="129" spans="1:3" x14ac:dyDescent="0.2">
      <c r="A129" s="117">
        <v>34826</v>
      </c>
      <c r="B129" s="116">
        <f t="shared" si="1"/>
        <v>51</v>
      </c>
      <c r="C129" s="116">
        <v>127</v>
      </c>
    </row>
    <row r="130" spans="1:3" x14ac:dyDescent="0.2">
      <c r="A130" s="117">
        <v>34827</v>
      </c>
      <c r="B130" s="116">
        <f t="shared" si="1"/>
        <v>51</v>
      </c>
      <c r="C130" s="116">
        <v>128</v>
      </c>
    </row>
    <row r="131" spans="1:3" x14ac:dyDescent="0.2">
      <c r="A131" s="117">
        <v>34828</v>
      </c>
      <c r="B131" s="116">
        <f t="shared" si="1"/>
        <v>51</v>
      </c>
      <c r="C131" s="116">
        <v>129</v>
      </c>
    </row>
    <row r="132" spans="1:3" x14ac:dyDescent="0.2">
      <c r="A132" s="117">
        <v>34829</v>
      </c>
      <c r="B132" s="116">
        <f t="shared" ref="B132:B195" si="2">VLOOKUP(WEEKNUM(A132),$D$4:$E$59,2)</f>
        <v>51</v>
      </c>
      <c r="C132" s="116">
        <v>130</v>
      </c>
    </row>
    <row r="133" spans="1:3" x14ac:dyDescent="0.2">
      <c r="A133" s="117">
        <v>34830</v>
      </c>
      <c r="B133" s="116">
        <f t="shared" si="2"/>
        <v>51</v>
      </c>
      <c r="C133" s="116">
        <v>131</v>
      </c>
    </row>
    <row r="134" spans="1:3" x14ac:dyDescent="0.2">
      <c r="A134" s="117">
        <v>34831</v>
      </c>
      <c r="B134" s="116">
        <f t="shared" si="2"/>
        <v>51</v>
      </c>
      <c r="C134" s="116">
        <v>132</v>
      </c>
    </row>
    <row r="135" spans="1:3" x14ac:dyDescent="0.2">
      <c r="A135" s="117">
        <v>34832</v>
      </c>
      <c r="B135" s="116">
        <f t="shared" si="2"/>
        <v>51</v>
      </c>
      <c r="C135" s="116">
        <v>133</v>
      </c>
    </row>
    <row r="136" spans="1:3" x14ac:dyDescent="0.2">
      <c r="A136" s="117">
        <v>34833</v>
      </c>
      <c r="B136" s="116">
        <f t="shared" si="2"/>
        <v>52</v>
      </c>
      <c r="C136" s="116">
        <v>134</v>
      </c>
    </row>
    <row r="137" spans="1:3" x14ac:dyDescent="0.2">
      <c r="A137" s="117">
        <v>34834</v>
      </c>
      <c r="B137" s="116">
        <f t="shared" si="2"/>
        <v>52</v>
      </c>
      <c r="C137" s="116">
        <v>135</v>
      </c>
    </row>
    <row r="138" spans="1:3" x14ac:dyDescent="0.2">
      <c r="A138" s="117">
        <v>34835</v>
      </c>
      <c r="B138" s="116">
        <f t="shared" si="2"/>
        <v>52</v>
      </c>
      <c r="C138" s="116">
        <v>136</v>
      </c>
    </row>
    <row r="139" spans="1:3" x14ac:dyDescent="0.2">
      <c r="A139" s="117">
        <v>34836</v>
      </c>
      <c r="B139" s="116">
        <f t="shared" si="2"/>
        <v>52</v>
      </c>
      <c r="C139" s="116">
        <v>137</v>
      </c>
    </row>
    <row r="140" spans="1:3" x14ac:dyDescent="0.2">
      <c r="A140" s="117">
        <v>34837</v>
      </c>
      <c r="B140" s="116">
        <f t="shared" si="2"/>
        <v>52</v>
      </c>
      <c r="C140" s="116">
        <v>138</v>
      </c>
    </row>
    <row r="141" spans="1:3" x14ac:dyDescent="0.2">
      <c r="A141" s="117">
        <v>34838</v>
      </c>
      <c r="B141" s="116">
        <f t="shared" si="2"/>
        <v>52</v>
      </c>
      <c r="C141" s="116">
        <v>139</v>
      </c>
    </row>
    <row r="142" spans="1:3" x14ac:dyDescent="0.2">
      <c r="A142" s="117">
        <v>34839</v>
      </c>
      <c r="B142" s="116">
        <f t="shared" si="2"/>
        <v>52</v>
      </c>
      <c r="C142" s="116">
        <v>140</v>
      </c>
    </row>
    <row r="143" spans="1:3" x14ac:dyDescent="0.2">
      <c r="A143" s="117">
        <v>34840</v>
      </c>
      <c r="B143" s="116">
        <f t="shared" si="2"/>
        <v>53</v>
      </c>
      <c r="C143" s="116">
        <v>141</v>
      </c>
    </row>
    <row r="144" spans="1:3" x14ac:dyDescent="0.2">
      <c r="A144" s="117">
        <v>34841</v>
      </c>
      <c r="B144" s="116">
        <f t="shared" si="2"/>
        <v>53</v>
      </c>
      <c r="C144" s="116">
        <v>142</v>
      </c>
    </row>
    <row r="145" spans="1:3" x14ac:dyDescent="0.2">
      <c r="A145" s="117">
        <v>34842</v>
      </c>
      <c r="B145" s="116">
        <f t="shared" si="2"/>
        <v>53</v>
      </c>
      <c r="C145" s="116">
        <v>143</v>
      </c>
    </row>
    <row r="146" spans="1:3" x14ac:dyDescent="0.2">
      <c r="A146" s="117">
        <v>34843</v>
      </c>
      <c r="B146" s="116">
        <f t="shared" si="2"/>
        <v>53</v>
      </c>
      <c r="C146" s="116">
        <v>144</v>
      </c>
    </row>
    <row r="147" spans="1:3" x14ac:dyDescent="0.2">
      <c r="A147" s="117">
        <v>34844</v>
      </c>
      <c r="B147" s="116">
        <f t="shared" si="2"/>
        <v>53</v>
      </c>
      <c r="C147" s="116">
        <v>145</v>
      </c>
    </row>
    <row r="148" spans="1:3" x14ac:dyDescent="0.2">
      <c r="A148" s="117">
        <v>34845</v>
      </c>
      <c r="B148" s="116">
        <f t="shared" si="2"/>
        <v>53</v>
      </c>
      <c r="C148" s="116">
        <v>146</v>
      </c>
    </row>
    <row r="149" spans="1:3" x14ac:dyDescent="0.2">
      <c r="A149" s="117">
        <v>34846</v>
      </c>
      <c r="B149" s="116">
        <f t="shared" si="2"/>
        <v>53</v>
      </c>
      <c r="C149" s="116">
        <v>147</v>
      </c>
    </row>
    <row r="150" spans="1:3" x14ac:dyDescent="0.2">
      <c r="A150" s="117">
        <v>34847</v>
      </c>
      <c r="B150" s="116">
        <f t="shared" si="2"/>
        <v>54</v>
      </c>
      <c r="C150" s="116">
        <v>148</v>
      </c>
    </row>
    <row r="151" spans="1:3" x14ac:dyDescent="0.2">
      <c r="A151" s="117">
        <v>34848</v>
      </c>
      <c r="B151" s="116">
        <f t="shared" si="2"/>
        <v>54</v>
      </c>
      <c r="C151" s="116">
        <v>149</v>
      </c>
    </row>
    <row r="152" spans="1:3" x14ac:dyDescent="0.2">
      <c r="A152" s="117">
        <v>34849</v>
      </c>
      <c r="B152" s="116">
        <f t="shared" si="2"/>
        <v>54</v>
      </c>
      <c r="C152" s="116">
        <v>150</v>
      </c>
    </row>
    <row r="153" spans="1:3" x14ac:dyDescent="0.2">
      <c r="A153" s="117">
        <v>34850</v>
      </c>
      <c r="B153" s="116">
        <f t="shared" si="2"/>
        <v>54</v>
      </c>
      <c r="C153" s="116">
        <v>151</v>
      </c>
    </row>
    <row r="154" spans="1:3" x14ac:dyDescent="0.2">
      <c r="A154" s="117">
        <v>34851</v>
      </c>
      <c r="B154" s="116">
        <f t="shared" si="2"/>
        <v>54</v>
      </c>
      <c r="C154" s="116">
        <v>152</v>
      </c>
    </row>
    <row r="155" spans="1:3" x14ac:dyDescent="0.2">
      <c r="A155" s="117">
        <v>34852</v>
      </c>
      <c r="B155" s="116">
        <f t="shared" si="2"/>
        <v>54</v>
      </c>
      <c r="C155" s="116">
        <v>153</v>
      </c>
    </row>
    <row r="156" spans="1:3" x14ac:dyDescent="0.2">
      <c r="A156" s="117">
        <v>34853</v>
      </c>
      <c r="B156" s="116">
        <f t="shared" si="2"/>
        <v>54</v>
      </c>
      <c r="C156" s="116">
        <v>154</v>
      </c>
    </row>
    <row r="157" spans="1:3" x14ac:dyDescent="0.2">
      <c r="A157" s="117">
        <v>34854</v>
      </c>
      <c r="B157" s="116">
        <f t="shared" si="2"/>
        <v>61</v>
      </c>
      <c r="C157" s="116">
        <v>155</v>
      </c>
    </row>
    <row r="158" spans="1:3" x14ac:dyDescent="0.2">
      <c r="A158" s="117">
        <v>34855</v>
      </c>
      <c r="B158" s="116">
        <f t="shared" si="2"/>
        <v>61</v>
      </c>
      <c r="C158" s="116">
        <v>156</v>
      </c>
    </row>
    <row r="159" spans="1:3" x14ac:dyDescent="0.2">
      <c r="A159" s="117">
        <v>34856</v>
      </c>
      <c r="B159" s="116">
        <f t="shared" si="2"/>
        <v>61</v>
      </c>
      <c r="C159" s="116">
        <v>157</v>
      </c>
    </row>
    <row r="160" spans="1:3" x14ac:dyDescent="0.2">
      <c r="A160" s="117">
        <v>34857</v>
      </c>
      <c r="B160" s="116">
        <f t="shared" si="2"/>
        <v>61</v>
      </c>
      <c r="C160" s="116">
        <v>158</v>
      </c>
    </row>
    <row r="161" spans="1:3" x14ac:dyDescent="0.2">
      <c r="A161" s="117">
        <v>34858</v>
      </c>
      <c r="B161" s="116">
        <f t="shared" si="2"/>
        <v>61</v>
      </c>
      <c r="C161" s="116">
        <v>159</v>
      </c>
    </row>
    <row r="162" spans="1:3" x14ac:dyDescent="0.2">
      <c r="A162" s="117">
        <v>34859</v>
      </c>
      <c r="B162" s="116">
        <f t="shared" si="2"/>
        <v>61</v>
      </c>
      <c r="C162" s="116">
        <v>160</v>
      </c>
    </row>
    <row r="163" spans="1:3" x14ac:dyDescent="0.2">
      <c r="A163" s="117">
        <v>34860</v>
      </c>
      <c r="B163" s="116">
        <f t="shared" si="2"/>
        <v>61</v>
      </c>
      <c r="C163" s="116">
        <v>161</v>
      </c>
    </row>
    <row r="164" spans="1:3" x14ac:dyDescent="0.2">
      <c r="A164" s="117">
        <v>34861</v>
      </c>
      <c r="B164" s="116">
        <f t="shared" si="2"/>
        <v>62</v>
      </c>
      <c r="C164" s="116">
        <v>162</v>
      </c>
    </row>
    <row r="165" spans="1:3" x14ac:dyDescent="0.2">
      <c r="A165" s="117">
        <v>34862</v>
      </c>
      <c r="B165" s="116">
        <f t="shared" si="2"/>
        <v>62</v>
      </c>
      <c r="C165" s="116">
        <v>163</v>
      </c>
    </row>
    <row r="166" spans="1:3" x14ac:dyDescent="0.2">
      <c r="A166" s="117">
        <v>34863</v>
      </c>
      <c r="B166" s="116">
        <f t="shared" si="2"/>
        <v>62</v>
      </c>
      <c r="C166" s="116">
        <v>164</v>
      </c>
    </row>
    <row r="167" spans="1:3" x14ac:dyDescent="0.2">
      <c r="A167" s="117">
        <v>34864</v>
      </c>
      <c r="B167" s="116">
        <f t="shared" si="2"/>
        <v>62</v>
      </c>
      <c r="C167" s="116">
        <v>165</v>
      </c>
    </row>
    <row r="168" spans="1:3" x14ac:dyDescent="0.2">
      <c r="A168" s="117">
        <v>34865</v>
      </c>
      <c r="B168" s="116">
        <f t="shared" si="2"/>
        <v>62</v>
      </c>
      <c r="C168" s="116">
        <v>166</v>
      </c>
    </row>
    <row r="169" spans="1:3" x14ac:dyDescent="0.2">
      <c r="A169" s="117">
        <v>34866</v>
      </c>
      <c r="B169" s="116">
        <f t="shared" si="2"/>
        <v>62</v>
      </c>
      <c r="C169" s="116">
        <v>167</v>
      </c>
    </row>
    <row r="170" spans="1:3" x14ac:dyDescent="0.2">
      <c r="A170" s="117">
        <v>34867</v>
      </c>
      <c r="B170" s="116">
        <f t="shared" si="2"/>
        <v>62</v>
      </c>
      <c r="C170" s="116">
        <v>168</v>
      </c>
    </row>
    <row r="171" spans="1:3" x14ac:dyDescent="0.2">
      <c r="A171" s="117">
        <v>34868</v>
      </c>
      <c r="B171" s="116">
        <f t="shared" si="2"/>
        <v>63</v>
      </c>
      <c r="C171" s="116">
        <v>169</v>
      </c>
    </row>
    <row r="172" spans="1:3" x14ac:dyDescent="0.2">
      <c r="A172" s="117">
        <v>34869</v>
      </c>
      <c r="B172" s="116">
        <f t="shared" si="2"/>
        <v>63</v>
      </c>
      <c r="C172" s="116">
        <v>170</v>
      </c>
    </row>
    <row r="173" spans="1:3" x14ac:dyDescent="0.2">
      <c r="A173" s="117">
        <v>34870</v>
      </c>
      <c r="B173" s="116">
        <f t="shared" si="2"/>
        <v>63</v>
      </c>
      <c r="C173" s="116">
        <v>171</v>
      </c>
    </row>
    <row r="174" spans="1:3" x14ac:dyDescent="0.2">
      <c r="A174" s="117">
        <v>34871</v>
      </c>
      <c r="B174" s="116">
        <f t="shared" si="2"/>
        <v>63</v>
      </c>
      <c r="C174" s="116">
        <v>172</v>
      </c>
    </row>
    <row r="175" spans="1:3" x14ac:dyDescent="0.2">
      <c r="A175" s="117">
        <v>34872</v>
      </c>
      <c r="B175" s="116">
        <f t="shared" si="2"/>
        <v>63</v>
      </c>
      <c r="C175" s="116">
        <v>173</v>
      </c>
    </row>
    <row r="176" spans="1:3" x14ac:dyDescent="0.2">
      <c r="A176" s="117">
        <v>34873</v>
      </c>
      <c r="B176" s="116">
        <f t="shared" si="2"/>
        <v>63</v>
      </c>
      <c r="C176" s="116">
        <v>174</v>
      </c>
    </row>
    <row r="177" spans="1:3" x14ac:dyDescent="0.2">
      <c r="A177" s="117">
        <v>34874</v>
      </c>
      <c r="B177" s="116">
        <f t="shared" si="2"/>
        <v>63</v>
      </c>
      <c r="C177" s="116">
        <v>175</v>
      </c>
    </row>
    <row r="178" spans="1:3" x14ac:dyDescent="0.2">
      <c r="A178" s="117">
        <v>34875</v>
      </c>
      <c r="B178" s="116">
        <f t="shared" si="2"/>
        <v>64</v>
      </c>
      <c r="C178" s="116">
        <v>176</v>
      </c>
    </row>
    <row r="179" spans="1:3" x14ac:dyDescent="0.2">
      <c r="A179" s="117">
        <v>34876</v>
      </c>
      <c r="B179" s="116">
        <f t="shared" si="2"/>
        <v>64</v>
      </c>
      <c r="C179" s="116">
        <v>177</v>
      </c>
    </row>
    <row r="180" spans="1:3" x14ac:dyDescent="0.2">
      <c r="A180" s="117">
        <v>34877</v>
      </c>
      <c r="B180" s="116">
        <f t="shared" si="2"/>
        <v>64</v>
      </c>
      <c r="C180" s="116">
        <v>178</v>
      </c>
    </row>
    <row r="181" spans="1:3" x14ac:dyDescent="0.2">
      <c r="A181" s="117">
        <v>34878</v>
      </c>
      <c r="B181" s="116">
        <f t="shared" si="2"/>
        <v>64</v>
      </c>
      <c r="C181" s="116">
        <v>179</v>
      </c>
    </row>
    <row r="182" spans="1:3" x14ac:dyDescent="0.2">
      <c r="A182" s="117">
        <v>34879</v>
      </c>
      <c r="B182" s="116">
        <f t="shared" si="2"/>
        <v>64</v>
      </c>
      <c r="C182" s="116">
        <v>180</v>
      </c>
    </row>
    <row r="183" spans="1:3" x14ac:dyDescent="0.2">
      <c r="A183" s="117">
        <v>34880</v>
      </c>
      <c r="B183" s="116">
        <f t="shared" si="2"/>
        <v>64</v>
      </c>
      <c r="C183" s="116">
        <v>181</v>
      </c>
    </row>
    <row r="184" spans="1:3" x14ac:dyDescent="0.2">
      <c r="A184" s="117">
        <v>34881</v>
      </c>
      <c r="B184" s="116">
        <f t="shared" si="2"/>
        <v>64</v>
      </c>
      <c r="C184" s="116">
        <v>182</v>
      </c>
    </row>
    <row r="185" spans="1:3" x14ac:dyDescent="0.2">
      <c r="A185" s="117">
        <v>34882</v>
      </c>
      <c r="B185" s="116">
        <f t="shared" si="2"/>
        <v>71</v>
      </c>
      <c r="C185" s="116">
        <v>183</v>
      </c>
    </row>
    <row r="186" spans="1:3" x14ac:dyDescent="0.2">
      <c r="A186" s="117">
        <v>34883</v>
      </c>
      <c r="B186" s="116">
        <f t="shared" si="2"/>
        <v>71</v>
      </c>
      <c r="C186" s="116">
        <v>184</v>
      </c>
    </row>
    <row r="187" spans="1:3" x14ac:dyDescent="0.2">
      <c r="A187" s="117">
        <v>34884</v>
      </c>
      <c r="B187" s="116">
        <f t="shared" si="2"/>
        <v>71</v>
      </c>
      <c r="C187" s="116">
        <v>185</v>
      </c>
    </row>
    <row r="188" spans="1:3" x14ac:dyDescent="0.2">
      <c r="A188" s="117">
        <v>34885</v>
      </c>
      <c r="B188" s="116">
        <f t="shared" si="2"/>
        <v>71</v>
      </c>
      <c r="C188" s="116">
        <v>186</v>
      </c>
    </row>
    <row r="189" spans="1:3" x14ac:dyDescent="0.2">
      <c r="A189" s="117">
        <v>34886</v>
      </c>
      <c r="B189" s="116">
        <f t="shared" si="2"/>
        <v>71</v>
      </c>
      <c r="C189" s="116">
        <v>187</v>
      </c>
    </row>
    <row r="190" spans="1:3" x14ac:dyDescent="0.2">
      <c r="A190" s="117">
        <v>34887</v>
      </c>
      <c r="B190" s="116">
        <f t="shared" si="2"/>
        <v>71</v>
      </c>
      <c r="C190" s="116">
        <v>188</v>
      </c>
    </row>
    <row r="191" spans="1:3" x14ac:dyDescent="0.2">
      <c r="A191" s="117">
        <v>34888</v>
      </c>
      <c r="B191" s="116">
        <f t="shared" si="2"/>
        <v>71</v>
      </c>
      <c r="C191" s="116">
        <v>189</v>
      </c>
    </row>
    <row r="192" spans="1:3" x14ac:dyDescent="0.2">
      <c r="A192" s="117">
        <v>34889</v>
      </c>
      <c r="B192" s="116">
        <f t="shared" si="2"/>
        <v>72</v>
      </c>
      <c r="C192" s="116">
        <v>190</v>
      </c>
    </row>
    <row r="193" spans="1:3" x14ac:dyDescent="0.2">
      <c r="A193" s="117">
        <v>34890</v>
      </c>
      <c r="B193" s="116">
        <f t="shared" si="2"/>
        <v>72</v>
      </c>
      <c r="C193" s="116">
        <v>191</v>
      </c>
    </row>
    <row r="194" spans="1:3" x14ac:dyDescent="0.2">
      <c r="A194" s="117">
        <v>34891</v>
      </c>
      <c r="B194" s="116">
        <f t="shared" si="2"/>
        <v>72</v>
      </c>
      <c r="C194" s="116">
        <v>192</v>
      </c>
    </row>
    <row r="195" spans="1:3" x14ac:dyDescent="0.2">
      <c r="A195" s="117">
        <v>34892</v>
      </c>
      <c r="B195" s="116">
        <f t="shared" si="2"/>
        <v>72</v>
      </c>
      <c r="C195" s="116">
        <v>193</v>
      </c>
    </row>
    <row r="196" spans="1:3" x14ac:dyDescent="0.2">
      <c r="A196" s="117">
        <v>34893</v>
      </c>
      <c r="B196" s="116">
        <f t="shared" ref="B196:B259" si="3">VLOOKUP(WEEKNUM(A196),$D$4:$E$59,2)</f>
        <v>72</v>
      </c>
      <c r="C196" s="116">
        <v>194</v>
      </c>
    </row>
    <row r="197" spans="1:3" x14ac:dyDescent="0.2">
      <c r="A197" s="117">
        <v>34894</v>
      </c>
      <c r="B197" s="116">
        <f t="shared" si="3"/>
        <v>72</v>
      </c>
      <c r="C197" s="116">
        <v>195</v>
      </c>
    </row>
    <row r="198" spans="1:3" x14ac:dyDescent="0.2">
      <c r="A198" s="117">
        <v>34895</v>
      </c>
      <c r="B198" s="116">
        <f t="shared" si="3"/>
        <v>72</v>
      </c>
      <c r="C198" s="116">
        <v>196</v>
      </c>
    </row>
    <row r="199" spans="1:3" x14ac:dyDescent="0.2">
      <c r="A199" s="117">
        <v>34896</v>
      </c>
      <c r="B199" s="116">
        <f t="shared" si="3"/>
        <v>73</v>
      </c>
      <c r="C199" s="116">
        <v>197</v>
      </c>
    </row>
    <row r="200" spans="1:3" x14ac:dyDescent="0.2">
      <c r="A200" s="117">
        <v>34897</v>
      </c>
      <c r="B200" s="116">
        <f t="shared" si="3"/>
        <v>73</v>
      </c>
      <c r="C200" s="116">
        <v>198</v>
      </c>
    </row>
    <row r="201" spans="1:3" x14ac:dyDescent="0.2">
      <c r="A201" s="117">
        <v>34898</v>
      </c>
      <c r="B201" s="116">
        <f t="shared" si="3"/>
        <v>73</v>
      </c>
      <c r="C201" s="116">
        <v>199</v>
      </c>
    </row>
    <row r="202" spans="1:3" x14ac:dyDescent="0.2">
      <c r="A202" s="117">
        <v>34899</v>
      </c>
      <c r="B202" s="116">
        <f t="shared" si="3"/>
        <v>73</v>
      </c>
      <c r="C202" s="116">
        <v>200</v>
      </c>
    </row>
    <row r="203" spans="1:3" x14ac:dyDescent="0.2">
      <c r="A203" s="117">
        <v>34900</v>
      </c>
      <c r="B203" s="116">
        <f t="shared" si="3"/>
        <v>73</v>
      </c>
      <c r="C203" s="116">
        <v>201</v>
      </c>
    </row>
    <row r="204" spans="1:3" x14ac:dyDescent="0.2">
      <c r="A204" s="117">
        <v>34901</v>
      </c>
      <c r="B204" s="116">
        <f t="shared" si="3"/>
        <v>73</v>
      </c>
      <c r="C204" s="116">
        <v>202</v>
      </c>
    </row>
    <row r="205" spans="1:3" x14ac:dyDescent="0.2">
      <c r="A205" s="117">
        <v>34902</v>
      </c>
      <c r="B205" s="116">
        <f t="shared" si="3"/>
        <v>73</v>
      </c>
      <c r="C205" s="116">
        <v>203</v>
      </c>
    </row>
    <row r="206" spans="1:3" x14ac:dyDescent="0.2">
      <c r="A206" s="117">
        <v>34903</v>
      </c>
      <c r="B206" s="116">
        <f t="shared" si="3"/>
        <v>74</v>
      </c>
      <c r="C206" s="116">
        <v>204</v>
      </c>
    </row>
    <row r="207" spans="1:3" x14ac:dyDescent="0.2">
      <c r="A207" s="117">
        <v>34904</v>
      </c>
      <c r="B207" s="116">
        <f t="shared" si="3"/>
        <v>74</v>
      </c>
      <c r="C207" s="116">
        <v>205</v>
      </c>
    </row>
    <row r="208" spans="1:3" x14ac:dyDescent="0.2">
      <c r="A208" s="117">
        <v>34905</v>
      </c>
      <c r="B208" s="116">
        <f t="shared" si="3"/>
        <v>74</v>
      </c>
      <c r="C208" s="116">
        <v>206</v>
      </c>
    </row>
    <row r="209" spans="1:3" x14ac:dyDescent="0.2">
      <c r="A209" s="117">
        <v>34906</v>
      </c>
      <c r="B209" s="116">
        <f t="shared" si="3"/>
        <v>74</v>
      </c>
      <c r="C209" s="116">
        <v>207</v>
      </c>
    </row>
    <row r="210" spans="1:3" x14ac:dyDescent="0.2">
      <c r="A210" s="117">
        <v>34907</v>
      </c>
      <c r="B210" s="116">
        <f t="shared" si="3"/>
        <v>74</v>
      </c>
      <c r="C210" s="116">
        <v>208</v>
      </c>
    </row>
    <row r="211" spans="1:3" x14ac:dyDescent="0.2">
      <c r="A211" s="117">
        <v>34908</v>
      </c>
      <c r="B211" s="116">
        <f t="shared" si="3"/>
        <v>74</v>
      </c>
      <c r="C211" s="116">
        <v>209</v>
      </c>
    </row>
    <row r="212" spans="1:3" x14ac:dyDescent="0.2">
      <c r="A212" s="117">
        <v>34909</v>
      </c>
      <c r="B212" s="116">
        <f t="shared" si="3"/>
        <v>74</v>
      </c>
      <c r="C212" s="116">
        <v>210</v>
      </c>
    </row>
    <row r="213" spans="1:3" x14ac:dyDescent="0.2">
      <c r="A213" s="117">
        <v>34910</v>
      </c>
      <c r="B213" s="116">
        <f t="shared" si="3"/>
        <v>75</v>
      </c>
      <c r="C213" s="116">
        <v>211</v>
      </c>
    </row>
    <row r="214" spans="1:3" x14ac:dyDescent="0.2">
      <c r="A214" s="117">
        <v>34911</v>
      </c>
      <c r="B214" s="116">
        <f t="shared" si="3"/>
        <v>75</v>
      </c>
      <c r="C214" s="116">
        <v>212</v>
      </c>
    </row>
    <row r="215" spans="1:3" x14ac:dyDescent="0.2">
      <c r="A215" s="117">
        <v>34912</v>
      </c>
      <c r="B215" s="116">
        <f t="shared" si="3"/>
        <v>75</v>
      </c>
      <c r="C215" s="116">
        <v>213</v>
      </c>
    </row>
    <row r="216" spans="1:3" x14ac:dyDescent="0.2">
      <c r="A216" s="117">
        <v>34913</v>
      </c>
      <c r="B216" s="116">
        <f t="shared" si="3"/>
        <v>75</v>
      </c>
      <c r="C216" s="116">
        <v>214</v>
      </c>
    </row>
    <row r="217" spans="1:3" x14ac:dyDescent="0.2">
      <c r="A217" s="117">
        <v>34914</v>
      </c>
      <c r="B217" s="116">
        <f t="shared" si="3"/>
        <v>75</v>
      </c>
      <c r="C217" s="116">
        <v>215</v>
      </c>
    </row>
    <row r="218" spans="1:3" x14ac:dyDescent="0.2">
      <c r="A218" s="117">
        <v>34915</v>
      </c>
      <c r="B218" s="116">
        <f t="shared" si="3"/>
        <v>75</v>
      </c>
      <c r="C218" s="116">
        <v>216</v>
      </c>
    </row>
    <row r="219" spans="1:3" x14ac:dyDescent="0.2">
      <c r="A219" s="117">
        <v>34916</v>
      </c>
      <c r="B219" s="116">
        <f t="shared" si="3"/>
        <v>75</v>
      </c>
      <c r="C219" s="116">
        <v>217</v>
      </c>
    </row>
    <row r="220" spans="1:3" x14ac:dyDescent="0.2">
      <c r="A220" s="117">
        <v>34917</v>
      </c>
      <c r="B220" s="116">
        <f t="shared" si="3"/>
        <v>81</v>
      </c>
      <c r="C220" s="116">
        <v>218</v>
      </c>
    </row>
    <row r="221" spans="1:3" x14ac:dyDescent="0.2">
      <c r="A221" s="117">
        <v>34918</v>
      </c>
      <c r="B221" s="116">
        <f t="shared" si="3"/>
        <v>81</v>
      </c>
      <c r="C221" s="116">
        <v>219</v>
      </c>
    </row>
    <row r="222" spans="1:3" x14ac:dyDescent="0.2">
      <c r="A222" s="117">
        <v>34919</v>
      </c>
      <c r="B222" s="116">
        <f t="shared" si="3"/>
        <v>81</v>
      </c>
      <c r="C222" s="116">
        <v>220</v>
      </c>
    </row>
    <row r="223" spans="1:3" x14ac:dyDescent="0.2">
      <c r="A223" s="117">
        <v>34920</v>
      </c>
      <c r="B223" s="116">
        <f t="shared" si="3"/>
        <v>81</v>
      </c>
      <c r="C223" s="116">
        <v>221</v>
      </c>
    </row>
    <row r="224" spans="1:3" x14ac:dyDescent="0.2">
      <c r="A224" s="117">
        <v>34921</v>
      </c>
      <c r="B224" s="116">
        <f t="shared" si="3"/>
        <v>81</v>
      </c>
      <c r="C224" s="116">
        <v>222</v>
      </c>
    </row>
    <row r="225" spans="1:3" x14ac:dyDescent="0.2">
      <c r="A225" s="117">
        <v>34922</v>
      </c>
      <c r="B225" s="116">
        <f t="shared" si="3"/>
        <v>81</v>
      </c>
      <c r="C225" s="116">
        <v>223</v>
      </c>
    </row>
    <row r="226" spans="1:3" x14ac:dyDescent="0.2">
      <c r="A226" s="117">
        <v>34923</v>
      </c>
      <c r="B226" s="116">
        <f t="shared" si="3"/>
        <v>81</v>
      </c>
      <c r="C226" s="116">
        <v>224</v>
      </c>
    </row>
    <row r="227" spans="1:3" x14ac:dyDescent="0.2">
      <c r="A227" s="117">
        <v>34924</v>
      </c>
      <c r="B227" s="116">
        <f t="shared" si="3"/>
        <v>82</v>
      </c>
      <c r="C227" s="116">
        <v>225</v>
      </c>
    </row>
    <row r="228" spans="1:3" x14ac:dyDescent="0.2">
      <c r="A228" s="117">
        <v>34925</v>
      </c>
      <c r="B228" s="116">
        <f t="shared" si="3"/>
        <v>82</v>
      </c>
      <c r="C228" s="116">
        <v>226</v>
      </c>
    </row>
    <row r="229" spans="1:3" x14ac:dyDescent="0.2">
      <c r="A229" s="117">
        <v>34926</v>
      </c>
      <c r="B229" s="116">
        <f t="shared" si="3"/>
        <v>82</v>
      </c>
      <c r="C229" s="116">
        <v>227</v>
      </c>
    </row>
    <row r="230" spans="1:3" x14ac:dyDescent="0.2">
      <c r="A230" s="117">
        <v>34927</v>
      </c>
      <c r="B230" s="116">
        <f t="shared" si="3"/>
        <v>82</v>
      </c>
      <c r="C230" s="116">
        <v>228</v>
      </c>
    </row>
    <row r="231" spans="1:3" x14ac:dyDescent="0.2">
      <c r="A231" s="117">
        <v>34928</v>
      </c>
      <c r="B231" s="116">
        <f t="shared" si="3"/>
        <v>82</v>
      </c>
      <c r="C231" s="116">
        <v>229</v>
      </c>
    </row>
    <row r="232" spans="1:3" x14ac:dyDescent="0.2">
      <c r="A232" s="117">
        <v>34929</v>
      </c>
      <c r="B232" s="116">
        <f t="shared" si="3"/>
        <v>82</v>
      </c>
      <c r="C232" s="116">
        <v>230</v>
      </c>
    </row>
    <row r="233" spans="1:3" x14ac:dyDescent="0.2">
      <c r="A233" s="117">
        <v>34930</v>
      </c>
      <c r="B233" s="116">
        <f t="shared" si="3"/>
        <v>82</v>
      </c>
      <c r="C233" s="116">
        <v>231</v>
      </c>
    </row>
    <row r="234" spans="1:3" x14ac:dyDescent="0.2">
      <c r="A234" s="117">
        <v>34931</v>
      </c>
      <c r="B234" s="116">
        <f t="shared" si="3"/>
        <v>83</v>
      </c>
      <c r="C234" s="116">
        <v>232</v>
      </c>
    </row>
    <row r="235" spans="1:3" x14ac:dyDescent="0.2">
      <c r="A235" s="117">
        <v>34932</v>
      </c>
      <c r="B235" s="116">
        <f t="shared" si="3"/>
        <v>83</v>
      </c>
      <c r="C235" s="116">
        <v>233</v>
      </c>
    </row>
    <row r="236" spans="1:3" x14ac:dyDescent="0.2">
      <c r="A236" s="117">
        <v>34933</v>
      </c>
      <c r="B236" s="116">
        <f t="shared" si="3"/>
        <v>83</v>
      </c>
      <c r="C236" s="116">
        <v>234</v>
      </c>
    </row>
    <row r="237" spans="1:3" x14ac:dyDescent="0.2">
      <c r="A237" s="117">
        <v>34934</v>
      </c>
      <c r="B237" s="116">
        <f t="shared" si="3"/>
        <v>83</v>
      </c>
      <c r="C237" s="116">
        <v>235</v>
      </c>
    </row>
    <row r="238" spans="1:3" x14ac:dyDescent="0.2">
      <c r="A238" s="117">
        <v>34935</v>
      </c>
      <c r="B238" s="116">
        <f t="shared" si="3"/>
        <v>83</v>
      </c>
      <c r="C238" s="116">
        <v>236</v>
      </c>
    </row>
    <row r="239" spans="1:3" x14ac:dyDescent="0.2">
      <c r="A239" s="117">
        <v>34936</v>
      </c>
      <c r="B239" s="116">
        <f t="shared" si="3"/>
        <v>83</v>
      </c>
      <c r="C239" s="116">
        <v>237</v>
      </c>
    </row>
    <row r="240" spans="1:3" x14ac:dyDescent="0.2">
      <c r="A240" s="117">
        <v>34937</v>
      </c>
      <c r="B240" s="116">
        <f t="shared" si="3"/>
        <v>83</v>
      </c>
      <c r="C240" s="116">
        <v>238</v>
      </c>
    </row>
    <row r="241" spans="1:3" x14ac:dyDescent="0.2">
      <c r="A241" s="117">
        <v>34938</v>
      </c>
      <c r="B241" s="116">
        <f t="shared" si="3"/>
        <v>84</v>
      </c>
      <c r="C241" s="116">
        <v>239</v>
      </c>
    </row>
    <row r="242" spans="1:3" x14ac:dyDescent="0.2">
      <c r="A242" s="117">
        <v>34939</v>
      </c>
      <c r="B242" s="116">
        <f t="shared" si="3"/>
        <v>84</v>
      </c>
      <c r="C242" s="116">
        <v>240</v>
      </c>
    </row>
    <row r="243" spans="1:3" x14ac:dyDescent="0.2">
      <c r="A243" s="117">
        <v>34940</v>
      </c>
      <c r="B243" s="116">
        <f t="shared" si="3"/>
        <v>84</v>
      </c>
      <c r="C243" s="116">
        <v>241</v>
      </c>
    </row>
    <row r="244" spans="1:3" x14ac:dyDescent="0.2">
      <c r="A244" s="117">
        <v>34941</v>
      </c>
      <c r="B244" s="116">
        <f t="shared" si="3"/>
        <v>84</v>
      </c>
      <c r="C244" s="116">
        <v>242</v>
      </c>
    </row>
    <row r="245" spans="1:3" x14ac:dyDescent="0.2">
      <c r="A245" s="117">
        <v>34942</v>
      </c>
      <c r="B245" s="116">
        <f t="shared" si="3"/>
        <v>84</v>
      </c>
      <c r="C245" s="116">
        <v>243</v>
      </c>
    </row>
    <row r="246" spans="1:3" x14ac:dyDescent="0.2">
      <c r="A246" s="117">
        <v>34943</v>
      </c>
      <c r="B246" s="116">
        <f t="shared" si="3"/>
        <v>84</v>
      </c>
      <c r="C246" s="116">
        <v>244</v>
      </c>
    </row>
    <row r="247" spans="1:3" x14ac:dyDescent="0.2">
      <c r="A247" s="117">
        <v>34944</v>
      </c>
      <c r="B247" s="116">
        <f t="shared" si="3"/>
        <v>84</v>
      </c>
      <c r="C247" s="116">
        <v>245</v>
      </c>
    </row>
    <row r="248" spans="1:3" x14ac:dyDescent="0.2">
      <c r="A248" s="117">
        <v>34945</v>
      </c>
      <c r="B248" s="116">
        <f t="shared" si="3"/>
        <v>91</v>
      </c>
      <c r="C248" s="116">
        <v>246</v>
      </c>
    </row>
    <row r="249" spans="1:3" x14ac:dyDescent="0.2">
      <c r="A249" s="117">
        <v>34946</v>
      </c>
      <c r="B249" s="116">
        <f t="shared" si="3"/>
        <v>91</v>
      </c>
      <c r="C249" s="116">
        <v>247</v>
      </c>
    </row>
    <row r="250" spans="1:3" x14ac:dyDescent="0.2">
      <c r="A250" s="117">
        <v>34947</v>
      </c>
      <c r="B250" s="116">
        <f t="shared" si="3"/>
        <v>91</v>
      </c>
      <c r="C250" s="116">
        <v>248</v>
      </c>
    </row>
    <row r="251" spans="1:3" x14ac:dyDescent="0.2">
      <c r="A251" s="117">
        <v>34948</v>
      </c>
      <c r="B251" s="116">
        <f t="shared" si="3"/>
        <v>91</v>
      </c>
      <c r="C251" s="116">
        <v>249</v>
      </c>
    </row>
    <row r="252" spans="1:3" x14ac:dyDescent="0.2">
      <c r="A252" s="117">
        <v>34949</v>
      </c>
      <c r="B252" s="116">
        <f t="shared" si="3"/>
        <v>91</v>
      </c>
      <c r="C252" s="116">
        <v>250</v>
      </c>
    </row>
    <row r="253" spans="1:3" x14ac:dyDescent="0.2">
      <c r="A253" s="117">
        <v>34950</v>
      </c>
      <c r="B253" s="116">
        <f t="shared" si="3"/>
        <v>91</v>
      </c>
      <c r="C253" s="116">
        <v>251</v>
      </c>
    </row>
    <row r="254" spans="1:3" x14ac:dyDescent="0.2">
      <c r="A254" s="117">
        <v>34951</v>
      </c>
      <c r="B254" s="116">
        <f t="shared" si="3"/>
        <v>91</v>
      </c>
      <c r="C254" s="116">
        <v>252</v>
      </c>
    </row>
    <row r="255" spans="1:3" x14ac:dyDescent="0.2">
      <c r="A255" s="117">
        <v>34952</v>
      </c>
      <c r="B255" s="116">
        <f t="shared" si="3"/>
        <v>92</v>
      </c>
      <c r="C255" s="116">
        <v>253</v>
      </c>
    </row>
    <row r="256" spans="1:3" x14ac:dyDescent="0.2">
      <c r="A256" s="117">
        <v>34953</v>
      </c>
      <c r="B256" s="116">
        <f t="shared" si="3"/>
        <v>92</v>
      </c>
      <c r="C256" s="116">
        <v>254</v>
      </c>
    </row>
    <row r="257" spans="1:3" x14ac:dyDescent="0.2">
      <c r="A257" s="117">
        <v>34954</v>
      </c>
      <c r="B257" s="116">
        <f t="shared" si="3"/>
        <v>92</v>
      </c>
      <c r="C257" s="116">
        <v>255</v>
      </c>
    </row>
    <row r="258" spans="1:3" x14ac:dyDescent="0.2">
      <c r="A258" s="117">
        <v>34955</v>
      </c>
      <c r="B258" s="116">
        <f t="shared" si="3"/>
        <v>92</v>
      </c>
      <c r="C258" s="116">
        <v>256</v>
      </c>
    </row>
    <row r="259" spans="1:3" x14ac:dyDescent="0.2">
      <c r="A259" s="117">
        <v>34956</v>
      </c>
      <c r="B259" s="116">
        <f t="shared" si="3"/>
        <v>92</v>
      </c>
      <c r="C259" s="116">
        <v>257</v>
      </c>
    </row>
    <row r="260" spans="1:3" x14ac:dyDescent="0.2">
      <c r="A260" s="117">
        <v>34957</v>
      </c>
      <c r="B260" s="116">
        <f t="shared" ref="B260:B323" si="4">VLOOKUP(WEEKNUM(A260),$D$4:$E$59,2)</f>
        <v>92</v>
      </c>
      <c r="C260" s="116">
        <v>258</v>
      </c>
    </row>
    <row r="261" spans="1:3" x14ac:dyDescent="0.2">
      <c r="A261" s="117">
        <v>34958</v>
      </c>
      <c r="B261" s="116">
        <f t="shared" si="4"/>
        <v>92</v>
      </c>
      <c r="C261" s="116">
        <v>259</v>
      </c>
    </row>
    <row r="262" spans="1:3" x14ac:dyDescent="0.2">
      <c r="A262" s="117">
        <v>34959</v>
      </c>
      <c r="B262" s="116">
        <f t="shared" si="4"/>
        <v>93</v>
      </c>
      <c r="C262" s="116">
        <v>260</v>
      </c>
    </row>
    <row r="263" spans="1:3" x14ac:dyDescent="0.2">
      <c r="A263" s="117">
        <v>34960</v>
      </c>
      <c r="B263" s="116">
        <f t="shared" si="4"/>
        <v>93</v>
      </c>
      <c r="C263" s="116">
        <v>261</v>
      </c>
    </row>
    <row r="264" spans="1:3" x14ac:dyDescent="0.2">
      <c r="A264" s="117">
        <v>34961</v>
      </c>
      <c r="B264" s="116">
        <f t="shared" si="4"/>
        <v>93</v>
      </c>
      <c r="C264" s="116">
        <v>262</v>
      </c>
    </row>
    <row r="265" spans="1:3" x14ac:dyDescent="0.2">
      <c r="A265" s="117">
        <v>34962</v>
      </c>
      <c r="B265" s="116">
        <f t="shared" si="4"/>
        <v>93</v>
      </c>
      <c r="C265" s="116">
        <v>263</v>
      </c>
    </row>
    <row r="266" spans="1:3" x14ac:dyDescent="0.2">
      <c r="A266" s="117">
        <v>34963</v>
      </c>
      <c r="B266" s="116">
        <f t="shared" si="4"/>
        <v>93</v>
      </c>
      <c r="C266" s="116">
        <v>264</v>
      </c>
    </row>
    <row r="267" spans="1:3" x14ac:dyDescent="0.2">
      <c r="A267" s="117">
        <v>34964</v>
      </c>
      <c r="B267" s="116">
        <f t="shared" si="4"/>
        <v>93</v>
      </c>
      <c r="C267" s="116">
        <v>265</v>
      </c>
    </row>
    <row r="268" spans="1:3" x14ac:dyDescent="0.2">
      <c r="A268" s="117">
        <v>34965</v>
      </c>
      <c r="B268" s="116">
        <f t="shared" si="4"/>
        <v>93</v>
      </c>
      <c r="C268" s="116">
        <v>266</v>
      </c>
    </row>
    <row r="269" spans="1:3" x14ac:dyDescent="0.2">
      <c r="A269" s="117">
        <v>34966</v>
      </c>
      <c r="B269" s="116">
        <f t="shared" si="4"/>
        <v>94</v>
      </c>
      <c r="C269" s="116">
        <v>267</v>
      </c>
    </row>
    <row r="270" spans="1:3" x14ac:dyDescent="0.2">
      <c r="A270" s="117">
        <v>34967</v>
      </c>
      <c r="B270" s="116">
        <f t="shared" si="4"/>
        <v>94</v>
      </c>
      <c r="C270" s="116">
        <v>268</v>
      </c>
    </row>
    <row r="271" spans="1:3" x14ac:dyDescent="0.2">
      <c r="A271" s="117">
        <v>34968</v>
      </c>
      <c r="B271" s="116">
        <f t="shared" si="4"/>
        <v>94</v>
      </c>
      <c r="C271" s="116">
        <v>269</v>
      </c>
    </row>
    <row r="272" spans="1:3" x14ac:dyDescent="0.2">
      <c r="A272" s="117">
        <v>34969</v>
      </c>
      <c r="B272" s="116">
        <f t="shared" si="4"/>
        <v>94</v>
      </c>
      <c r="C272" s="116">
        <v>270</v>
      </c>
    </row>
    <row r="273" spans="1:3" x14ac:dyDescent="0.2">
      <c r="A273" s="117">
        <v>34970</v>
      </c>
      <c r="B273" s="116">
        <f t="shared" si="4"/>
        <v>94</v>
      </c>
      <c r="C273" s="116">
        <v>271</v>
      </c>
    </row>
    <row r="274" spans="1:3" x14ac:dyDescent="0.2">
      <c r="A274" s="117">
        <v>34971</v>
      </c>
      <c r="B274" s="116">
        <f t="shared" si="4"/>
        <v>94</v>
      </c>
      <c r="C274" s="116">
        <v>272</v>
      </c>
    </row>
    <row r="275" spans="1:3" x14ac:dyDescent="0.2">
      <c r="A275" s="117">
        <v>34972</v>
      </c>
      <c r="B275" s="116">
        <f t="shared" si="4"/>
        <v>94</v>
      </c>
      <c r="C275" s="116">
        <v>273</v>
      </c>
    </row>
    <row r="276" spans="1:3" x14ac:dyDescent="0.2">
      <c r="A276" s="117">
        <v>34973</v>
      </c>
      <c r="B276" s="116">
        <f t="shared" si="4"/>
        <v>101</v>
      </c>
      <c r="C276" s="116">
        <v>274</v>
      </c>
    </row>
    <row r="277" spans="1:3" x14ac:dyDescent="0.2">
      <c r="A277" s="117">
        <v>34974</v>
      </c>
      <c r="B277" s="116">
        <f t="shared" si="4"/>
        <v>101</v>
      </c>
      <c r="C277" s="116">
        <v>275</v>
      </c>
    </row>
    <row r="278" spans="1:3" x14ac:dyDescent="0.2">
      <c r="A278" s="117">
        <v>34975</v>
      </c>
      <c r="B278" s="116">
        <f t="shared" si="4"/>
        <v>101</v>
      </c>
      <c r="C278" s="116">
        <v>276</v>
      </c>
    </row>
    <row r="279" spans="1:3" x14ac:dyDescent="0.2">
      <c r="A279" s="117">
        <v>34976</v>
      </c>
      <c r="B279" s="116">
        <f t="shared" si="4"/>
        <v>101</v>
      </c>
      <c r="C279" s="116">
        <v>277</v>
      </c>
    </row>
    <row r="280" spans="1:3" x14ac:dyDescent="0.2">
      <c r="A280" s="117">
        <v>34977</v>
      </c>
      <c r="B280" s="116">
        <f t="shared" si="4"/>
        <v>101</v>
      </c>
      <c r="C280" s="116">
        <v>278</v>
      </c>
    </row>
    <row r="281" spans="1:3" x14ac:dyDescent="0.2">
      <c r="A281" s="117">
        <v>34978</v>
      </c>
      <c r="B281" s="116">
        <f t="shared" si="4"/>
        <v>101</v>
      </c>
      <c r="C281" s="116">
        <v>279</v>
      </c>
    </row>
    <row r="282" spans="1:3" x14ac:dyDescent="0.2">
      <c r="A282" s="117">
        <v>34979</v>
      </c>
      <c r="B282" s="116">
        <f t="shared" si="4"/>
        <v>101</v>
      </c>
      <c r="C282" s="116">
        <v>280</v>
      </c>
    </row>
    <row r="283" spans="1:3" x14ac:dyDescent="0.2">
      <c r="A283" s="117">
        <v>34980</v>
      </c>
      <c r="B283" s="116">
        <f t="shared" si="4"/>
        <v>102</v>
      </c>
      <c r="C283" s="116">
        <v>281</v>
      </c>
    </row>
    <row r="284" spans="1:3" x14ac:dyDescent="0.2">
      <c r="A284" s="117">
        <v>34981</v>
      </c>
      <c r="B284" s="116">
        <f t="shared" si="4"/>
        <v>102</v>
      </c>
      <c r="C284" s="116">
        <v>282</v>
      </c>
    </row>
    <row r="285" spans="1:3" x14ac:dyDescent="0.2">
      <c r="A285" s="117">
        <v>34982</v>
      </c>
      <c r="B285" s="116">
        <f t="shared" si="4"/>
        <v>102</v>
      </c>
      <c r="C285" s="116">
        <v>283</v>
      </c>
    </row>
    <row r="286" spans="1:3" x14ac:dyDescent="0.2">
      <c r="A286" s="117">
        <v>34983</v>
      </c>
      <c r="B286" s="116">
        <f t="shared" si="4"/>
        <v>102</v>
      </c>
      <c r="C286" s="116">
        <v>284</v>
      </c>
    </row>
    <row r="287" spans="1:3" x14ac:dyDescent="0.2">
      <c r="A287" s="117">
        <v>34984</v>
      </c>
      <c r="B287" s="116">
        <f t="shared" si="4"/>
        <v>102</v>
      </c>
      <c r="C287" s="116">
        <v>285</v>
      </c>
    </row>
    <row r="288" spans="1:3" x14ac:dyDescent="0.2">
      <c r="A288" s="117">
        <v>34985</v>
      </c>
      <c r="B288" s="116">
        <f t="shared" si="4"/>
        <v>102</v>
      </c>
      <c r="C288" s="116">
        <v>286</v>
      </c>
    </row>
    <row r="289" spans="1:3" x14ac:dyDescent="0.2">
      <c r="A289" s="117">
        <v>34986</v>
      </c>
      <c r="B289" s="116">
        <f t="shared" si="4"/>
        <v>102</v>
      </c>
      <c r="C289" s="116">
        <v>287</v>
      </c>
    </row>
    <row r="290" spans="1:3" x14ac:dyDescent="0.2">
      <c r="A290" s="117">
        <v>34987</v>
      </c>
      <c r="B290" s="116">
        <f t="shared" si="4"/>
        <v>103</v>
      </c>
      <c r="C290" s="116">
        <v>288</v>
      </c>
    </row>
    <row r="291" spans="1:3" x14ac:dyDescent="0.2">
      <c r="A291" s="117">
        <v>34988</v>
      </c>
      <c r="B291" s="116">
        <f t="shared" si="4"/>
        <v>103</v>
      </c>
      <c r="C291" s="116">
        <v>289</v>
      </c>
    </row>
    <row r="292" spans="1:3" x14ac:dyDescent="0.2">
      <c r="A292" s="117">
        <v>34989</v>
      </c>
      <c r="B292" s="116">
        <f t="shared" si="4"/>
        <v>103</v>
      </c>
      <c r="C292" s="116">
        <v>290</v>
      </c>
    </row>
    <row r="293" spans="1:3" x14ac:dyDescent="0.2">
      <c r="A293" s="117">
        <v>34990</v>
      </c>
      <c r="B293" s="116">
        <f t="shared" si="4"/>
        <v>103</v>
      </c>
      <c r="C293" s="116">
        <v>291</v>
      </c>
    </row>
    <row r="294" spans="1:3" x14ac:dyDescent="0.2">
      <c r="A294" s="117">
        <v>34991</v>
      </c>
      <c r="B294" s="116">
        <f t="shared" si="4"/>
        <v>103</v>
      </c>
      <c r="C294" s="116">
        <v>292</v>
      </c>
    </row>
    <row r="295" spans="1:3" x14ac:dyDescent="0.2">
      <c r="A295" s="117">
        <v>34992</v>
      </c>
      <c r="B295" s="116">
        <f t="shared" si="4"/>
        <v>103</v>
      </c>
      <c r="C295" s="116">
        <v>293</v>
      </c>
    </row>
    <row r="296" spans="1:3" x14ac:dyDescent="0.2">
      <c r="A296" s="117">
        <v>34993</v>
      </c>
      <c r="B296" s="116">
        <f t="shared" si="4"/>
        <v>103</v>
      </c>
      <c r="C296" s="116">
        <v>294</v>
      </c>
    </row>
    <row r="297" spans="1:3" x14ac:dyDescent="0.2">
      <c r="A297" s="117">
        <v>34994</v>
      </c>
      <c r="B297" s="116">
        <f t="shared" si="4"/>
        <v>104</v>
      </c>
      <c r="C297" s="116">
        <v>295</v>
      </c>
    </row>
    <row r="298" spans="1:3" x14ac:dyDescent="0.2">
      <c r="A298" s="117">
        <v>34995</v>
      </c>
      <c r="B298" s="116">
        <f t="shared" si="4"/>
        <v>104</v>
      </c>
      <c r="C298" s="116">
        <v>296</v>
      </c>
    </row>
    <row r="299" spans="1:3" x14ac:dyDescent="0.2">
      <c r="A299" s="117">
        <v>34996</v>
      </c>
      <c r="B299" s="116">
        <f t="shared" si="4"/>
        <v>104</v>
      </c>
      <c r="C299" s="116">
        <v>297</v>
      </c>
    </row>
    <row r="300" spans="1:3" x14ac:dyDescent="0.2">
      <c r="A300" s="117">
        <v>34997</v>
      </c>
      <c r="B300" s="116">
        <f t="shared" si="4"/>
        <v>104</v>
      </c>
      <c r="C300" s="116">
        <v>298</v>
      </c>
    </row>
    <row r="301" spans="1:3" x14ac:dyDescent="0.2">
      <c r="A301" s="117">
        <v>34998</v>
      </c>
      <c r="B301" s="116">
        <f t="shared" si="4"/>
        <v>104</v>
      </c>
      <c r="C301" s="116">
        <v>299</v>
      </c>
    </row>
    <row r="302" spans="1:3" x14ac:dyDescent="0.2">
      <c r="A302" s="117">
        <v>34999</v>
      </c>
      <c r="B302" s="116">
        <f t="shared" si="4"/>
        <v>104</v>
      </c>
      <c r="C302" s="116">
        <v>300</v>
      </c>
    </row>
    <row r="303" spans="1:3" x14ac:dyDescent="0.2">
      <c r="A303" s="117">
        <v>35000</v>
      </c>
      <c r="B303" s="116">
        <f t="shared" si="4"/>
        <v>104</v>
      </c>
      <c r="C303" s="116">
        <v>301</v>
      </c>
    </row>
    <row r="304" spans="1:3" x14ac:dyDescent="0.2">
      <c r="A304" s="117">
        <v>35001</v>
      </c>
      <c r="B304" s="116">
        <f t="shared" si="4"/>
        <v>105</v>
      </c>
      <c r="C304" s="116">
        <v>302</v>
      </c>
    </row>
    <row r="305" spans="1:3" x14ac:dyDescent="0.2">
      <c r="A305" s="117">
        <v>35002</v>
      </c>
      <c r="B305" s="116">
        <f t="shared" si="4"/>
        <v>105</v>
      </c>
      <c r="C305" s="116">
        <v>303</v>
      </c>
    </row>
    <row r="306" spans="1:3" x14ac:dyDescent="0.2">
      <c r="A306" s="117">
        <v>35003</v>
      </c>
      <c r="B306" s="116">
        <f t="shared" si="4"/>
        <v>105</v>
      </c>
      <c r="C306" s="116">
        <v>304</v>
      </c>
    </row>
    <row r="307" spans="1:3" x14ac:dyDescent="0.2">
      <c r="A307" s="117">
        <v>35004</v>
      </c>
      <c r="B307" s="116">
        <f t="shared" si="4"/>
        <v>105</v>
      </c>
      <c r="C307" s="116">
        <v>305</v>
      </c>
    </row>
    <row r="308" spans="1:3" x14ac:dyDescent="0.2">
      <c r="A308" s="117">
        <v>35005</v>
      </c>
      <c r="B308" s="116">
        <f t="shared" si="4"/>
        <v>105</v>
      </c>
      <c r="C308" s="116">
        <v>306</v>
      </c>
    </row>
    <row r="309" spans="1:3" x14ac:dyDescent="0.2">
      <c r="A309" s="117">
        <v>35006</v>
      </c>
      <c r="B309" s="116">
        <f t="shared" si="4"/>
        <v>105</v>
      </c>
      <c r="C309" s="116">
        <v>307</v>
      </c>
    </row>
    <row r="310" spans="1:3" x14ac:dyDescent="0.2">
      <c r="A310" s="117">
        <v>35007</v>
      </c>
      <c r="B310" s="116">
        <f t="shared" si="4"/>
        <v>105</v>
      </c>
      <c r="C310" s="116">
        <v>308</v>
      </c>
    </row>
    <row r="311" spans="1:3" x14ac:dyDescent="0.2">
      <c r="A311" s="117">
        <v>35008</v>
      </c>
      <c r="B311" s="116">
        <f t="shared" si="4"/>
        <v>111</v>
      </c>
      <c r="C311" s="116">
        <v>309</v>
      </c>
    </row>
    <row r="312" spans="1:3" x14ac:dyDescent="0.2">
      <c r="A312" s="117">
        <v>35009</v>
      </c>
      <c r="B312" s="116">
        <f t="shared" si="4"/>
        <v>111</v>
      </c>
      <c r="C312" s="116">
        <v>310</v>
      </c>
    </row>
    <row r="313" spans="1:3" x14ac:dyDescent="0.2">
      <c r="A313" s="117">
        <v>35010</v>
      </c>
      <c r="B313" s="116">
        <f t="shared" si="4"/>
        <v>111</v>
      </c>
      <c r="C313" s="116">
        <v>311</v>
      </c>
    </row>
    <row r="314" spans="1:3" x14ac:dyDescent="0.2">
      <c r="A314" s="117">
        <v>35011</v>
      </c>
      <c r="B314" s="116">
        <f t="shared" si="4"/>
        <v>111</v>
      </c>
      <c r="C314" s="116">
        <v>312</v>
      </c>
    </row>
    <row r="315" spans="1:3" x14ac:dyDescent="0.2">
      <c r="A315" s="117">
        <v>35012</v>
      </c>
      <c r="B315" s="116">
        <f t="shared" si="4"/>
        <v>111</v>
      </c>
      <c r="C315" s="116">
        <v>313</v>
      </c>
    </row>
    <row r="316" spans="1:3" x14ac:dyDescent="0.2">
      <c r="A316" s="117">
        <v>35013</v>
      </c>
      <c r="B316" s="116">
        <f t="shared" si="4"/>
        <v>111</v>
      </c>
      <c r="C316" s="116">
        <v>314</v>
      </c>
    </row>
    <row r="317" spans="1:3" x14ac:dyDescent="0.2">
      <c r="A317" s="117">
        <v>35014</v>
      </c>
      <c r="B317" s="116">
        <f t="shared" si="4"/>
        <v>111</v>
      </c>
      <c r="C317" s="116">
        <v>315</v>
      </c>
    </row>
    <row r="318" spans="1:3" x14ac:dyDescent="0.2">
      <c r="A318" s="117">
        <v>35015</v>
      </c>
      <c r="B318" s="116">
        <f t="shared" si="4"/>
        <v>112</v>
      </c>
      <c r="C318" s="116">
        <v>316</v>
      </c>
    </row>
    <row r="319" spans="1:3" x14ac:dyDescent="0.2">
      <c r="A319" s="117">
        <v>35016</v>
      </c>
      <c r="B319" s="116">
        <f t="shared" si="4"/>
        <v>112</v>
      </c>
      <c r="C319" s="116">
        <v>317</v>
      </c>
    </row>
    <row r="320" spans="1:3" x14ac:dyDescent="0.2">
      <c r="A320" s="117">
        <v>35017</v>
      </c>
      <c r="B320" s="116">
        <f t="shared" si="4"/>
        <v>112</v>
      </c>
      <c r="C320" s="116">
        <v>318</v>
      </c>
    </row>
    <row r="321" spans="1:3" x14ac:dyDescent="0.2">
      <c r="A321" s="117">
        <v>35018</v>
      </c>
      <c r="B321" s="116">
        <f t="shared" si="4"/>
        <v>112</v>
      </c>
      <c r="C321" s="116">
        <v>319</v>
      </c>
    </row>
    <row r="322" spans="1:3" x14ac:dyDescent="0.2">
      <c r="A322" s="117">
        <v>35019</v>
      </c>
      <c r="B322" s="116">
        <f t="shared" si="4"/>
        <v>112</v>
      </c>
      <c r="C322" s="116">
        <v>320</v>
      </c>
    </row>
    <row r="323" spans="1:3" x14ac:dyDescent="0.2">
      <c r="A323" s="117">
        <v>35020</v>
      </c>
      <c r="B323" s="116">
        <f t="shared" si="4"/>
        <v>112</v>
      </c>
      <c r="C323" s="116">
        <v>321</v>
      </c>
    </row>
    <row r="324" spans="1:3" x14ac:dyDescent="0.2">
      <c r="A324" s="117">
        <v>35021</v>
      </c>
      <c r="B324" s="116">
        <f t="shared" ref="B324:B387" si="5">VLOOKUP(WEEKNUM(A324),$D$4:$E$59,2)</f>
        <v>112</v>
      </c>
      <c r="C324" s="116">
        <v>322</v>
      </c>
    </row>
    <row r="325" spans="1:3" x14ac:dyDescent="0.2">
      <c r="A325" s="117">
        <v>35022</v>
      </c>
      <c r="B325" s="116">
        <f t="shared" si="5"/>
        <v>113</v>
      </c>
      <c r="C325" s="116">
        <v>323</v>
      </c>
    </row>
    <row r="326" spans="1:3" x14ac:dyDescent="0.2">
      <c r="A326" s="117">
        <v>35023</v>
      </c>
      <c r="B326" s="116">
        <f t="shared" si="5"/>
        <v>113</v>
      </c>
      <c r="C326" s="116">
        <v>324</v>
      </c>
    </row>
    <row r="327" spans="1:3" x14ac:dyDescent="0.2">
      <c r="A327" s="117">
        <v>35024</v>
      </c>
      <c r="B327" s="116">
        <f t="shared" si="5"/>
        <v>113</v>
      </c>
      <c r="C327" s="116">
        <v>325</v>
      </c>
    </row>
    <row r="328" spans="1:3" x14ac:dyDescent="0.2">
      <c r="A328" s="117">
        <v>35025</v>
      </c>
      <c r="B328" s="116">
        <f t="shared" si="5"/>
        <v>113</v>
      </c>
      <c r="C328" s="116">
        <v>326</v>
      </c>
    </row>
    <row r="329" spans="1:3" x14ac:dyDescent="0.2">
      <c r="A329" s="117">
        <v>35026</v>
      </c>
      <c r="B329" s="116">
        <f t="shared" si="5"/>
        <v>113</v>
      </c>
      <c r="C329" s="116">
        <v>327</v>
      </c>
    </row>
    <row r="330" spans="1:3" x14ac:dyDescent="0.2">
      <c r="A330" s="117">
        <v>35027</v>
      </c>
      <c r="B330" s="116">
        <f t="shared" si="5"/>
        <v>113</v>
      </c>
      <c r="C330" s="116">
        <v>328</v>
      </c>
    </row>
    <row r="331" spans="1:3" x14ac:dyDescent="0.2">
      <c r="A331" s="117">
        <v>35028</v>
      </c>
      <c r="B331" s="116">
        <f t="shared" si="5"/>
        <v>113</v>
      </c>
      <c r="C331" s="116">
        <v>329</v>
      </c>
    </row>
    <row r="332" spans="1:3" x14ac:dyDescent="0.2">
      <c r="A332" s="117">
        <v>35029</v>
      </c>
      <c r="B332" s="116">
        <f t="shared" si="5"/>
        <v>114</v>
      </c>
      <c r="C332" s="116">
        <v>330</v>
      </c>
    </row>
    <row r="333" spans="1:3" x14ac:dyDescent="0.2">
      <c r="A333" s="117">
        <v>35030</v>
      </c>
      <c r="B333" s="116">
        <f t="shared" si="5"/>
        <v>114</v>
      </c>
      <c r="C333" s="116">
        <v>331</v>
      </c>
    </row>
    <row r="334" spans="1:3" x14ac:dyDescent="0.2">
      <c r="A334" s="117">
        <v>35031</v>
      </c>
      <c r="B334" s="116">
        <f t="shared" si="5"/>
        <v>114</v>
      </c>
      <c r="C334" s="116">
        <v>332</v>
      </c>
    </row>
    <row r="335" spans="1:3" x14ac:dyDescent="0.2">
      <c r="A335" s="117">
        <v>35032</v>
      </c>
      <c r="B335" s="116">
        <f t="shared" si="5"/>
        <v>114</v>
      </c>
      <c r="C335" s="116">
        <v>333</v>
      </c>
    </row>
    <row r="336" spans="1:3" x14ac:dyDescent="0.2">
      <c r="A336" s="117">
        <v>35033</v>
      </c>
      <c r="B336" s="116">
        <f t="shared" si="5"/>
        <v>114</v>
      </c>
      <c r="C336" s="116">
        <v>334</v>
      </c>
    </row>
    <row r="337" spans="1:3" x14ac:dyDescent="0.2">
      <c r="A337" s="117">
        <v>35034</v>
      </c>
      <c r="B337" s="116">
        <f t="shared" si="5"/>
        <v>114</v>
      </c>
      <c r="C337" s="116">
        <v>335</v>
      </c>
    </row>
    <row r="338" spans="1:3" x14ac:dyDescent="0.2">
      <c r="A338" s="117">
        <v>35035</v>
      </c>
      <c r="B338" s="116">
        <f t="shared" si="5"/>
        <v>114</v>
      </c>
      <c r="C338" s="116">
        <v>336</v>
      </c>
    </row>
    <row r="339" spans="1:3" x14ac:dyDescent="0.2">
      <c r="A339" s="117">
        <v>35036</v>
      </c>
      <c r="B339" s="116">
        <f t="shared" si="5"/>
        <v>115</v>
      </c>
      <c r="C339" s="116">
        <v>337</v>
      </c>
    </row>
    <row r="340" spans="1:3" x14ac:dyDescent="0.2">
      <c r="A340" s="117">
        <v>35037</v>
      </c>
      <c r="B340" s="116">
        <f t="shared" si="5"/>
        <v>115</v>
      </c>
      <c r="C340" s="116">
        <v>338</v>
      </c>
    </row>
    <row r="341" spans="1:3" x14ac:dyDescent="0.2">
      <c r="A341" s="117">
        <v>35038</v>
      </c>
      <c r="B341" s="116">
        <f t="shared" si="5"/>
        <v>115</v>
      </c>
      <c r="C341" s="116">
        <v>339</v>
      </c>
    </row>
    <row r="342" spans="1:3" x14ac:dyDescent="0.2">
      <c r="A342" s="117">
        <v>35039</v>
      </c>
      <c r="B342" s="116">
        <f t="shared" si="5"/>
        <v>115</v>
      </c>
      <c r="C342" s="116">
        <v>340</v>
      </c>
    </row>
    <row r="343" spans="1:3" x14ac:dyDescent="0.2">
      <c r="A343" s="117">
        <v>35040</v>
      </c>
      <c r="B343" s="116">
        <f t="shared" si="5"/>
        <v>115</v>
      </c>
      <c r="C343" s="116">
        <v>341</v>
      </c>
    </row>
    <row r="344" spans="1:3" x14ac:dyDescent="0.2">
      <c r="A344" s="117">
        <v>35041</v>
      </c>
      <c r="B344" s="116">
        <f t="shared" si="5"/>
        <v>115</v>
      </c>
      <c r="C344" s="116">
        <v>342</v>
      </c>
    </row>
    <row r="345" spans="1:3" x14ac:dyDescent="0.2">
      <c r="A345" s="117">
        <v>35042</v>
      </c>
      <c r="B345" s="116">
        <f t="shared" si="5"/>
        <v>115</v>
      </c>
      <c r="C345" s="116">
        <v>343</v>
      </c>
    </row>
    <row r="346" spans="1:3" x14ac:dyDescent="0.2">
      <c r="A346" s="117">
        <v>35043</v>
      </c>
      <c r="B346" s="116">
        <f t="shared" si="5"/>
        <v>121</v>
      </c>
      <c r="C346" s="116">
        <v>344</v>
      </c>
    </row>
    <row r="347" spans="1:3" x14ac:dyDescent="0.2">
      <c r="A347" s="117">
        <v>35044</v>
      </c>
      <c r="B347" s="116">
        <f t="shared" si="5"/>
        <v>121</v>
      </c>
      <c r="C347" s="116">
        <v>345</v>
      </c>
    </row>
    <row r="348" spans="1:3" x14ac:dyDescent="0.2">
      <c r="A348" s="117">
        <v>35045</v>
      </c>
      <c r="B348" s="116">
        <f t="shared" si="5"/>
        <v>121</v>
      </c>
      <c r="C348" s="116">
        <v>346</v>
      </c>
    </row>
    <row r="349" spans="1:3" x14ac:dyDescent="0.2">
      <c r="A349" s="117">
        <v>35046</v>
      </c>
      <c r="B349" s="116">
        <f t="shared" si="5"/>
        <v>121</v>
      </c>
      <c r="C349" s="116">
        <v>347</v>
      </c>
    </row>
    <row r="350" spans="1:3" x14ac:dyDescent="0.2">
      <c r="A350" s="117">
        <v>35047</v>
      </c>
      <c r="B350" s="116">
        <f t="shared" si="5"/>
        <v>121</v>
      </c>
      <c r="C350" s="116">
        <v>348</v>
      </c>
    </row>
    <row r="351" spans="1:3" x14ac:dyDescent="0.2">
      <c r="A351" s="117">
        <v>35048</v>
      </c>
      <c r="B351" s="116">
        <f t="shared" si="5"/>
        <v>121</v>
      </c>
      <c r="C351" s="116">
        <v>349</v>
      </c>
    </row>
    <row r="352" spans="1:3" x14ac:dyDescent="0.2">
      <c r="A352" s="117">
        <v>35049</v>
      </c>
      <c r="B352" s="116">
        <f t="shared" si="5"/>
        <v>121</v>
      </c>
      <c r="C352" s="116">
        <v>350</v>
      </c>
    </row>
    <row r="353" spans="1:3" x14ac:dyDescent="0.2">
      <c r="A353" s="117">
        <v>35050</v>
      </c>
      <c r="B353" s="116">
        <f t="shared" si="5"/>
        <v>122</v>
      </c>
      <c r="C353" s="116">
        <v>351</v>
      </c>
    </row>
    <row r="354" spans="1:3" x14ac:dyDescent="0.2">
      <c r="A354" s="117">
        <v>35051</v>
      </c>
      <c r="B354" s="116">
        <f t="shared" si="5"/>
        <v>122</v>
      </c>
      <c r="C354" s="116">
        <v>352</v>
      </c>
    </row>
    <row r="355" spans="1:3" x14ac:dyDescent="0.2">
      <c r="A355" s="117">
        <v>35052</v>
      </c>
      <c r="B355" s="116">
        <f t="shared" si="5"/>
        <v>122</v>
      </c>
      <c r="C355" s="116">
        <v>353</v>
      </c>
    </row>
    <row r="356" spans="1:3" x14ac:dyDescent="0.2">
      <c r="A356" s="117">
        <v>35053</v>
      </c>
      <c r="B356" s="116">
        <f t="shared" si="5"/>
        <v>122</v>
      </c>
      <c r="C356" s="116">
        <v>354</v>
      </c>
    </row>
    <row r="357" spans="1:3" x14ac:dyDescent="0.2">
      <c r="A357" s="117">
        <v>35054</v>
      </c>
      <c r="B357" s="116">
        <f t="shared" si="5"/>
        <v>122</v>
      </c>
      <c r="C357" s="116">
        <v>355</v>
      </c>
    </row>
    <row r="358" spans="1:3" x14ac:dyDescent="0.2">
      <c r="A358" s="117">
        <v>35055</v>
      </c>
      <c r="B358" s="116">
        <f t="shared" si="5"/>
        <v>122</v>
      </c>
      <c r="C358" s="116">
        <v>356</v>
      </c>
    </row>
    <row r="359" spans="1:3" x14ac:dyDescent="0.2">
      <c r="A359" s="117">
        <v>35056</v>
      </c>
      <c r="B359" s="116">
        <f t="shared" si="5"/>
        <v>122</v>
      </c>
      <c r="C359" s="116">
        <v>357</v>
      </c>
    </row>
    <row r="360" spans="1:3" x14ac:dyDescent="0.2">
      <c r="A360" s="117">
        <v>35057</v>
      </c>
      <c r="B360" s="116">
        <f t="shared" si="5"/>
        <v>123</v>
      </c>
      <c r="C360" s="116">
        <v>358</v>
      </c>
    </row>
    <row r="361" spans="1:3" x14ac:dyDescent="0.2">
      <c r="A361" s="117">
        <v>35058</v>
      </c>
      <c r="B361" s="116">
        <f t="shared" si="5"/>
        <v>123</v>
      </c>
      <c r="C361" s="116">
        <v>359</v>
      </c>
    </row>
    <row r="362" spans="1:3" x14ac:dyDescent="0.2">
      <c r="A362" s="117">
        <v>35059</v>
      </c>
      <c r="B362" s="116">
        <f t="shared" si="5"/>
        <v>123</v>
      </c>
      <c r="C362" s="116">
        <v>360</v>
      </c>
    </row>
    <row r="363" spans="1:3" x14ac:dyDescent="0.2">
      <c r="A363" s="117">
        <v>35060</v>
      </c>
      <c r="B363" s="116">
        <f t="shared" si="5"/>
        <v>123</v>
      </c>
      <c r="C363" s="116">
        <v>361</v>
      </c>
    </row>
    <row r="364" spans="1:3" x14ac:dyDescent="0.2">
      <c r="A364" s="117">
        <v>35061</v>
      </c>
      <c r="B364" s="116">
        <f t="shared" si="5"/>
        <v>123</v>
      </c>
      <c r="C364" s="116">
        <v>362</v>
      </c>
    </row>
    <row r="365" spans="1:3" x14ac:dyDescent="0.2">
      <c r="A365" s="117">
        <v>35062</v>
      </c>
      <c r="B365" s="116">
        <f t="shared" si="5"/>
        <v>123</v>
      </c>
      <c r="C365" s="116">
        <v>363</v>
      </c>
    </row>
    <row r="366" spans="1:3" x14ac:dyDescent="0.2">
      <c r="A366" s="117">
        <v>35063</v>
      </c>
      <c r="B366" s="116">
        <f t="shared" si="5"/>
        <v>123</v>
      </c>
      <c r="C366" s="116">
        <v>364</v>
      </c>
    </row>
    <row r="367" spans="1:3" x14ac:dyDescent="0.2">
      <c r="A367" s="117">
        <v>35064</v>
      </c>
      <c r="B367" s="116">
        <f t="shared" si="5"/>
        <v>124</v>
      </c>
      <c r="C367" s="116">
        <v>365</v>
      </c>
    </row>
    <row r="368" spans="1:3" x14ac:dyDescent="0.2">
      <c r="A368" s="117">
        <v>35065</v>
      </c>
      <c r="B368" s="116">
        <f t="shared" si="5"/>
        <v>11</v>
      </c>
    </row>
    <row r="369" spans="1:2" x14ac:dyDescent="0.2">
      <c r="A369" s="117">
        <v>35066</v>
      </c>
      <c r="B369" s="116">
        <f t="shared" si="5"/>
        <v>11</v>
      </c>
    </row>
    <row r="370" spans="1:2" x14ac:dyDescent="0.2">
      <c r="A370" s="117">
        <v>35067</v>
      </c>
      <c r="B370" s="116">
        <f t="shared" si="5"/>
        <v>11</v>
      </c>
    </row>
    <row r="371" spans="1:2" x14ac:dyDescent="0.2">
      <c r="A371" s="117">
        <v>35068</v>
      </c>
      <c r="B371" s="116">
        <f t="shared" si="5"/>
        <v>11</v>
      </c>
    </row>
    <row r="372" spans="1:2" x14ac:dyDescent="0.2">
      <c r="A372" s="117">
        <v>35069</v>
      </c>
      <c r="B372" s="116">
        <f t="shared" si="5"/>
        <v>11</v>
      </c>
    </row>
    <row r="373" spans="1:2" x14ac:dyDescent="0.2">
      <c r="A373" s="117">
        <v>35070</v>
      </c>
      <c r="B373" s="116">
        <f t="shared" si="5"/>
        <v>11</v>
      </c>
    </row>
    <row r="374" spans="1:2" x14ac:dyDescent="0.2">
      <c r="A374" s="117">
        <v>35071</v>
      </c>
      <c r="B374" s="116">
        <f t="shared" si="5"/>
        <v>12</v>
      </c>
    </row>
    <row r="375" spans="1:2" x14ac:dyDescent="0.2">
      <c r="A375" s="117">
        <v>35072</v>
      </c>
      <c r="B375" s="116">
        <f t="shared" si="5"/>
        <v>12</v>
      </c>
    </row>
    <row r="376" spans="1:2" x14ac:dyDescent="0.2">
      <c r="A376" s="117">
        <v>35073</v>
      </c>
      <c r="B376" s="116">
        <f t="shared" si="5"/>
        <v>12</v>
      </c>
    </row>
    <row r="377" spans="1:2" x14ac:dyDescent="0.2">
      <c r="A377" s="117">
        <v>35074</v>
      </c>
      <c r="B377" s="116">
        <f t="shared" si="5"/>
        <v>12</v>
      </c>
    </row>
    <row r="378" spans="1:2" x14ac:dyDescent="0.2">
      <c r="A378" s="117">
        <v>35075</v>
      </c>
      <c r="B378" s="116">
        <f t="shared" si="5"/>
        <v>12</v>
      </c>
    </row>
    <row r="379" spans="1:2" x14ac:dyDescent="0.2">
      <c r="A379" s="117">
        <v>35076</v>
      </c>
      <c r="B379" s="116">
        <f t="shared" si="5"/>
        <v>12</v>
      </c>
    </row>
    <row r="380" spans="1:2" x14ac:dyDescent="0.2">
      <c r="A380" s="117">
        <v>35077</v>
      </c>
      <c r="B380" s="116">
        <f t="shared" si="5"/>
        <v>12</v>
      </c>
    </row>
    <row r="381" spans="1:2" x14ac:dyDescent="0.2">
      <c r="A381" s="117">
        <v>35078</v>
      </c>
      <c r="B381" s="116">
        <f t="shared" si="5"/>
        <v>13</v>
      </c>
    </row>
    <row r="382" spans="1:2" x14ac:dyDescent="0.2">
      <c r="A382" s="117">
        <v>35079</v>
      </c>
      <c r="B382" s="116">
        <f t="shared" si="5"/>
        <v>13</v>
      </c>
    </row>
    <row r="383" spans="1:2" x14ac:dyDescent="0.2">
      <c r="A383" s="117">
        <v>35080</v>
      </c>
      <c r="B383" s="116">
        <f t="shared" si="5"/>
        <v>13</v>
      </c>
    </row>
    <row r="384" spans="1:2" x14ac:dyDescent="0.2">
      <c r="A384" s="117">
        <v>35081</v>
      </c>
      <c r="B384" s="116">
        <f t="shared" si="5"/>
        <v>13</v>
      </c>
    </row>
    <row r="385" spans="1:2" x14ac:dyDescent="0.2">
      <c r="A385" s="117">
        <v>35082</v>
      </c>
      <c r="B385" s="116">
        <f t="shared" si="5"/>
        <v>13</v>
      </c>
    </row>
    <row r="386" spans="1:2" x14ac:dyDescent="0.2">
      <c r="A386" s="117">
        <v>35083</v>
      </c>
      <c r="B386" s="116">
        <f t="shared" si="5"/>
        <v>13</v>
      </c>
    </row>
    <row r="387" spans="1:2" x14ac:dyDescent="0.2">
      <c r="A387" s="117">
        <v>35084</v>
      </c>
      <c r="B387" s="116">
        <f t="shared" si="5"/>
        <v>13</v>
      </c>
    </row>
    <row r="388" spans="1:2" x14ac:dyDescent="0.2">
      <c r="A388" s="117">
        <v>35085</v>
      </c>
      <c r="B388" s="116">
        <f t="shared" ref="B388:B451" si="6">VLOOKUP(WEEKNUM(A388),$D$4:$E$59,2)</f>
        <v>14</v>
      </c>
    </row>
    <row r="389" spans="1:2" x14ac:dyDescent="0.2">
      <c r="A389" s="117">
        <v>35086</v>
      </c>
      <c r="B389" s="116">
        <f t="shared" si="6"/>
        <v>14</v>
      </c>
    </row>
    <row r="390" spans="1:2" x14ac:dyDescent="0.2">
      <c r="A390" s="117">
        <v>35087</v>
      </c>
      <c r="B390" s="116">
        <f t="shared" si="6"/>
        <v>14</v>
      </c>
    </row>
    <row r="391" spans="1:2" x14ac:dyDescent="0.2">
      <c r="A391" s="117">
        <v>35088</v>
      </c>
      <c r="B391" s="116">
        <f t="shared" si="6"/>
        <v>14</v>
      </c>
    </row>
    <row r="392" spans="1:2" x14ac:dyDescent="0.2">
      <c r="A392" s="117">
        <v>35089</v>
      </c>
      <c r="B392" s="116">
        <f t="shared" si="6"/>
        <v>14</v>
      </c>
    </row>
    <row r="393" spans="1:2" x14ac:dyDescent="0.2">
      <c r="A393" s="117">
        <v>35090</v>
      </c>
      <c r="B393" s="116">
        <f t="shared" si="6"/>
        <v>14</v>
      </c>
    </row>
    <row r="394" spans="1:2" x14ac:dyDescent="0.2">
      <c r="A394" s="117">
        <v>35091</v>
      </c>
      <c r="B394" s="116">
        <f t="shared" si="6"/>
        <v>14</v>
      </c>
    </row>
    <row r="395" spans="1:2" x14ac:dyDescent="0.2">
      <c r="A395" s="117">
        <v>35092</v>
      </c>
      <c r="B395" s="116">
        <f t="shared" si="6"/>
        <v>15</v>
      </c>
    </row>
    <row r="396" spans="1:2" x14ac:dyDescent="0.2">
      <c r="A396" s="117">
        <v>35093</v>
      </c>
      <c r="B396" s="116">
        <f t="shared" si="6"/>
        <v>15</v>
      </c>
    </row>
    <row r="397" spans="1:2" x14ac:dyDescent="0.2">
      <c r="A397" s="117">
        <v>35094</v>
      </c>
      <c r="B397" s="116">
        <f t="shared" si="6"/>
        <v>15</v>
      </c>
    </row>
    <row r="398" spans="1:2" x14ac:dyDescent="0.2">
      <c r="A398" s="117">
        <v>35095</v>
      </c>
      <c r="B398" s="116">
        <f t="shared" si="6"/>
        <v>15</v>
      </c>
    </row>
    <row r="399" spans="1:2" x14ac:dyDescent="0.2">
      <c r="A399" s="117">
        <v>35096</v>
      </c>
      <c r="B399" s="116">
        <f t="shared" si="6"/>
        <v>15</v>
      </c>
    </row>
    <row r="400" spans="1:2" x14ac:dyDescent="0.2">
      <c r="A400" s="117">
        <v>35097</v>
      </c>
      <c r="B400" s="116">
        <f t="shared" si="6"/>
        <v>15</v>
      </c>
    </row>
    <row r="401" spans="1:2" x14ac:dyDescent="0.2">
      <c r="A401" s="117">
        <v>35098</v>
      </c>
      <c r="B401" s="116">
        <f t="shared" si="6"/>
        <v>15</v>
      </c>
    </row>
    <row r="402" spans="1:2" x14ac:dyDescent="0.2">
      <c r="A402" s="117">
        <v>35099</v>
      </c>
      <c r="B402" s="116">
        <f t="shared" si="6"/>
        <v>21</v>
      </c>
    </row>
    <row r="403" spans="1:2" x14ac:dyDescent="0.2">
      <c r="A403" s="117">
        <v>35100</v>
      </c>
      <c r="B403" s="116">
        <f t="shared" si="6"/>
        <v>21</v>
      </c>
    </row>
    <row r="404" spans="1:2" x14ac:dyDescent="0.2">
      <c r="A404" s="117">
        <v>35101</v>
      </c>
      <c r="B404" s="116">
        <f t="shared" si="6"/>
        <v>21</v>
      </c>
    </row>
    <row r="405" spans="1:2" x14ac:dyDescent="0.2">
      <c r="A405" s="117">
        <v>35102</v>
      </c>
      <c r="B405" s="116">
        <f t="shared" si="6"/>
        <v>21</v>
      </c>
    </row>
    <row r="406" spans="1:2" x14ac:dyDescent="0.2">
      <c r="A406" s="117">
        <v>35103</v>
      </c>
      <c r="B406" s="116">
        <f t="shared" si="6"/>
        <v>21</v>
      </c>
    </row>
    <row r="407" spans="1:2" x14ac:dyDescent="0.2">
      <c r="A407" s="117">
        <v>35104</v>
      </c>
      <c r="B407" s="116">
        <f t="shared" si="6"/>
        <v>21</v>
      </c>
    </row>
    <row r="408" spans="1:2" x14ac:dyDescent="0.2">
      <c r="A408" s="117">
        <v>35105</v>
      </c>
      <c r="B408" s="116">
        <f t="shared" si="6"/>
        <v>21</v>
      </c>
    </row>
    <row r="409" spans="1:2" x14ac:dyDescent="0.2">
      <c r="A409" s="117">
        <v>35106</v>
      </c>
      <c r="B409" s="116">
        <f t="shared" si="6"/>
        <v>22</v>
      </c>
    </row>
    <row r="410" spans="1:2" x14ac:dyDescent="0.2">
      <c r="A410" s="117">
        <v>35107</v>
      </c>
      <c r="B410" s="116">
        <f t="shared" si="6"/>
        <v>22</v>
      </c>
    </row>
    <row r="411" spans="1:2" x14ac:dyDescent="0.2">
      <c r="A411" s="117">
        <v>35108</v>
      </c>
      <c r="B411" s="116">
        <f t="shared" si="6"/>
        <v>22</v>
      </c>
    </row>
    <row r="412" spans="1:2" x14ac:dyDescent="0.2">
      <c r="A412" s="117">
        <v>35109</v>
      </c>
      <c r="B412" s="116">
        <f t="shared" si="6"/>
        <v>22</v>
      </c>
    </row>
    <row r="413" spans="1:2" x14ac:dyDescent="0.2">
      <c r="A413" s="117">
        <v>35110</v>
      </c>
      <c r="B413" s="116">
        <f t="shared" si="6"/>
        <v>22</v>
      </c>
    </row>
    <row r="414" spans="1:2" x14ac:dyDescent="0.2">
      <c r="A414" s="117">
        <v>35111</v>
      </c>
      <c r="B414" s="116">
        <f t="shared" si="6"/>
        <v>22</v>
      </c>
    </row>
    <row r="415" spans="1:2" x14ac:dyDescent="0.2">
      <c r="A415" s="117">
        <v>35112</v>
      </c>
      <c r="B415" s="116">
        <f t="shared" si="6"/>
        <v>22</v>
      </c>
    </row>
    <row r="416" spans="1:2" x14ac:dyDescent="0.2">
      <c r="A416" s="117">
        <v>35113</v>
      </c>
      <c r="B416" s="116">
        <f t="shared" si="6"/>
        <v>23</v>
      </c>
    </row>
    <row r="417" spans="1:2" x14ac:dyDescent="0.2">
      <c r="A417" s="117">
        <v>35114</v>
      </c>
      <c r="B417" s="116">
        <f t="shared" si="6"/>
        <v>23</v>
      </c>
    </row>
    <row r="418" spans="1:2" x14ac:dyDescent="0.2">
      <c r="A418" s="117">
        <v>35115</v>
      </c>
      <c r="B418" s="116">
        <f t="shared" si="6"/>
        <v>23</v>
      </c>
    </row>
    <row r="419" spans="1:2" x14ac:dyDescent="0.2">
      <c r="A419" s="117">
        <v>35116</v>
      </c>
      <c r="B419" s="116">
        <f t="shared" si="6"/>
        <v>23</v>
      </c>
    </row>
    <row r="420" spans="1:2" x14ac:dyDescent="0.2">
      <c r="A420" s="117">
        <v>35117</v>
      </c>
      <c r="B420" s="116">
        <f t="shared" si="6"/>
        <v>23</v>
      </c>
    </row>
    <row r="421" spans="1:2" x14ac:dyDescent="0.2">
      <c r="A421" s="117">
        <v>35118</v>
      </c>
      <c r="B421" s="116">
        <f t="shared" si="6"/>
        <v>23</v>
      </c>
    </row>
    <row r="422" spans="1:2" x14ac:dyDescent="0.2">
      <c r="A422" s="117">
        <v>35119</v>
      </c>
      <c r="B422" s="116">
        <f t="shared" si="6"/>
        <v>23</v>
      </c>
    </row>
    <row r="423" spans="1:2" x14ac:dyDescent="0.2">
      <c r="A423" s="117">
        <v>35120</v>
      </c>
      <c r="B423" s="116">
        <f t="shared" si="6"/>
        <v>24</v>
      </c>
    </row>
    <row r="424" spans="1:2" x14ac:dyDescent="0.2">
      <c r="A424" s="117">
        <v>35121</v>
      </c>
      <c r="B424" s="116">
        <f t="shared" si="6"/>
        <v>24</v>
      </c>
    </row>
    <row r="425" spans="1:2" x14ac:dyDescent="0.2">
      <c r="A425" s="117">
        <v>35122</v>
      </c>
      <c r="B425" s="116">
        <f t="shared" si="6"/>
        <v>24</v>
      </c>
    </row>
    <row r="426" spans="1:2" x14ac:dyDescent="0.2">
      <c r="A426" s="117">
        <v>35123</v>
      </c>
      <c r="B426" s="116">
        <f t="shared" si="6"/>
        <v>24</v>
      </c>
    </row>
    <row r="427" spans="1:2" x14ac:dyDescent="0.2">
      <c r="A427" s="117">
        <v>35124</v>
      </c>
      <c r="B427" s="116">
        <f t="shared" si="6"/>
        <v>24</v>
      </c>
    </row>
    <row r="428" spans="1:2" x14ac:dyDescent="0.2">
      <c r="A428" s="117">
        <v>35125</v>
      </c>
      <c r="B428" s="116">
        <f t="shared" si="6"/>
        <v>24</v>
      </c>
    </row>
    <row r="429" spans="1:2" x14ac:dyDescent="0.2">
      <c r="A429" s="117">
        <v>35126</v>
      </c>
      <c r="B429" s="116">
        <f t="shared" si="6"/>
        <v>24</v>
      </c>
    </row>
    <row r="430" spans="1:2" x14ac:dyDescent="0.2">
      <c r="A430" s="117">
        <v>35127</v>
      </c>
      <c r="B430" s="116">
        <f t="shared" si="6"/>
        <v>31</v>
      </c>
    </row>
    <row r="431" spans="1:2" x14ac:dyDescent="0.2">
      <c r="A431" s="117">
        <v>35128</v>
      </c>
      <c r="B431" s="116">
        <f t="shared" si="6"/>
        <v>31</v>
      </c>
    </row>
    <row r="432" spans="1:2" x14ac:dyDescent="0.2">
      <c r="A432" s="117">
        <v>35129</v>
      </c>
      <c r="B432" s="116">
        <f t="shared" si="6"/>
        <v>31</v>
      </c>
    </row>
    <row r="433" spans="1:2" x14ac:dyDescent="0.2">
      <c r="A433" s="117">
        <v>35130</v>
      </c>
      <c r="B433" s="116">
        <f t="shared" si="6"/>
        <v>31</v>
      </c>
    </row>
    <row r="434" spans="1:2" x14ac:dyDescent="0.2">
      <c r="A434" s="117">
        <v>35131</v>
      </c>
      <c r="B434" s="116">
        <f t="shared" si="6"/>
        <v>31</v>
      </c>
    </row>
    <row r="435" spans="1:2" x14ac:dyDescent="0.2">
      <c r="A435" s="117">
        <v>35132</v>
      </c>
      <c r="B435" s="116">
        <f t="shared" si="6"/>
        <v>31</v>
      </c>
    </row>
    <row r="436" spans="1:2" x14ac:dyDescent="0.2">
      <c r="A436" s="117">
        <v>35133</v>
      </c>
      <c r="B436" s="116">
        <f t="shared" si="6"/>
        <v>31</v>
      </c>
    </row>
    <row r="437" spans="1:2" x14ac:dyDescent="0.2">
      <c r="A437" s="117">
        <v>35134</v>
      </c>
      <c r="B437" s="116">
        <f t="shared" si="6"/>
        <v>32</v>
      </c>
    </row>
    <row r="438" spans="1:2" x14ac:dyDescent="0.2">
      <c r="A438" s="117">
        <v>35135</v>
      </c>
      <c r="B438" s="116">
        <f t="shared" si="6"/>
        <v>32</v>
      </c>
    </row>
    <row r="439" spans="1:2" x14ac:dyDescent="0.2">
      <c r="A439" s="117">
        <v>35136</v>
      </c>
      <c r="B439" s="116">
        <f t="shared" si="6"/>
        <v>32</v>
      </c>
    </row>
    <row r="440" spans="1:2" x14ac:dyDescent="0.2">
      <c r="A440" s="117">
        <v>35137</v>
      </c>
      <c r="B440" s="116">
        <f t="shared" si="6"/>
        <v>32</v>
      </c>
    </row>
    <row r="441" spans="1:2" x14ac:dyDescent="0.2">
      <c r="A441" s="117">
        <v>35138</v>
      </c>
      <c r="B441" s="116">
        <f t="shared" si="6"/>
        <v>32</v>
      </c>
    </row>
    <row r="442" spans="1:2" x14ac:dyDescent="0.2">
      <c r="A442" s="117">
        <v>35139</v>
      </c>
      <c r="B442" s="116">
        <f t="shared" si="6"/>
        <v>32</v>
      </c>
    </row>
    <row r="443" spans="1:2" x14ac:dyDescent="0.2">
      <c r="A443" s="117">
        <v>35140</v>
      </c>
      <c r="B443" s="116">
        <f t="shared" si="6"/>
        <v>32</v>
      </c>
    </row>
    <row r="444" spans="1:2" x14ac:dyDescent="0.2">
      <c r="A444" s="117">
        <v>35141</v>
      </c>
      <c r="B444" s="116">
        <f t="shared" si="6"/>
        <v>33</v>
      </c>
    </row>
    <row r="445" spans="1:2" x14ac:dyDescent="0.2">
      <c r="A445" s="117">
        <v>35142</v>
      </c>
      <c r="B445" s="116">
        <f t="shared" si="6"/>
        <v>33</v>
      </c>
    </row>
    <row r="446" spans="1:2" x14ac:dyDescent="0.2">
      <c r="A446" s="117">
        <v>35143</v>
      </c>
      <c r="B446" s="116">
        <f t="shared" si="6"/>
        <v>33</v>
      </c>
    </row>
    <row r="447" spans="1:2" x14ac:dyDescent="0.2">
      <c r="A447" s="117">
        <v>35144</v>
      </c>
      <c r="B447" s="116">
        <f t="shared" si="6"/>
        <v>33</v>
      </c>
    </row>
    <row r="448" spans="1:2" x14ac:dyDescent="0.2">
      <c r="A448" s="117">
        <v>35145</v>
      </c>
      <c r="B448" s="116">
        <f t="shared" si="6"/>
        <v>33</v>
      </c>
    </row>
    <row r="449" spans="1:2" x14ac:dyDescent="0.2">
      <c r="A449" s="117">
        <v>35146</v>
      </c>
      <c r="B449" s="116">
        <f t="shared" si="6"/>
        <v>33</v>
      </c>
    </row>
    <row r="450" spans="1:2" x14ac:dyDescent="0.2">
      <c r="A450" s="117">
        <v>35147</v>
      </c>
      <c r="B450" s="116">
        <f t="shared" si="6"/>
        <v>33</v>
      </c>
    </row>
    <row r="451" spans="1:2" x14ac:dyDescent="0.2">
      <c r="A451" s="117">
        <v>35148</v>
      </c>
      <c r="B451" s="116">
        <f t="shared" si="6"/>
        <v>34</v>
      </c>
    </row>
    <row r="452" spans="1:2" x14ac:dyDescent="0.2">
      <c r="A452" s="117">
        <v>35149</v>
      </c>
      <c r="B452" s="116">
        <f t="shared" ref="B452:B515" si="7">VLOOKUP(WEEKNUM(A452),$D$4:$E$59,2)</f>
        <v>34</v>
      </c>
    </row>
    <row r="453" spans="1:2" x14ac:dyDescent="0.2">
      <c r="A453" s="117">
        <v>35150</v>
      </c>
      <c r="B453" s="116">
        <f t="shared" si="7"/>
        <v>34</v>
      </c>
    </row>
    <row r="454" spans="1:2" x14ac:dyDescent="0.2">
      <c r="A454" s="117">
        <v>35151</v>
      </c>
      <c r="B454" s="116">
        <f t="shared" si="7"/>
        <v>34</v>
      </c>
    </row>
    <row r="455" spans="1:2" x14ac:dyDescent="0.2">
      <c r="A455" s="117">
        <v>35152</v>
      </c>
      <c r="B455" s="116">
        <f t="shared" si="7"/>
        <v>34</v>
      </c>
    </row>
    <row r="456" spans="1:2" x14ac:dyDescent="0.2">
      <c r="A456" s="117">
        <v>35153</v>
      </c>
      <c r="B456" s="116">
        <f t="shared" si="7"/>
        <v>34</v>
      </c>
    </row>
    <row r="457" spans="1:2" x14ac:dyDescent="0.2">
      <c r="A457" s="117">
        <v>35154</v>
      </c>
      <c r="B457" s="116">
        <f t="shared" si="7"/>
        <v>34</v>
      </c>
    </row>
    <row r="458" spans="1:2" x14ac:dyDescent="0.2">
      <c r="A458" s="117">
        <v>35155</v>
      </c>
      <c r="B458" s="116">
        <f t="shared" si="7"/>
        <v>41</v>
      </c>
    </row>
    <row r="459" spans="1:2" x14ac:dyDescent="0.2">
      <c r="A459" s="117">
        <v>35156</v>
      </c>
      <c r="B459" s="116">
        <f t="shared" si="7"/>
        <v>41</v>
      </c>
    </row>
    <row r="460" spans="1:2" x14ac:dyDescent="0.2">
      <c r="A460" s="117">
        <v>35157</v>
      </c>
      <c r="B460" s="116">
        <f t="shared" si="7"/>
        <v>41</v>
      </c>
    </row>
    <row r="461" spans="1:2" x14ac:dyDescent="0.2">
      <c r="A461" s="117">
        <v>35158</v>
      </c>
      <c r="B461" s="116">
        <f t="shared" si="7"/>
        <v>41</v>
      </c>
    </row>
    <row r="462" spans="1:2" x14ac:dyDescent="0.2">
      <c r="A462" s="117">
        <v>35159</v>
      </c>
      <c r="B462" s="116">
        <f t="shared" si="7"/>
        <v>41</v>
      </c>
    </row>
    <row r="463" spans="1:2" x14ac:dyDescent="0.2">
      <c r="A463" s="117">
        <v>35160</v>
      </c>
      <c r="B463" s="116">
        <f t="shared" si="7"/>
        <v>41</v>
      </c>
    </row>
    <row r="464" spans="1:2" x14ac:dyDescent="0.2">
      <c r="A464" s="117">
        <v>35161</v>
      </c>
      <c r="B464" s="116">
        <f t="shared" si="7"/>
        <v>41</v>
      </c>
    </row>
    <row r="465" spans="1:2" x14ac:dyDescent="0.2">
      <c r="A465" s="117">
        <v>35162</v>
      </c>
      <c r="B465" s="116">
        <f t="shared" si="7"/>
        <v>42</v>
      </c>
    </row>
    <row r="466" spans="1:2" x14ac:dyDescent="0.2">
      <c r="A466" s="117">
        <v>35163</v>
      </c>
      <c r="B466" s="116">
        <f t="shared" si="7"/>
        <v>42</v>
      </c>
    </row>
    <row r="467" spans="1:2" x14ac:dyDescent="0.2">
      <c r="A467" s="117">
        <v>35164</v>
      </c>
      <c r="B467" s="116">
        <f t="shared" si="7"/>
        <v>42</v>
      </c>
    </row>
    <row r="468" spans="1:2" x14ac:dyDescent="0.2">
      <c r="A468" s="117">
        <v>35165</v>
      </c>
      <c r="B468" s="116">
        <f t="shared" si="7"/>
        <v>42</v>
      </c>
    </row>
    <row r="469" spans="1:2" x14ac:dyDescent="0.2">
      <c r="A469" s="117">
        <v>35166</v>
      </c>
      <c r="B469" s="116">
        <f t="shared" si="7"/>
        <v>42</v>
      </c>
    </row>
    <row r="470" spans="1:2" x14ac:dyDescent="0.2">
      <c r="A470" s="117">
        <v>35167</v>
      </c>
      <c r="B470" s="116">
        <f t="shared" si="7"/>
        <v>42</v>
      </c>
    </row>
    <row r="471" spans="1:2" x14ac:dyDescent="0.2">
      <c r="A471" s="117">
        <v>35168</v>
      </c>
      <c r="B471" s="116">
        <f t="shared" si="7"/>
        <v>42</v>
      </c>
    </row>
    <row r="472" spans="1:2" x14ac:dyDescent="0.2">
      <c r="A472" s="117">
        <v>35169</v>
      </c>
      <c r="B472" s="116">
        <f t="shared" si="7"/>
        <v>43</v>
      </c>
    </row>
    <row r="473" spans="1:2" x14ac:dyDescent="0.2">
      <c r="A473" s="117">
        <v>35170</v>
      </c>
      <c r="B473" s="116">
        <f t="shared" si="7"/>
        <v>43</v>
      </c>
    </row>
    <row r="474" spans="1:2" x14ac:dyDescent="0.2">
      <c r="A474" s="117">
        <v>35171</v>
      </c>
      <c r="B474" s="116">
        <f t="shared" si="7"/>
        <v>43</v>
      </c>
    </row>
    <row r="475" spans="1:2" x14ac:dyDescent="0.2">
      <c r="A475" s="117">
        <v>35172</v>
      </c>
      <c r="B475" s="116">
        <f t="shared" si="7"/>
        <v>43</v>
      </c>
    </row>
    <row r="476" spans="1:2" x14ac:dyDescent="0.2">
      <c r="A476" s="117">
        <v>35173</v>
      </c>
      <c r="B476" s="116">
        <f t="shared" si="7"/>
        <v>43</v>
      </c>
    </row>
    <row r="477" spans="1:2" x14ac:dyDescent="0.2">
      <c r="A477" s="117">
        <v>35174</v>
      </c>
      <c r="B477" s="116">
        <f t="shared" si="7"/>
        <v>43</v>
      </c>
    </row>
    <row r="478" spans="1:2" x14ac:dyDescent="0.2">
      <c r="A478" s="117">
        <v>35175</v>
      </c>
      <c r="B478" s="116">
        <f t="shared" si="7"/>
        <v>43</v>
      </c>
    </row>
    <row r="479" spans="1:2" x14ac:dyDescent="0.2">
      <c r="A479" s="117">
        <v>35176</v>
      </c>
      <c r="B479" s="116">
        <f t="shared" si="7"/>
        <v>44</v>
      </c>
    </row>
    <row r="480" spans="1:2" x14ac:dyDescent="0.2">
      <c r="A480" s="117">
        <v>35177</v>
      </c>
      <c r="B480" s="116">
        <f t="shared" si="7"/>
        <v>44</v>
      </c>
    </row>
    <row r="481" spans="1:2" x14ac:dyDescent="0.2">
      <c r="A481" s="117">
        <v>35178</v>
      </c>
      <c r="B481" s="116">
        <f t="shared" si="7"/>
        <v>44</v>
      </c>
    </row>
    <row r="482" spans="1:2" x14ac:dyDescent="0.2">
      <c r="A482" s="117">
        <v>35179</v>
      </c>
      <c r="B482" s="116">
        <f t="shared" si="7"/>
        <v>44</v>
      </c>
    </row>
    <row r="483" spans="1:2" x14ac:dyDescent="0.2">
      <c r="A483" s="117">
        <v>35180</v>
      </c>
      <c r="B483" s="116">
        <f t="shared" si="7"/>
        <v>44</v>
      </c>
    </row>
    <row r="484" spans="1:2" x14ac:dyDescent="0.2">
      <c r="A484" s="117">
        <v>35181</v>
      </c>
      <c r="B484" s="116">
        <f t="shared" si="7"/>
        <v>44</v>
      </c>
    </row>
    <row r="485" spans="1:2" x14ac:dyDescent="0.2">
      <c r="A485" s="117">
        <v>35182</v>
      </c>
      <c r="B485" s="116">
        <f t="shared" si="7"/>
        <v>44</v>
      </c>
    </row>
    <row r="486" spans="1:2" x14ac:dyDescent="0.2">
      <c r="A486" s="117">
        <v>35183</v>
      </c>
      <c r="B486" s="116">
        <f t="shared" si="7"/>
        <v>45</v>
      </c>
    </row>
    <row r="487" spans="1:2" x14ac:dyDescent="0.2">
      <c r="A487" s="117">
        <v>35184</v>
      </c>
      <c r="B487" s="116">
        <f t="shared" si="7"/>
        <v>45</v>
      </c>
    </row>
    <row r="488" spans="1:2" x14ac:dyDescent="0.2">
      <c r="A488" s="117">
        <v>35185</v>
      </c>
      <c r="B488" s="116">
        <f t="shared" si="7"/>
        <v>45</v>
      </c>
    </row>
    <row r="489" spans="1:2" x14ac:dyDescent="0.2">
      <c r="A489" s="117">
        <v>35186</v>
      </c>
      <c r="B489" s="116">
        <f t="shared" si="7"/>
        <v>45</v>
      </c>
    </row>
    <row r="490" spans="1:2" x14ac:dyDescent="0.2">
      <c r="A490" s="117">
        <v>35187</v>
      </c>
      <c r="B490" s="116">
        <f t="shared" si="7"/>
        <v>45</v>
      </c>
    </row>
    <row r="491" spans="1:2" x14ac:dyDescent="0.2">
      <c r="A491" s="117">
        <v>35188</v>
      </c>
      <c r="B491" s="116">
        <f t="shared" si="7"/>
        <v>45</v>
      </c>
    </row>
    <row r="492" spans="1:2" x14ac:dyDescent="0.2">
      <c r="A492" s="117">
        <v>35189</v>
      </c>
      <c r="B492" s="116">
        <f t="shared" si="7"/>
        <v>45</v>
      </c>
    </row>
    <row r="493" spans="1:2" x14ac:dyDescent="0.2">
      <c r="A493" s="117">
        <v>35190</v>
      </c>
      <c r="B493" s="116">
        <f t="shared" si="7"/>
        <v>51</v>
      </c>
    </row>
    <row r="494" spans="1:2" x14ac:dyDescent="0.2">
      <c r="A494" s="117">
        <v>35191</v>
      </c>
      <c r="B494" s="116">
        <f t="shared" si="7"/>
        <v>51</v>
      </c>
    </row>
    <row r="495" spans="1:2" x14ac:dyDescent="0.2">
      <c r="A495" s="117">
        <v>35192</v>
      </c>
      <c r="B495" s="116">
        <f t="shared" si="7"/>
        <v>51</v>
      </c>
    </row>
    <row r="496" spans="1:2" x14ac:dyDescent="0.2">
      <c r="A496" s="117">
        <v>35193</v>
      </c>
      <c r="B496" s="116">
        <f t="shared" si="7"/>
        <v>51</v>
      </c>
    </row>
    <row r="497" spans="1:2" x14ac:dyDescent="0.2">
      <c r="A497" s="117">
        <v>35194</v>
      </c>
      <c r="B497" s="116">
        <f t="shared" si="7"/>
        <v>51</v>
      </c>
    </row>
    <row r="498" spans="1:2" x14ac:dyDescent="0.2">
      <c r="A498" s="117">
        <v>35195</v>
      </c>
      <c r="B498" s="116">
        <f t="shared" si="7"/>
        <v>51</v>
      </c>
    </row>
    <row r="499" spans="1:2" x14ac:dyDescent="0.2">
      <c r="A499" s="117">
        <v>35196</v>
      </c>
      <c r="B499" s="116">
        <f t="shared" si="7"/>
        <v>51</v>
      </c>
    </row>
    <row r="500" spans="1:2" x14ac:dyDescent="0.2">
      <c r="A500" s="117">
        <v>35197</v>
      </c>
      <c r="B500" s="116">
        <f t="shared" si="7"/>
        <v>52</v>
      </c>
    </row>
    <row r="501" spans="1:2" x14ac:dyDescent="0.2">
      <c r="A501" s="117">
        <v>35198</v>
      </c>
      <c r="B501" s="116">
        <f t="shared" si="7"/>
        <v>52</v>
      </c>
    </row>
    <row r="502" spans="1:2" x14ac:dyDescent="0.2">
      <c r="A502" s="117">
        <v>35199</v>
      </c>
      <c r="B502" s="116">
        <f t="shared" si="7"/>
        <v>52</v>
      </c>
    </row>
    <row r="503" spans="1:2" x14ac:dyDescent="0.2">
      <c r="A503" s="117">
        <v>35200</v>
      </c>
      <c r="B503" s="116">
        <f t="shared" si="7"/>
        <v>52</v>
      </c>
    </row>
    <row r="504" spans="1:2" x14ac:dyDescent="0.2">
      <c r="A504" s="117">
        <v>35201</v>
      </c>
      <c r="B504" s="116">
        <f t="shared" si="7"/>
        <v>52</v>
      </c>
    </row>
    <row r="505" spans="1:2" x14ac:dyDescent="0.2">
      <c r="A505" s="117">
        <v>35202</v>
      </c>
      <c r="B505" s="116">
        <f t="shared" si="7"/>
        <v>52</v>
      </c>
    </row>
    <row r="506" spans="1:2" x14ac:dyDescent="0.2">
      <c r="A506" s="117">
        <v>35203</v>
      </c>
      <c r="B506" s="116">
        <f t="shared" si="7"/>
        <v>52</v>
      </c>
    </row>
    <row r="507" spans="1:2" x14ac:dyDescent="0.2">
      <c r="A507" s="117">
        <v>35204</v>
      </c>
      <c r="B507" s="116">
        <f t="shared" si="7"/>
        <v>53</v>
      </c>
    </row>
    <row r="508" spans="1:2" x14ac:dyDescent="0.2">
      <c r="A508" s="117">
        <v>35205</v>
      </c>
      <c r="B508" s="116">
        <f t="shared" si="7"/>
        <v>53</v>
      </c>
    </row>
    <row r="509" spans="1:2" x14ac:dyDescent="0.2">
      <c r="A509" s="117">
        <v>35206</v>
      </c>
      <c r="B509" s="116">
        <f t="shared" si="7"/>
        <v>53</v>
      </c>
    </row>
    <row r="510" spans="1:2" x14ac:dyDescent="0.2">
      <c r="A510" s="117">
        <v>35207</v>
      </c>
      <c r="B510" s="116">
        <f t="shared" si="7"/>
        <v>53</v>
      </c>
    </row>
    <row r="511" spans="1:2" x14ac:dyDescent="0.2">
      <c r="A511" s="117">
        <v>35208</v>
      </c>
      <c r="B511" s="116">
        <f t="shared" si="7"/>
        <v>53</v>
      </c>
    </row>
    <row r="512" spans="1:2" x14ac:dyDescent="0.2">
      <c r="A512" s="117">
        <v>35209</v>
      </c>
      <c r="B512" s="116">
        <f t="shared" si="7"/>
        <v>53</v>
      </c>
    </row>
    <row r="513" spans="1:2" x14ac:dyDescent="0.2">
      <c r="A513" s="117">
        <v>35210</v>
      </c>
      <c r="B513" s="116">
        <f t="shared" si="7"/>
        <v>53</v>
      </c>
    </row>
    <row r="514" spans="1:2" x14ac:dyDescent="0.2">
      <c r="A514" s="117">
        <v>35211</v>
      </c>
      <c r="B514" s="116">
        <f t="shared" si="7"/>
        <v>54</v>
      </c>
    </row>
    <row r="515" spans="1:2" x14ac:dyDescent="0.2">
      <c r="A515" s="117">
        <v>35212</v>
      </c>
      <c r="B515" s="116">
        <f t="shared" si="7"/>
        <v>54</v>
      </c>
    </row>
    <row r="516" spans="1:2" x14ac:dyDescent="0.2">
      <c r="A516" s="117">
        <v>35213</v>
      </c>
      <c r="B516" s="116">
        <f t="shared" ref="B516:B579" si="8">VLOOKUP(WEEKNUM(A516),$D$4:$E$59,2)</f>
        <v>54</v>
      </c>
    </row>
    <row r="517" spans="1:2" x14ac:dyDescent="0.2">
      <c r="A517" s="117">
        <v>35214</v>
      </c>
      <c r="B517" s="116">
        <f t="shared" si="8"/>
        <v>54</v>
      </c>
    </row>
    <row r="518" spans="1:2" x14ac:dyDescent="0.2">
      <c r="A518" s="117">
        <v>35215</v>
      </c>
      <c r="B518" s="116">
        <f t="shared" si="8"/>
        <v>54</v>
      </c>
    </row>
    <row r="519" spans="1:2" x14ac:dyDescent="0.2">
      <c r="A519" s="117">
        <v>35216</v>
      </c>
      <c r="B519" s="116">
        <f t="shared" si="8"/>
        <v>54</v>
      </c>
    </row>
    <row r="520" spans="1:2" x14ac:dyDescent="0.2">
      <c r="A520" s="117">
        <v>35217</v>
      </c>
      <c r="B520" s="116">
        <f t="shared" si="8"/>
        <v>54</v>
      </c>
    </row>
    <row r="521" spans="1:2" x14ac:dyDescent="0.2">
      <c r="A521" s="117">
        <v>35218</v>
      </c>
      <c r="B521" s="116">
        <f t="shared" si="8"/>
        <v>61</v>
      </c>
    </row>
    <row r="522" spans="1:2" x14ac:dyDescent="0.2">
      <c r="A522" s="117">
        <v>35219</v>
      </c>
      <c r="B522" s="116">
        <f t="shared" si="8"/>
        <v>61</v>
      </c>
    </row>
    <row r="523" spans="1:2" x14ac:dyDescent="0.2">
      <c r="A523" s="117">
        <v>35220</v>
      </c>
      <c r="B523" s="116">
        <f t="shared" si="8"/>
        <v>61</v>
      </c>
    </row>
    <row r="524" spans="1:2" x14ac:dyDescent="0.2">
      <c r="A524" s="117">
        <v>35221</v>
      </c>
      <c r="B524" s="116">
        <f t="shared" si="8"/>
        <v>61</v>
      </c>
    </row>
    <row r="525" spans="1:2" x14ac:dyDescent="0.2">
      <c r="A525" s="117">
        <v>35222</v>
      </c>
      <c r="B525" s="116">
        <f t="shared" si="8"/>
        <v>61</v>
      </c>
    </row>
    <row r="526" spans="1:2" x14ac:dyDescent="0.2">
      <c r="A526" s="117">
        <v>35223</v>
      </c>
      <c r="B526" s="116">
        <f t="shared" si="8"/>
        <v>61</v>
      </c>
    </row>
    <row r="527" spans="1:2" x14ac:dyDescent="0.2">
      <c r="A527" s="117">
        <v>35224</v>
      </c>
      <c r="B527" s="116">
        <f t="shared" si="8"/>
        <v>61</v>
      </c>
    </row>
    <row r="528" spans="1:2" x14ac:dyDescent="0.2">
      <c r="A528" s="117">
        <v>35225</v>
      </c>
      <c r="B528" s="116">
        <f t="shared" si="8"/>
        <v>62</v>
      </c>
    </row>
    <row r="529" spans="1:2" x14ac:dyDescent="0.2">
      <c r="A529" s="117">
        <v>35226</v>
      </c>
      <c r="B529" s="116">
        <f t="shared" si="8"/>
        <v>62</v>
      </c>
    </row>
    <row r="530" spans="1:2" x14ac:dyDescent="0.2">
      <c r="A530" s="117">
        <v>35227</v>
      </c>
      <c r="B530" s="116">
        <f t="shared" si="8"/>
        <v>62</v>
      </c>
    </row>
    <row r="531" spans="1:2" x14ac:dyDescent="0.2">
      <c r="A531" s="117">
        <v>35228</v>
      </c>
      <c r="B531" s="116">
        <f t="shared" si="8"/>
        <v>62</v>
      </c>
    </row>
    <row r="532" spans="1:2" x14ac:dyDescent="0.2">
      <c r="A532" s="117">
        <v>35229</v>
      </c>
      <c r="B532" s="116">
        <f t="shared" si="8"/>
        <v>62</v>
      </c>
    </row>
    <row r="533" spans="1:2" x14ac:dyDescent="0.2">
      <c r="A533" s="117">
        <v>35230</v>
      </c>
      <c r="B533" s="116">
        <f t="shared" si="8"/>
        <v>62</v>
      </c>
    </row>
    <row r="534" spans="1:2" x14ac:dyDescent="0.2">
      <c r="A534" s="117">
        <v>35231</v>
      </c>
      <c r="B534" s="116">
        <f t="shared" si="8"/>
        <v>62</v>
      </c>
    </row>
    <row r="535" spans="1:2" x14ac:dyDescent="0.2">
      <c r="A535" s="117">
        <v>35232</v>
      </c>
      <c r="B535" s="116">
        <f t="shared" si="8"/>
        <v>63</v>
      </c>
    </row>
    <row r="536" spans="1:2" x14ac:dyDescent="0.2">
      <c r="A536" s="117">
        <v>35233</v>
      </c>
      <c r="B536" s="116">
        <f t="shared" si="8"/>
        <v>63</v>
      </c>
    </row>
    <row r="537" spans="1:2" x14ac:dyDescent="0.2">
      <c r="A537" s="117">
        <v>35234</v>
      </c>
      <c r="B537" s="116">
        <f t="shared" si="8"/>
        <v>63</v>
      </c>
    </row>
    <row r="538" spans="1:2" x14ac:dyDescent="0.2">
      <c r="A538" s="117">
        <v>35235</v>
      </c>
      <c r="B538" s="116">
        <f t="shared" si="8"/>
        <v>63</v>
      </c>
    </row>
    <row r="539" spans="1:2" x14ac:dyDescent="0.2">
      <c r="A539" s="117">
        <v>35236</v>
      </c>
      <c r="B539" s="116">
        <f t="shared" si="8"/>
        <v>63</v>
      </c>
    </row>
    <row r="540" spans="1:2" x14ac:dyDescent="0.2">
      <c r="A540" s="117">
        <v>35237</v>
      </c>
      <c r="B540" s="116">
        <f t="shared" si="8"/>
        <v>63</v>
      </c>
    </row>
    <row r="541" spans="1:2" x14ac:dyDescent="0.2">
      <c r="A541" s="117">
        <v>35238</v>
      </c>
      <c r="B541" s="116">
        <f t="shared" si="8"/>
        <v>63</v>
      </c>
    </row>
    <row r="542" spans="1:2" x14ac:dyDescent="0.2">
      <c r="A542" s="117">
        <v>35239</v>
      </c>
      <c r="B542" s="116">
        <f t="shared" si="8"/>
        <v>64</v>
      </c>
    </row>
    <row r="543" spans="1:2" x14ac:dyDescent="0.2">
      <c r="A543" s="117">
        <v>35240</v>
      </c>
      <c r="B543" s="116">
        <f t="shared" si="8"/>
        <v>64</v>
      </c>
    </row>
    <row r="544" spans="1:2" x14ac:dyDescent="0.2">
      <c r="A544" s="117">
        <v>35241</v>
      </c>
      <c r="B544" s="116">
        <f t="shared" si="8"/>
        <v>64</v>
      </c>
    </row>
    <row r="545" spans="1:2" x14ac:dyDescent="0.2">
      <c r="A545" s="117">
        <v>35242</v>
      </c>
      <c r="B545" s="116">
        <f t="shared" si="8"/>
        <v>64</v>
      </c>
    </row>
    <row r="546" spans="1:2" x14ac:dyDescent="0.2">
      <c r="A546" s="117">
        <v>35243</v>
      </c>
      <c r="B546" s="116">
        <f t="shared" si="8"/>
        <v>64</v>
      </c>
    </row>
    <row r="547" spans="1:2" x14ac:dyDescent="0.2">
      <c r="A547" s="117">
        <v>35244</v>
      </c>
      <c r="B547" s="116">
        <f t="shared" si="8"/>
        <v>64</v>
      </c>
    </row>
    <row r="548" spans="1:2" x14ac:dyDescent="0.2">
      <c r="A548" s="117">
        <v>35245</v>
      </c>
      <c r="B548" s="116">
        <f t="shared" si="8"/>
        <v>64</v>
      </c>
    </row>
    <row r="549" spans="1:2" x14ac:dyDescent="0.2">
      <c r="A549" s="117">
        <v>35246</v>
      </c>
      <c r="B549" s="116">
        <f t="shared" si="8"/>
        <v>71</v>
      </c>
    </row>
    <row r="550" spans="1:2" x14ac:dyDescent="0.2">
      <c r="A550" s="117">
        <v>35247</v>
      </c>
      <c r="B550" s="116">
        <f t="shared" si="8"/>
        <v>71</v>
      </c>
    </row>
    <row r="551" spans="1:2" x14ac:dyDescent="0.2">
      <c r="A551" s="117">
        <v>35248</v>
      </c>
      <c r="B551" s="116">
        <f t="shared" si="8"/>
        <v>71</v>
      </c>
    </row>
    <row r="552" spans="1:2" x14ac:dyDescent="0.2">
      <c r="A552" s="117">
        <v>35249</v>
      </c>
      <c r="B552" s="116">
        <f t="shared" si="8"/>
        <v>71</v>
      </c>
    </row>
    <row r="553" spans="1:2" x14ac:dyDescent="0.2">
      <c r="A553" s="117">
        <v>35250</v>
      </c>
      <c r="B553" s="116">
        <f t="shared" si="8"/>
        <v>71</v>
      </c>
    </row>
    <row r="554" spans="1:2" x14ac:dyDescent="0.2">
      <c r="A554" s="117">
        <v>35251</v>
      </c>
      <c r="B554" s="116">
        <f t="shared" si="8"/>
        <v>71</v>
      </c>
    </row>
    <row r="555" spans="1:2" x14ac:dyDescent="0.2">
      <c r="A555" s="117">
        <v>35252</v>
      </c>
      <c r="B555" s="116">
        <f t="shared" si="8"/>
        <v>71</v>
      </c>
    </row>
    <row r="556" spans="1:2" x14ac:dyDescent="0.2">
      <c r="A556" s="117">
        <v>35253</v>
      </c>
      <c r="B556" s="116">
        <f t="shared" si="8"/>
        <v>72</v>
      </c>
    </row>
    <row r="557" spans="1:2" x14ac:dyDescent="0.2">
      <c r="A557" s="117">
        <v>35254</v>
      </c>
      <c r="B557" s="116">
        <f t="shared" si="8"/>
        <v>72</v>
      </c>
    </row>
    <row r="558" spans="1:2" x14ac:dyDescent="0.2">
      <c r="A558" s="117">
        <v>35255</v>
      </c>
      <c r="B558" s="116">
        <f t="shared" si="8"/>
        <v>72</v>
      </c>
    </row>
    <row r="559" spans="1:2" x14ac:dyDescent="0.2">
      <c r="A559" s="117">
        <v>35256</v>
      </c>
      <c r="B559" s="116">
        <f t="shared" si="8"/>
        <v>72</v>
      </c>
    </row>
    <row r="560" spans="1:2" x14ac:dyDescent="0.2">
      <c r="A560" s="117">
        <v>35257</v>
      </c>
      <c r="B560" s="116">
        <f t="shared" si="8"/>
        <v>72</v>
      </c>
    </row>
    <row r="561" spans="1:2" x14ac:dyDescent="0.2">
      <c r="A561" s="117">
        <v>35258</v>
      </c>
      <c r="B561" s="116">
        <f t="shared" si="8"/>
        <v>72</v>
      </c>
    </row>
    <row r="562" spans="1:2" x14ac:dyDescent="0.2">
      <c r="A562" s="117">
        <v>35259</v>
      </c>
      <c r="B562" s="116">
        <f t="shared" si="8"/>
        <v>72</v>
      </c>
    </row>
    <row r="563" spans="1:2" x14ac:dyDescent="0.2">
      <c r="A563" s="117">
        <v>35260</v>
      </c>
      <c r="B563" s="116">
        <f t="shared" si="8"/>
        <v>73</v>
      </c>
    </row>
    <row r="564" spans="1:2" x14ac:dyDescent="0.2">
      <c r="A564" s="117">
        <v>35261</v>
      </c>
      <c r="B564" s="116">
        <f t="shared" si="8"/>
        <v>73</v>
      </c>
    </row>
    <row r="565" spans="1:2" x14ac:dyDescent="0.2">
      <c r="A565" s="117">
        <v>35262</v>
      </c>
      <c r="B565" s="116">
        <f t="shared" si="8"/>
        <v>73</v>
      </c>
    </row>
    <row r="566" spans="1:2" x14ac:dyDescent="0.2">
      <c r="A566" s="117">
        <v>35263</v>
      </c>
      <c r="B566" s="116">
        <f t="shared" si="8"/>
        <v>73</v>
      </c>
    </row>
    <row r="567" spans="1:2" x14ac:dyDescent="0.2">
      <c r="A567" s="117">
        <v>35264</v>
      </c>
      <c r="B567" s="116">
        <f t="shared" si="8"/>
        <v>73</v>
      </c>
    </row>
    <row r="568" spans="1:2" x14ac:dyDescent="0.2">
      <c r="A568" s="117">
        <v>35265</v>
      </c>
      <c r="B568" s="116">
        <f t="shared" si="8"/>
        <v>73</v>
      </c>
    </row>
    <row r="569" spans="1:2" x14ac:dyDescent="0.2">
      <c r="A569" s="117">
        <v>35266</v>
      </c>
      <c r="B569" s="116">
        <f t="shared" si="8"/>
        <v>73</v>
      </c>
    </row>
    <row r="570" spans="1:2" x14ac:dyDescent="0.2">
      <c r="A570" s="117">
        <v>35267</v>
      </c>
      <c r="B570" s="116">
        <f t="shared" si="8"/>
        <v>74</v>
      </c>
    </row>
    <row r="571" spans="1:2" x14ac:dyDescent="0.2">
      <c r="A571" s="117">
        <v>35268</v>
      </c>
      <c r="B571" s="116">
        <f t="shared" si="8"/>
        <v>74</v>
      </c>
    </row>
    <row r="572" spans="1:2" x14ac:dyDescent="0.2">
      <c r="A572" s="117">
        <v>35269</v>
      </c>
      <c r="B572" s="116">
        <f t="shared" si="8"/>
        <v>74</v>
      </c>
    </row>
    <row r="573" spans="1:2" x14ac:dyDescent="0.2">
      <c r="A573" s="117">
        <v>35270</v>
      </c>
      <c r="B573" s="116">
        <f t="shared" si="8"/>
        <v>74</v>
      </c>
    </row>
    <row r="574" spans="1:2" x14ac:dyDescent="0.2">
      <c r="A574" s="117">
        <v>35271</v>
      </c>
      <c r="B574" s="116">
        <f t="shared" si="8"/>
        <v>74</v>
      </c>
    </row>
    <row r="575" spans="1:2" x14ac:dyDescent="0.2">
      <c r="A575" s="117">
        <v>35272</v>
      </c>
      <c r="B575" s="116">
        <f t="shared" si="8"/>
        <v>74</v>
      </c>
    </row>
    <row r="576" spans="1:2" x14ac:dyDescent="0.2">
      <c r="A576" s="117">
        <v>35273</v>
      </c>
      <c r="B576" s="116">
        <f t="shared" si="8"/>
        <v>74</v>
      </c>
    </row>
    <row r="577" spans="1:2" x14ac:dyDescent="0.2">
      <c r="A577" s="117">
        <v>35274</v>
      </c>
      <c r="B577" s="116">
        <f t="shared" si="8"/>
        <v>75</v>
      </c>
    </row>
    <row r="578" spans="1:2" x14ac:dyDescent="0.2">
      <c r="A578" s="117">
        <v>35275</v>
      </c>
      <c r="B578" s="116">
        <f t="shared" si="8"/>
        <v>75</v>
      </c>
    </row>
    <row r="579" spans="1:2" x14ac:dyDescent="0.2">
      <c r="A579" s="117">
        <v>35276</v>
      </c>
      <c r="B579" s="116">
        <f t="shared" si="8"/>
        <v>75</v>
      </c>
    </row>
    <row r="580" spans="1:2" x14ac:dyDescent="0.2">
      <c r="A580" s="117">
        <v>35277</v>
      </c>
      <c r="B580" s="116">
        <f t="shared" ref="B580:B643" si="9">VLOOKUP(WEEKNUM(A580),$D$4:$E$59,2)</f>
        <v>75</v>
      </c>
    </row>
    <row r="581" spans="1:2" x14ac:dyDescent="0.2">
      <c r="A581" s="117">
        <v>35278</v>
      </c>
      <c r="B581" s="116">
        <f t="shared" si="9"/>
        <v>75</v>
      </c>
    </row>
    <row r="582" spans="1:2" x14ac:dyDescent="0.2">
      <c r="A582" s="117">
        <v>35279</v>
      </c>
      <c r="B582" s="116">
        <f t="shared" si="9"/>
        <v>75</v>
      </c>
    </row>
    <row r="583" spans="1:2" x14ac:dyDescent="0.2">
      <c r="A583" s="117">
        <v>35280</v>
      </c>
      <c r="B583" s="116">
        <f t="shared" si="9"/>
        <v>75</v>
      </c>
    </row>
    <row r="584" spans="1:2" x14ac:dyDescent="0.2">
      <c r="A584" s="117">
        <v>35281</v>
      </c>
      <c r="B584" s="116">
        <f t="shared" si="9"/>
        <v>81</v>
      </c>
    </row>
    <row r="585" spans="1:2" x14ac:dyDescent="0.2">
      <c r="A585" s="117">
        <v>35282</v>
      </c>
      <c r="B585" s="116">
        <f t="shared" si="9"/>
        <v>81</v>
      </c>
    </row>
    <row r="586" spans="1:2" x14ac:dyDescent="0.2">
      <c r="A586" s="117">
        <v>35283</v>
      </c>
      <c r="B586" s="116">
        <f t="shared" si="9"/>
        <v>81</v>
      </c>
    </row>
    <row r="587" spans="1:2" x14ac:dyDescent="0.2">
      <c r="A587" s="117">
        <v>35284</v>
      </c>
      <c r="B587" s="116">
        <f t="shared" si="9"/>
        <v>81</v>
      </c>
    </row>
    <row r="588" spans="1:2" x14ac:dyDescent="0.2">
      <c r="A588" s="117">
        <v>35285</v>
      </c>
      <c r="B588" s="116">
        <f t="shared" si="9"/>
        <v>81</v>
      </c>
    </row>
    <row r="589" spans="1:2" x14ac:dyDescent="0.2">
      <c r="A589" s="117">
        <v>35286</v>
      </c>
      <c r="B589" s="116">
        <f t="shared" si="9"/>
        <v>81</v>
      </c>
    </row>
    <row r="590" spans="1:2" x14ac:dyDescent="0.2">
      <c r="A590" s="117">
        <v>35287</v>
      </c>
      <c r="B590" s="116">
        <f t="shared" si="9"/>
        <v>81</v>
      </c>
    </row>
    <row r="591" spans="1:2" x14ac:dyDescent="0.2">
      <c r="A591" s="117">
        <v>35288</v>
      </c>
      <c r="B591" s="116">
        <f t="shared" si="9"/>
        <v>82</v>
      </c>
    </row>
    <row r="592" spans="1:2" x14ac:dyDescent="0.2">
      <c r="A592" s="117">
        <v>35289</v>
      </c>
      <c r="B592" s="116">
        <f t="shared" si="9"/>
        <v>82</v>
      </c>
    </row>
    <row r="593" spans="1:2" x14ac:dyDescent="0.2">
      <c r="A593" s="117">
        <v>35290</v>
      </c>
      <c r="B593" s="116">
        <f t="shared" si="9"/>
        <v>82</v>
      </c>
    </row>
    <row r="594" spans="1:2" x14ac:dyDescent="0.2">
      <c r="A594" s="117">
        <v>35291</v>
      </c>
      <c r="B594" s="116">
        <f t="shared" si="9"/>
        <v>82</v>
      </c>
    </row>
    <row r="595" spans="1:2" x14ac:dyDescent="0.2">
      <c r="A595" s="117">
        <v>35292</v>
      </c>
      <c r="B595" s="116">
        <f t="shared" si="9"/>
        <v>82</v>
      </c>
    </row>
    <row r="596" spans="1:2" x14ac:dyDescent="0.2">
      <c r="A596" s="117">
        <v>35293</v>
      </c>
      <c r="B596" s="116">
        <f t="shared" si="9"/>
        <v>82</v>
      </c>
    </row>
    <row r="597" spans="1:2" x14ac:dyDescent="0.2">
      <c r="A597" s="117">
        <v>35294</v>
      </c>
      <c r="B597" s="116">
        <f t="shared" si="9"/>
        <v>82</v>
      </c>
    </row>
    <row r="598" spans="1:2" x14ac:dyDescent="0.2">
      <c r="A598" s="117">
        <v>35295</v>
      </c>
      <c r="B598" s="116">
        <f t="shared" si="9"/>
        <v>83</v>
      </c>
    </row>
    <row r="599" spans="1:2" x14ac:dyDescent="0.2">
      <c r="A599" s="117">
        <v>35296</v>
      </c>
      <c r="B599" s="116">
        <f t="shared" si="9"/>
        <v>83</v>
      </c>
    </row>
    <row r="600" spans="1:2" x14ac:dyDescent="0.2">
      <c r="A600" s="117">
        <v>35297</v>
      </c>
      <c r="B600" s="116">
        <f t="shared" si="9"/>
        <v>83</v>
      </c>
    </row>
    <row r="601" spans="1:2" x14ac:dyDescent="0.2">
      <c r="A601" s="117">
        <v>35298</v>
      </c>
      <c r="B601" s="116">
        <f t="shared" si="9"/>
        <v>83</v>
      </c>
    </row>
    <row r="602" spans="1:2" x14ac:dyDescent="0.2">
      <c r="A602" s="117">
        <v>35299</v>
      </c>
      <c r="B602" s="116">
        <f t="shared" si="9"/>
        <v>83</v>
      </c>
    </row>
    <row r="603" spans="1:2" x14ac:dyDescent="0.2">
      <c r="A603" s="117">
        <v>35300</v>
      </c>
      <c r="B603" s="116">
        <f t="shared" si="9"/>
        <v>83</v>
      </c>
    </row>
    <row r="604" spans="1:2" x14ac:dyDescent="0.2">
      <c r="A604" s="117">
        <v>35301</v>
      </c>
      <c r="B604" s="116">
        <f t="shared" si="9"/>
        <v>83</v>
      </c>
    </row>
    <row r="605" spans="1:2" x14ac:dyDescent="0.2">
      <c r="A605" s="117">
        <v>35302</v>
      </c>
      <c r="B605" s="116">
        <f t="shared" si="9"/>
        <v>84</v>
      </c>
    </row>
    <row r="606" spans="1:2" x14ac:dyDescent="0.2">
      <c r="A606" s="117">
        <v>35303</v>
      </c>
      <c r="B606" s="116">
        <f t="shared" si="9"/>
        <v>84</v>
      </c>
    </row>
    <row r="607" spans="1:2" x14ac:dyDescent="0.2">
      <c r="A607" s="117">
        <v>35304</v>
      </c>
      <c r="B607" s="116">
        <f t="shared" si="9"/>
        <v>84</v>
      </c>
    </row>
    <row r="608" spans="1:2" x14ac:dyDescent="0.2">
      <c r="A608" s="117">
        <v>35305</v>
      </c>
      <c r="B608" s="116">
        <f t="shared" si="9"/>
        <v>84</v>
      </c>
    </row>
    <row r="609" spans="1:2" x14ac:dyDescent="0.2">
      <c r="A609" s="117">
        <v>35306</v>
      </c>
      <c r="B609" s="116">
        <f t="shared" si="9"/>
        <v>84</v>
      </c>
    </row>
    <row r="610" spans="1:2" x14ac:dyDescent="0.2">
      <c r="A610" s="117">
        <v>35307</v>
      </c>
      <c r="B610" s="116">
        <f t="shared" si="9"/>
        <v>84</v>
      </c>
    </row>
    <row r="611" spans="1:2" x14ac:dyDescent="0.2">
      <c r="A611" s="117">
        <v>35308</v>
      </c>
      <c r="B611" s="116">
        <f t="shared" si="9"/>
        <v>84</v>
      </c>
    </row>
    <row r="612" spans="1:2" x14ac:dyDescent="0.2">
      <c r="A612" s="117">
        <v>35309</v>
      </c>
      <c r="B612" s="116">
        <f t="shared" si="9"/>
        <v>91</v>
      </c>
    </row>
    <row r="613" spans="1:2" x14ac:dyDescent="0.2">
      <c r="A613" s="117">
        <v>35310</v>
      </c>
      <c r="B613" s="116">
        <f t="shared" si="9"/>
        <v>91</v>
      </c>
    </row>
    <row r="614" spans="1:2" x14ac:dyDescent="0.2">
      <c r="A614" s="117">
        <v>35311</v>
      </c>
      <c r="B614" s="116">
        <f t="shared" si="9"/>
        <v>91</v>
      </c>
    </row>
    <row r="615" spans="1:2" x14ac:dyDescent="0.2">
      <c r="A615" s="117">
        <v>35312</v>
      </c>
      <c r="B615" s="116">
        <f t="shared" si="9"/>
        <v>91</v>
      </c>
    </row>
    <row r="616" spans="1:2" x14ac:dyDescent="0.2">
      <c r="A616" s="117">
        <v>35313</v>
      </c>
      <c r="B616" s="116">
        <f t="shared" si="9"/>
        <v>91</v>
      </c>
    </row>
    <row r="617" spans="1:2" x14ac:dyDescent="0.2">
      <c r="A617" s="117">
        <v>35314</v>
      </c>
      <c r="B617" s="116">
        <f t="shared" si="9"/>
        <v>91</v>
      </c>
    </row>
    <row r="618" spans="1:2" x14ac:dyDescent="0.2">
      <c r="A618" s="117">
        <v>35315</v>
      </c>
      <c r="B618" s="116">
        <f t="shared" si="9"/>
        <v>91</v>
      </c>
    </row>
    <row r="619" spans="1:2" x14ac:dyDescent="0.2">
      <c r="A619" s="117">
        <v>35316</v>
      </c>
      <c r="B619" s="116">
        <f t="shared" si="9"/>
        <v>92</v>
      </c>
    </row>
    <row r="620" spans="1:2" x14ac:dyDescent="0.2">
      <c r="A620" s="117">
        <v>35317</v>
      </c>
      <c r="B620" s="116">
        <f t="shared" si="9"/>
        <v>92</v>
      </c>
    </row>
    <row r="621" spans="1:2" x14ac:dyDescent="0.2">
      <c r="A621" s="117">
        <v>35318</v>
      </c>
      <c r="B621" s="116">
        <f t="shared" si="9"/>
        <v>92</v>
      </c>
    </row>
    <row r="622" spans="1:2" x14ac:dyDescent="0.2">
      <c r="A622" s="117">
        <v>35319</v>
      </c>
      <c r="B622" s="116">
        <f t="shared" si="9"/>
        <v>92</v>
      </c>
    </row>
    <row r="623" spans="1:2" x14ac:dyDescent="0.2">
      <c r="A623" s="117">
        <v>35320</v>
      </c>
      <c r="B623" s="116">
        <f t="shared" si="9"/>
        <v>92</v>
      </c>
    </row>
    <row r="624" spans="1:2" x14ac:dyDescent="0.2">
      <c r="A624" s="117">
        <v>35321</v>
      </c>
      <c r="B624" s="116">
        <f t="shared" si="9"/>
        <v>92</v>
      </c>
    </row>
    <row r="625" spans="1:2" x14ac:dyDescent="0.2">
      <c r="A625" s="117">
        <v>35322</v>
      </c>
      <c r="B625" s="116">
        <f t="shared" si="9"/>
        <v>92</v>
      </c>
    </row>
    <row r="626" spans="1:2" x14ac:dyDescent="0.2">
      <c r="A626" s="117">
        <v>35323</v>
      </c>
      <c r="B626" s="116">
        <f t="shared" si="9"/>
        <v>93</v>
      </c>
    </row>
    <row r="627" spans="1:2" x14ac:dyDescent="0.2">
      <c r="A627" s="117">
        <v>35324</v>
      </c>
      <c r="B627" s="116">
        <f t="shared" si="9"/>
        <v>93</v>
      </c>
    </row>
    <row r="628" spans="1:2" x14ac:dyDescent="0.2">
      <c r="A628" s="117">
        <v>35325</v>
      </c>
      <c r="B628" s="116">
        <f t="shared" si="9"/>
        <v>93</v>
      </c>
    </row>
    <row r="629" spans="1:2" x14ac:dyDescent="0.2">
      <c r="A629" s="117">
        <v>35326</v>
      </c>
      <c r="B629" s="116">
        <f t="shared" si="9"/>
        <v>93</v>
      </c>
    </row>
    <row r="630" spans="1:2" x14ac:dyDescent="0.2">
      <c r="A630" s="117">
        <v>35327</v>
      </c>
      <c r="B630" s="116">
        <f t="shared" si="9"/>
        <v>93</v>
      </c>
    </row>
    <row r="631" spans="1:2" x14ac:dyDescent="0.2">
      <c r="A631" s="117">
        <v>35328</v>
      </c>
      <c r="B631" s="116">
        <f t="shared" si="9"/>
        <v>93</v>
      </c>
    </row>
    <row r="632" spans="1:2" x14ac:dyDescent="0.2">
      <c r="A632" s="117">
        <v>35329</v>
      </c>
      <c r="B632" s="116">
        <f t="shared" si="9"/>
        <v>93</v>
      </c>
    </row>
    <row r="633" spans="1:2" x14ac:dyDescent="0.2">
      <c r="A633" s="117">
        <v>35330</v>
      </c>
      <c r="B633" s="116">
        <f t="shared" si="9"/>
        <v>94</v>
      </c>
    </row>
    <row r="634" spans="1:2" x14ac:dyDescent="0.2">
      <c r="A634" s="117">
        <v>35331</v>
      </c>
      <c r="B634" s="116">
        <f t="shared" si="9"/>
        <v>94</v>
      </c>
    </row>
    <row r="635" spans="1:2" x14ac:dyDescent="0.2">
      <c r="A635" s="117">
        <v>35332</v>
      </c>
      <c r="B635" s="116">
        <f t="shared" si="9"/>
        <v>94</v>
      </c>
    </row>
    <row r="636" spans="1:2" x14ac:dyDescent="0.2">
      <c r="A636" s="117">
        <v>35333</v>
      </c>
      <c r="B636" s="116">
        <f t="shared" si="9"/>
        <v>94</v>
      </c>
    </row>
    <row r="637" spans="1:2" x14ac:dyDescent="0.2">
      <c r="A637" s="117">
        <v>35334</v>
      </c>
      <c r="B637" s="116">
        <f t="shared" si="9"/>
        <v>94</v>
      </c>
    </row>
    <row r="638" spans="1:2" x14ac:dyDescent="0.2">
      <c r="A638" s="117">
        <v>35335</v>
      </c>
      <c r="B638" s="116">
        <f t="shared" si="9"/>
        <v>94</v>
      </c>
    </row>
    <row r="639" spans="1:2" x14ac:dyDescent="0.2">
      <c r="A639" s="117">
        <v>35336</v>
      </c>
      <c r="B639" s="116">
        <f t="shared" si="9"/>
        <v>94</v>
      </c>
    </row>
    <row r="640" spans="1:2" x14ac:dyDescent="0.2">
      <c r="A640" s="117">
        <v>35337</v>
      </c>
      <c r="B640" s="116">
        <f t="shared" si="9"/>
        <v>101</v>
      </c>
    </row>
    <row r="641" spans="1:2" x14ac:dyDescent="0.2">
      <c r="A641" s="117">
        <v>35338</v>
      </c>
      <c r="B641" s="116">
        <f t="shared" si="9"/>
        <v>101</v>
      </c>
    </row>
    <row r="642" spans="1:2" x14ac:dyDescent="0.2">
      <c r="A642" s="117">
        <v>35339</v>
      </c>
      <c r="B642" s="116">
        <f t="shared" si="9"/>
        <v>101</v>
      </c>
    </row>
    <row r="643" spans="1:2" x14ac:dyDescent="0.2">
      <c r="A643" s="117">
        <v>35340</v>
      </c>
      <c r="B643" s="116">
        <f t="shared" si="9"/>
        <v>101</v>
      </c>
    </row>
    <row r="644" spans="1:2" x14ac:dyDescent="0.2">
      <c r="A644" s="117">
        <v>35341</v>
      </c>
      <c r="B644" s="116">
        <f t="shared" ref="B644:B707" si="10">VLOOKUP(WEEKNUM(A644),$D$4:$E$59,2)</f>
        <v>101</v>
      </c>
    </row>
    <row r="645" spans="1:2" x14ac:dyDescent="0.2">
      <c r="A645" s="117">
        <v>35342</v>
      </c>
      <c r="B645" s="116">
        <f t="shared" si="10"/>
        <v>101</v>
      </c>
    </row>
    <row r="646" spans="1:2" x14ac:dyDescent="0.2">
      <c r="A646" s="117">
        <v>35343</v>
      </c>
      <c r="B646" s="116">
        <f t="shared" si="10"/>
        <v>101</v>
      </c>
    </row>
    <row r="647" spans="1:2" x14ac:dyDescent="0.2">
      <c r="A647" s="117">
        <v>35344</v>
      </c>
      <c r="B647" s="116">
        <f t="shared" si="10"/>
        <v>102</v>
      </c>
    </row>
    <row r="648" spans="1:2" x14ac:dyDescent="0.2">
      <c r="A648" s="117">
        <v>35345</v>
      </c>
      <c r="B648" s="116">
        <f t="shared" si="10"/>
        <v>102</v>
      </c>
    </row>
    <row r="649" spans="1:2" x14ac:dyDescent="0.2">
      <c r="A649" s="117">
        <v>35346</v>
      </c>
      <c r="B649" s="116">
        <f t="shared" si="10"/>
        <v>102</v>
      </c>
    </row>
    <row r="650" spans="1:2" x14ac:dyDescent="0.2">
      <c r="A650" s="117">
        <v>35347</v>
      </c>
      <c r="B650" s="116">
        <f t="shared" si="10"/>
        <v>102</v>
      </c>
    </row>
    <row r="651" spans="1:2" x14ac:dyDescent="0.2">
      <c r="A651" s="117">
        <v>35348</v>
      </c>
      <c r="B651" s="116">
        <f t="shared" si="10"/>
        <v>102</v>
      </c>
    </row>
    <row r="652" spans="1:2" x14ac:dyDescent="0.2">
      <c r="A652" s="117">
        <v>35349</v>
      </c>
      <c r="B652" s="116">
        <f t="shared" si="10"/>
        <v>102</v>
      </c>
    </row>
    <row r="653" spans="1:2" x14ac:dyDescent="0.2">
      <c r="A653" s="117">
        <v>35350</v>
      </c>
      <c r="B653" s="116">
        <f t="shared" si="10"/>
        <v>102</v>
      </c>
    </row>
    <row r="654" spans="1:2" x14ac:dyDescent="0.2">
      <c r="A654" s="117">
        <v>35351</v>
      </c>
      <c r="B654" s="116">
        <f t="shared" si="10"/>
        <v>103</v>
      </c>
    </row>
    <row r="655" spans="1:2" x14ac:dyDescent="0.2">
      <c r="A655" s="117">
        <v>35352</v>
      </c>
      <c r="B655" s="116">
        <f t="shared" si="10"/>
        <v>103</v>
      </c>
    </row>
    <row r="656" spans="1:2" x14ac:dyDescent="0.2">
      <c r="A656" s="117">
        <v>35353</v>
      </c>
      <c r="B656" s="116">
        <f t="shared" si="10"/>
        <v>103</v>
      </c>
    </row>
    <row r="657" spans="1:2" x14ac:dyDescent="0.2">
      <c r="A657" s="117">
        <v>35354</v>
      </c>
      <c r="B657" s="116">
        <f t="shared" si="10"/>
        <v>103</v>
      </c>
    </row>
    <row r="658" spans="1:2" x14ac:dyDescent="0.2">
      <c r="A658" s="117">
        <v>35355</v>
      </c>
      <c r="B658" s="116">
        <f t="shared" si="10"/>
        <v>103</v>
      </c>
    </row>
    <row r="659" spans="1:2" x14ac:dyDescent="0.2">
      <c r="A659" s="117">
        <v>35356</v>
      </c>
      <c r="B659" s="116">
        <f t="shared" si="10"/>
        <v>103</v>
      </c>
    </row>
    <row r="660" spans="1:2" x14ac:dyDescent="0.2">
      <c r="A660" s="117">
        <v>35357</v>
      </c>
      <c r="B660" s="116">
        <f t="shared" si="10"/>
        <v>103</v>
      </c>
    </row>
    <row r="661" spans="1:2" x14ac:dyDescent="0.2">
      <c r="A661" s="117">
        <v>35358</v>
      </c>
      <c r="B661" s="116">
        <f t="shared" si="10"/>
        <v>104</v>
      </c>
    </row>
    <row r="662" spans="1:2" x14ac:dyDescent="0.2">
      <c r="A662" s="117">
        <v>35359</v>
      </c>
      <c r="B662" s="116">
        <f t="shared" si="10"/>
        <v>104</v>
      </c>
    </row>
    <row r="663" spans="1:2" x14ac:dyDescent="0.2">
      <c r="A663" s="117">
        <v>35360</v>
      </c>
      <c r="B663" s="116">
        <f t="shared" si="10"/>
        <v>104</v>
      </c>
    </row>
    <row r="664" spans="1:2" x14ac:dyDescent="0.2">
      <c r="A664" s="117">
        <v>35361</v>
      </c>
      <c r="B664" s="116">
        <f t="shared" si="10"/>
        <v>104</v>
      </c>
    </row>
    <row r="665" spans="1:2" x14ac:dyDescent="0.2">
      <c r="A665" s="117">
        <v>35362</v>
      </c>
      <c r="B665" s="116">
        <f t="shared" si="10"/>
        <v>104</v>
      </c>
    </row>
    <row r="666" spans="1:2" x14ac:dyDescent="0.2">
      <c r="A666" s="117">
        <v>35363</v>
      </c>
      <c r="B666" s="116">
        <f t="shared" si="10"/>
        <v>104</v>
      </c>
    </row>
    <row r="667" spans="1:2" x14ac:dyDescent="0.2">
      <c r="A667" s="117">
        <v>35364</v>
      </c>
      <c r="B667" s="116">
        <f t="shared" si="10"/>
        <v>104</v>
      </c>
    </row>
    <row r="668" spans="1:2" x14ac:dyDescent="0.2">
      <c r="A668" s="117">
        <v>35365</v>
      </c>
      <c r="B668" s="116">
        <f t="shared" si="10"/>
        <v>105</v>
      </c>
    </row>
    <row r="669" spans="1:2" x14ac:dyDescent="0.2">
      <c r="A669" s="117">
        <v>35366</v>
      </c>
      <c r="B669" s="116">
        <f t="shared" si="10"/>
        <v>105</v>
      </c>
    </row>
    <row r="670" spans="1:2" x14ac:dyDescent="0.2">
      <c r="A670" s="117">
        <v>35367</v>
      </c>
      <c r="B670" s="116">
        <f t="shared" si="10"/>
        <v>105</v>
      </c>
    </row>
    <row r="671" spans="1:2" x14ac:dyDescent="0.2">
      <c r="A671" s="117">
        <v>35368</v>
      </c>
      <c r="B671" s="116">
        <f t="shared" si="10"/>
        <v>105</v>
      </c>
    </row>
    <row r="672" spans="1:2" x14ac:dyDescent="0.2">
      <c r="A672" s="117">
        <v>35369</v>
      </c>
      <c r="B672" s="116">
        <f t="shared" si="10"/>
        <v>105</v>
      </c>
    </row>
    <row r="673" spans="1:2" x14ac:dyDescent="0.2">
      <c r="A673" s="117">
        <v>35370</v>
      </c>
      <c r="B673" s="116">
        <f t="shared" si="10"/>
        <v>105</v>
      </c>
    </row>
    <row r="674" spans="1:2" x14ac:dyDescent="0.2">
      <c r="A674" s="117">
        <v>35371</v>
      </c>
      <c r="B674" s="116">
        <f t="shared" si="10"/>
        <v>105</v>
      </c>
    </row>
    <row r="675" spans="1:2" x14ac:dyDescent="0.2">
      <c r="A675" s="117">
        <v>35372</v>
      </c>
      <c r="B675" s="116">
        <f t="shared" si="10"/>
        <v>111</v>
      </c>
    </row>
    <row r="676" spans="1:2" x14ac:dyDescent="0.2">
      <c r="A676" s="117">
        <v>35373</v>
      </c>
      <c r="B676" s="116">
        <f t="shared" si="10"/>
        <v>111</v>
      </c>
    </row>
    <row r="677" spans="1:2" x14ac:dyDescent="0.2">
      <c r="A677" s="117">
        <v>35374</v>
      </c>
      <c r="B677" s="116">
        <f t="shared" si="10"/>
        <v>111</v>
      </c>
    </row>
    <row r="678" spans="1:2" x14ac:dyDescent="0.2">
      <c r="A678" s="117">
        <v>35375</v>
      </c>
      <c r="B678" s="116">
        <f t="shared" si="10"/>
        <v>111</v>
      </c>
    </row>
    <row r="679" spans="1:2" x14ac:dyDescent="0.2">
      <c r="A679" s="117">
        <v>35376</v>
      </c>
      <c r="B679" s="116">
        <f t="shared" si="10"/>
        <v>111</v>
      </c>
    </row>
    <row r="680" spans="1:2" x14ac:dyDescent="0.2">
      <c r="A680" s="117">
        <v>35377</v>
      </c>
      <c r="B680" s="116">
        <f t="shared" si="10"/>
        <v>111</v>
      </c>
    </row>
    <row r="681" spans="1:2" x14ac:dyDescent="0.2">
      <c r="A681" s="117">
        <v>35378</v>
      </c>
      <c r="B681" s="116">
        <f t="shared" si="10"/>
        <v>111</v>
      </c>
    </row>
    <row r="682" spans="1:2" x14ac:dyDescent="0.2">
      <c r="A682" s="117">
        <v>35379</v>
      </c>
      <c r="B682" s="116">
        <f t="shared" si="10"/>
        <v>112</v>
      </c>
    </row>
    <row r="683" spans="1:2" x14ac:dyDescent="0.2">
      <c r="A683" s="117">
        <v>35380</v>
      </c>
      <c r="B683" s="116">
        <f t="shared" si="10"/>
        <v>112</v>
      </c>
    </row>
    <row r="684" spans="1:2" x14ac:dyDescent="0.2">
      <c r="A684" s="117">
        <v>35381</v>
      </c>
      <c r="B684" s="116">
        <f t="shared" si="10"/>
        <v>112</v>
      </c>
    </row>
    <row r="685" spans="1:2" x14ac:dyDescent="0.2">
      <c r="A685" s="117">
        <v>35382</v>
      </c>
      <c r="B685" s="116">
        <f t="shared" si="10"/>
        <v>112</v>
      </c>
    </row>
    <row r="686" spans="1:2" x14ac:dyDescent="0.2">
      <c r="A686" s="117">
        <v>35383</v>
      </c>
      <c r="B686" s="116">
        <f t="shared" si="10"/>
        <v>112</v>
      </c>
    </row>
    <row r="687" spans="1:2" x14ac:dyDescent="0.2">
      <c r="A687" s="117">
        <v>35384</v>
      </c>
      <c r="B687" s="116">
        <f t="shared" si="10"/>
        <v>112</v>
      </c>
    </row>
    <row r="688" spans="1:2" x14ac:dyDescent="0.2">
      <c r="A688" s="117">
        <v>35385</v>
      </c>
      <c r="B688" s="116">
        <f t="shared" si="10"/>
        <v>112</v>
      </c>
    </row>
    <row r="689" spans="1:2" x14ac:dyDescent="0.2">
      <c r="A689" s="117">
        <v>35386</v>
      </c>
      <c r="B689" s="116">
        <f t="shared" si="10"/>
        <v>113</v>
      </c>
    </row>
    <row r="690" spans="1:2" x14ac:dyDescent="0.2">
      <c r="A690" s="117">
        <v>35387</v>
      </c>
      <c r="B690" s="116">
        <f t="shared" si="10"/>
        <v>113</v>
      </c>
    </row>
    <row r="691" spans="1:2" x14ac:dyDescent="0.2">
      <c r="A691" s="117">
        <v>35388</v>
      </c>
      <c r="B691" s="116">
        <f t="shared" si="10"/>
        <v>113</v>
      </c>
    </row>
    <row r="692" spans="1:2" x14ac:dyDescent="0.2">
      <c r="A692" s="117">
        <v>35389</v>
      </c>
      <c r="B692" s="116">
        <f t="shared" si="10"/>
        <v>113</v>
      </c>
    </row>
    <row r="693" spans="1:2" x14ac:dyDescent="0.2">
      <c r="A693" s="117">
        <v>35390</v>
      </c>
      <c r="B693" s="116">
        <f t="shared" si="10"/>
        <v>113</v>
      </c>
    </row>
    <row r="694" spans="1:2" x14ac:dyDescent="0.2">
      <c r="A694" s="117">
        <v>35391</v>
      </c>
      <c r="B694" s="116">
        <f t="shared" si="10"/>
        <v>113</v>
      </c>
    </row>
    <row r="695" spans="1:2" x14ac:dyDescent="0.2">
      <c r="A695" s="117">
        <v>35392</v>
      </c>
      <c r="B695" s="116">
        <f t="shared" si="10"/>
        <v>113</v>
      </c>
    </row>
    <row r="696" spans="1:2" x14ac:dyDescent="0.2">
      <c r="A696" s="117">
        <v>35393</v>
      </c>
      <c r="B696" s="116">
        <f t="shared" si="10"/>
        <v>114</v>
      </c>
    </row>
    <row r="697" spans="1:2" x14ac:dyDescent="0.2">
      <c r="A697" s="117">
        <v>35394</v>
      </c>
      <c r="B697" s="116">
        <f t="shared" si="10"/>
        <v>114</v>
      </c>
    </row>
    <row r="698" spans="1:2" x14ac:dyDescent="0.2">
      <c r="A698" s="117">
        <v>35395</v>
      </c>
      <c r="B698" s="116">
        <f t="shared" si="10"/>
        <v>114</v>
      </c>
    </row>
    <row r="699" spans="1:2" x14ac:dyDescent="0.2">
      <c r="A699" s="117">
        <v>35396</v>
      </c>
      <c r="B699" s="116">
        <f t="shared" si="10"/>
        <v>114</v>
      </c>
    </row>
    <row r="700" spans="1:2" x14ac:dyDescent="0.2">
      <c r="A700" s="117">
        <v>35397</v>
      </c>
      <c r="B700" s="116">
        <f t="shared" si="10"/>
        <v>114</v>
      </c>
    </row>
    <row r="701" spans="1:2" x14ac:dyDescent="0.2">
      <c r="A701" s="117">
        <v>35398</v>
      </c>
      <c r="B701" s="116">
        <f t="shared" si="10"/>
        <v>114</v>
      </c>
    </row>
    <row r="702" spans="1:2" x14ac:dyDescent="0.2">
      <c r="A702" s="117">
        <v>35399</v>
      </c>
      <c r="B702" s="116">
        <f t="shared" si="10"/>
        <v>114</v>
      </c>
    </row>
    <row r="703" spans="1:2" x14ac:dyDescent="0.2">
      <c r="A703" s="117">
        <v>35400</v>
      </c>
      <c r="B703" s="116">
        <f t="shared" si="10"/>
        <v>115</v>
      </c>
    </row>
    <row r="704" spans="1:2" x14ac:dyDescent="0.2">
      <c r="A704" s="117">
        <v>35401</v>
      </c>
      <c r="B704" s="116">
        <f t="shared" si="10"/>
        <v>115</v>
      </c>
    </row>
    <row r="705" spans="1:2" x14ac:dyDescent="0.2">
      <c r="A705" s="117">
        <v>35402</v>
      </c>
      <c r="B705" s="116">
        <f t="shared" si="10"/>
        <v>115</v>
      </c>
    </row>
    <row r="706" spans="1:2" x14ac:dyDescent="0.2">
      <c r="A706" s="117">
        <v>35403</v>
      </c>
      <c r="B706" s="116">
        <f t="shared" si="10"/>
        <v>115</v>
      </c>
    </row>
    <row r="707" spans="1:2" x14ac:dyDescent="0.2">
      <c r="A707" s="117">
        <v>35404</v>
      </c>
      <c r="B707" s="116">
        <f t="shared" si="10"/>
        <v>115</v>
      </c>
    </row>
    <row r="708" spans="1:2" x14ac:dyDescent="0.2">
      <c r="A708" s="117">
        <v>35405</v>
      </c>
      <c r="B708" s="116">
        <f t="shared" ref="B708:B771" si="11">VLOOKUP(WEEKNUM(A708),$D$4:$E$59,2)</f>
        <v>115</v>
      </c>
    </row>
    <row r="709" spans="1:2" x14ac:dyDescent="0.2">
      <c r="A709" s="117">
        <v>35406</v>
      </c>
      <c r="B709" s="116">
        <f t="shared" si="11"/>
        <v>115</v>
      </c>
    </row>
    <row r="710" spans="1:2" x14ac:dyDescent="0.2">
      <c r="A710" s="117">
        <v>35407</v>
      </c>
      <c r="B710" s="116">
        <f t="shared" si="11"/>
        <v>121</v>
      </c>
    </row>
    <row r="711" spans="1:2" x14ac:dyDescent="0.2">
      <c r="A711" s="117">
        <v>35408</v>
      </c>
      <c r="B711" s="116">
        <f t="shared" si="11"/>
        <v>121</v>
      </c>
    </row>
    <row r="712" spans="1:2" x14ac:dyDescent="0.2">
      <c r="A712" s="117">
        <v>35409</v>
      </c>
      <c r="B712" s="116">
        <f t="shared" si="11"/>
        <v>121</v>
      </c>
    </row>
    <row r="713" spans="1:2" x14ac:dyDescent="0.2">
      <c r="A713" s="117">
        <v>35410</v>
      </c>
      <c r="B713" s="116">
        <f t="shared" si="11"/>
        <v>121</v>
      </c>
    </row>
    <row r="714" spans="1:2" x14ac:dyDescent="0.2">
      <c r="A714" s="117">
        <v>35411</v>
      </c>
      <c r="B714" s="116">
        <f t="shared" si="11"/>
        <v>121</v>
      </c>
    </row>
    <row r="715" spans="1:2" x14ac:dyDescent="0.2">
      <c r="A715" s="117">
        <v>35412</v>
      </c>
      <c r="B715" s="116">
        <f t="shared" si="11"/>
        <v>121</v>
      </c>
    </row>
    <row r="716" spans="1:2" x14ac:dyDescent="0.2">
      <c r="A716" s="117">
        <v>35413</v>
      </c>
      <c r="B716" s="116">
        <f t="shared" si="11"/>
        <v>121</v>
      </c>
    </row>
    <row r="717" spans="1:2" x14ac:dyDescent="0.2">
      <c r="A717" s="117">
        <v>35414</v>
      </c>
      <c r="B717" s="116">
        <f t="shared" si="11"/>
        <v>122</v>
      </c>
    </row>
    <row r="718" spans="1:2" x14ac:dyDescent="0.2">
      <c r="A718" s="117">
        <v>35415</v>
      </c>
      <c r="B718" s="116">
        <f t="shared" si="11"/>
        <v>122</v>
      </c>
    </row>
    <row r="719" spans="1:2" x14ac:dyDescent="0.2">
      <c r="A719" s="117">
        <v>35416</v>
      </c>
      <c r="B719" s="116">
        <f t="shared" si="11"/>
        <v>122</v>
      </c>
    </row>
    <row r="720" spans="1:2" x14ac:dyDescent="0.2">
      <c r="A720" s="117">
        <v>35417</v>
      </c>
      <c r="B720" s="116">
        <f t="shared" si="11"/>
        <v>122</v>
      </c>
    </row>
    <row r="721" spans="1:2" x14ac:dyDescent="0.2">
      <c r="A721" s="117">
        <v>35418</v>
      </c>
      <c r="B721" s="116">
        <f t="shared" si="11"/>
        <v>122</v>
      </c>
    </row>
    <row r="722" spans="1:2" x14ac:dyDescent="0.2">
      <c r="A722" s="117">
        <v>35419</v>
      </c>
      <c r="B722" s="116">
        <f t="shared" si="11"/>
        <v>122</v>
      </c>
    </row>
    <row r="723" spans="1:2" x14ac:dyDescent="0.2">
      <c r="A723" s="117">
        <v>35420</v>
      </c>
      <c r="B723" s="116">
        <f t="shared" si="11"/>
        <v>122</v>
      </c>
    </row>
    <row r="724" spans="1:2" x14ac:dyDescent="0.2">
      <c r="A724" s="117">
        <v>35421</v>
      </c>
      <c r="B724" s="116">
        <f t="shared" si="11"/>
        <v>123</v>
      </c>
    </row>
    <row r="725" spans="1:2" x14ac:dyDescent="0.2">
      <c r="A725" s="117">
        <v>35422</v>
      </c>
      <c r="B725" s="116">
        <f t="shared" si="11"/>
        <v>123</v>
      </c>
    </row>
    <row r="726" spans="1:2" x14ac:dyDescent="0.2">
      <c r="A726" s="117">
        <v>35423</v>
      </c>
      <c r="B726" s="116">
        <f t="shared" si="11"/>
        <v>123</v>
      </c>
    </row>
    <row r="727" spans="1:2" x14ac:dyDescent="0.2">
      <c r="A727" s="117">
        <v>35424</v>
      </c>
      <c r="B727" s="116">
        <f t="shared" si="11"/>
        <v>123</v>
      </c>
    </row>
    <row r="728" spans="1:2" x14ac:dyDescent="0.2">
      <c r="A728" s="117">
        <v>35425</v>
      </c>
      <c r="B728" s="116">
        <f t="shared" si="11"/>
        <v>123</v>
      </c>
    </row>
    <row r="729" spans="1:2" x14ac:dyDescent="0.2">
      <c r="A729" s="117">
        <v>35426</v>
      </c>
      <c r="B729" s="116">
        <f t="shared" si="11"/>
        <v>123</v>
      </c>
    </row>
    <row r="730" spans="1:2" x14ac:dyDescent="0.2">
      <c r="A730" s="117">
        <v>35427</v>
      </c>
      <c r="B730" s="116">
        <f t="shared" si="11"/>
        <v>123</v>
      </c>
    </row>
    <row r="731" spans="1:2" x14ac:dyDescent="0.2">
      <c r="A731" s="117">
        <v>35428</v>
      </c>
      <c r="B731" s="116">
        <f t="shared" si="11"/>
        <v>124</v>
      </c>
    </row>
    <row r="732" spans="1:2" x14ac:dyDescent="0.2">
      <c r="A732" s="117">
        <v>35429</v>
      </c>
      <c r="B732" s="116">
        <f t="shared" si="11"/>
        <v>124</v>
      </c>
    </row>
    <row r="733" spans="1:2" x14ac:dyDescent="0.2">
      <c r="A733" s="117">
        <v>35430</v>
      </c>
      <c r="B733" s="116">
        <f t="shared" si="11"/>
        <v>124</v>
      </c>
    </row>
    <row r="734" spans="1:2" x14ac:dyDescent="0.2">
      <c r="A734" s="117">
        <v>35431</v>
      </c>
      <c r="B734" s="116">
        <f t="shared" si="11"/>
        <v>11</v>
      </c>
    </row>
    <row r="735" spans="1:2" x14ac:dyDescent="0.2">
      <c r="A735" s="117">
        <v>35432</v>
      </c>
      <c r="B735" s="116">
        <f t="shared" si="11"/>
        <v>11</v>
      </c>
    </row>
    <row r="736" spans="1:2" x14ac:dyDescent="0.2">
      <c r="A736" s="117">
        <v>35433</v>
      </c>
      <c r="B736" s="116">
        <f t="shared" si="11"/>
        <v>11</v>
      </c>
    </row>
    <row r="737" spans="1:2" x14ac:dyDescent="0.2">
      <c r="A737" s="117">
        <v>35434</v>
      </c>
      <c r="B737" s="116">
        <f t="shared" si="11"/>
        <v>11</v>
      </c>
    </row>
    <row r="738" spans="1:2" x14ac:dyDescent="0.2">
      <c r="A738" s="117">
        <v>35435</v>
      </c>
      <c r="B738" s="116">
        <f t="shared" si="11"/>
        <v>12</v>
      </c>
    </row>
    <row r="739" spans="1:2" x14ac:dyDescent="0.2">
      <c r="A739" s="117">
        <v>35436</v>
      </c>
      <c r="B739" s="116">
        <f t="shared" si="11"/>
        <v>12</v>
      </c>
    </row>
    <row r="740" spans="1:2" x14ac:dyDescent="0.2">
      <c r="A740" s="117">
        <v>35437</v>
      </c>
      <c r="B740" s="116">
        <f t="shared" si="11"/>
        <v>12</v>
      </c>
    </row>
    <row r="741" spans="1:2" x14ac:dyDescent="0.2">
      <c r="A741" s="117">
        <v>35438</v>
      </c>
      <c r="B741" s="116">
        <f t="shared" si="11"/>
        <v>12</v>
      </c>
    </row>
    <row r="742" spans="1:2" x14ac:dyDescent="0.2">
      <c r="A742" s="117">
        <v>35439</v>
      </c>
      <c r="B742" s="116">
        <f t="shared" si="11"/>
        <v>12</v>
      </c>
    </row>
    <row r="743" spans="1:2" x14ac:dyDescent="0.2">
      <c r="A743" s="117">
        <v>35440</v>
      </c>
      <c r="B743" s="116">
        <f t="shared" si="11"/>
        <v>12</v>
      </c>
    </row>
    <row r="744" spans="1:2" x14ac:dyDescent="0.2">
      <c r="A744" s="117">
        <v>35441</v>
      </c>
      <c r="B744" s="116">
        <f t="shared" si="11"/>
        <v>12</v>
      </c>
    </row>
    <row r="745" spans="1:2" x14ac:dyDescent="0.2">
      <c r="A745" s="117">
        <v>35442</v>
      </c>
      <c r="B745" s="116">
        <f t="shared" si="11"/>
        <v>13</v>
      </c>
    </row>
    <row r="746" spans="1:2" x14ac:dyDescent="0.2">
      <c r="A746" s="117">
        <v>35443</v>
      </c>
      <c r="B746" s="116">
        <f t="shared" si="11"/>
        <v>13</v>
      </c>
    </row>
    <row r="747" spans="1:2" x14ac:dyDescent="0.2">
      <c r="A747" s="117">
        <v>35444</v>
      </c>
      <c r="B747" s="116">
        <f t="shared" si="11"/>
        <v>13</v>
      </c>
    </row>
    <row r="748" spans="1:2" x14ac:dyDescent="0.2">
      <c r="A748" s="117">
        <v>35445</v>
      </c>
      <c r="B748" s="116">
        <f t="shared" si="11"/>
        <v>13</v>
      </c>
    </row>
    <row r="749" spans="1:2" x14ac:dyDescent="0.2">
      <c r="A749" s="117">
        <v>35446</v>
      </c>
      <c r="B749" s="116">
        <f t="shared" si="11"/>
        <v>13</v>
      </c>
    </row>
    <row r="750" spans="1:2" x14ac:dyDescent="0.2">
      <c r="A750" s="117">
        <v>35447</v>
      </c>
      <c r="B750" s="116">
        <f t="shared" si="11"/>
        <v>13</v>
      </c>
    </row>
    <row r="751" spans="1:2" x14ac:dyDescent="0.2">
      <c r="A751" s="117">
        <v>35448</v>
      </c>
      <c r="B751" s="116">
        <f t="shared" si="11"/>
        <v>13</v>
      </c>
    </row>
    <row r="752" spans="1:2" x14ac:dyDescent="0.2">
      <c r="A752" s="117">
        <v>35449</v>
      </c>
      <c r="B752" s="116">
        <f t="shared" si="11"/>
        <v>14</v>
      </c>
    </row>
    <row r="753" spans="1:2" x14ac:dyDescent="0.2">
      <c r="A753" s="117">
        <v>35450</v>
      </c>
      <c r="B753" s="116">
        <f t="shared" si="11"/>
        <v>14</v>
      </c>
    </row>
    <row r="754" spans="1:2" x14ac:dyDescent="0.2">
      <c r="A754" s="117">
        <v>35451</v>
      </c>
      <c r="B754" s="116">
        <f t="shared" si="11"/>
        <v>14</v>
      </c>
    </row>
    <row r="755" spans="1:2" x14ac:dyDescent="0.2">
      <c r="A755" s="117">
        <v>35452</v>
      </c>
      <c r="B755" s="116">
        <f t="shared" si="11"/>
        <v>14</v>
      </c>
    </row>
    <row r="756" spans="1:2" x14ac:dyDescent="0.2">
      <c r="A756" s="117">
        <v>35453</v>
      </c>
      <c r="B756" s="116">
        <f t="shared" si="11"/>
        <v>14</v>
      </c>
    </row>
    <row r="757" spans="1:2" x14ac:dyDescent="0.2">
      <c r="A757" s="117">
        <v>35454</v>
      </c>
      <c r="B757" s="116">
        <f t="shared" si="11"/>
        <v>14</v>
      </c>
    </row>
    <row r="758" spans="1:2" x14ac:dyDescent="0.2">
      <c r="A758" s="117">
        <v>35455</v>
      </c>
      <c r="B758" s="116">
        <f t="shared" si="11"/>
        <v>14</v>
      </c>
    </row>
    <row r="759" spans="1:2" x14ac:dyDescent="0.2">
      <c r="A759" s="117">
        <v>35456</v>
      </c>
      <c r="B759" s="116">
        <f t="shared" si="11"/>
        <v>15</v>
      </c>
    </row>
    <row r="760" spans="1:2" x14ac:dyDescent="0.2">
      <c r="A760" s="117">
        <v>35457</v>
      </c>
      <c r="B760" s="116">
        <f t="shared" si="11"/>
        <v>15</v>
      </c>
    </row>
    <row r="761" spans="1:2" x14ac:dyDescent="0.2">
      <c r="A761" s="117">
        <v>35458</v>
      </c>
      <c r="B761" s="116">
        <f t="shared" si="11"/>
        <v>15</v>
      </c>
    </row>
    <row r="762" spans="1:2" x14ac:dyDescent="0.2">
      <c r="A762" s="117">
        <v>35459</v>
      </c>
      <c r="B762" s="116">
        <f t="shared" si="11"/>
        <v>15</v>
      </c>
    </row>
    <row r="763" spans="1:2" x14ac:dyDescent="0.2">
      <c r="A763" s="117">
        <v>35460</v>
      </c>
      <c r="B763" s="116">
        <f t="shared" si="11"/>
        <v>15</v>
      </c>
    </row>
    <row r="764" spans="1:2" x14ac:dyDescent="0.2">
      <c r="A764" s="117">
        <v>35461</v>
      </c>
      <c r="B764" s="116">
        <f t="shared" si="11"/>
        <v>15</v>
      </c>
    </row>
    <row r="765" spans="1:2" x14ac:dyDescent="0.2">
      <c r="A765" s="117">
        <v>35462</v>
      </c>
      <c r="B765" s="116">
        <f t="shared" si="11"/>
        <v>15</v>
      </c>
    </row>
    <row r="766" spans="1:2" x14ac:dyDescent="0.2">
      <c r="A766" s="117">
        <v>35463</v>
      </c>
      <c r="B766" s="116">
        <f t="shared" si="11"/>
        <v>21</v>
      </c>
    </row>
    <row r="767" spans="1:2" x14ac:dyDescent="0.2">
      <c r="A767" s="117">
        <v>35464</v>
      </c>
      <c r="B767" s="116">
        <f t="shared" si="11"/>
        <v>21</v>
      </c>
    </row>
    <row r="768" spans="1:2" x14ac:dyDescent="0.2">
      <c r="A768" s="117">
        <v>35465</v>
      </c>
      <c r="B768" s="116">
        <f t="shared" si="11"/>
        <v>21</v>
      </c>
    </row>
    <row r="769" spans="1:2" x14ac:dyDescent="0.2">
      <c r="A769" s="117">
        <v>35466</v>
      </c>
      <c r="B769" s="116">
        <f t="shared" si="11"/>
        <v>21</v>
      </c>
    </row>
    <row r="770" spans="1:2" x14ac:dyDescent="0.2">
      <c r="A770" s="117">
        <v>35467</v>
      </c>
      <c r="B770" s="116">
        <f t="shared" si="11"/>
        <v>21</v>
      </c>
    </row>
    <row r="771" spans="1:2" x14ac:dyDescent="0.2">
      <c r="A771" s="117">
        <v>35468</v>
      </c>
      <c r="B771" s="116">
        <f t="shared" si="11"/>
        <v>21</v>
      </c>
    </row>
    <row r="772" spans="1:2" x14ac:dyDescent="0.2">
      <c r="A772" s="117">
        <v>35469</v>
      </c>
      <c r="B772" s="116">
        <f t="shared" ref="B772:B835" si="12">VLOOKUP(WEEKNUM(A772),$D$4:$E$59,2)</f>
        <v>21</v>
      </c>
    </row>
    <row r="773" spans="1:2" x14ac:dyDescent="0.2">
      <c r="A773" s="117">
        <v>35470</v>
      </c>
      <c r="B773" s="116">
        <f t="shared" si="12"/>
        <v>22</v>
      </c>
    </row>
    <row r="774" spans="1:2" x14ac:dyDescent="0.2">
      <c r="A774" s="117">
        <v>35471</v>
      </c>
      <c r="B774" s="116">
        <f t="shared" si="12"/>
        <v>22</v>
      </c>
    </row>
    <row r="775" spans="1:2" x14ac:dyDescent="0.2">
      <c r="A775" s="117">
        <v>35472</v>
      </c>
      <c r="B775" s="116">
        <f t="shared" si="12"/>
        <v>22</v>
      </c>
    </row>
    <row r="776" spans="1:2" x14ac:dyDescent="0.2">
      <c r="A776" s="117">
        <v>35473</v>
      </c>
      <c r="B776" s="116">
        <f t="shared" si="12"/>
        <v>22</v>
      </c>
    </row>
    <row r="777" spans="1:2" x14ac:dyDescent="0.2">
      <c r="A777" s="117">
        <v>35474</v>
      </c>
      <c r="B777" s="116">
        <f t="shared" si="12"/>
        <v>22</v>
      </c>
    </row>
    <row r="778" spans="1:2" x14ac:dyDescent="0.2">
      <c r="A778" s="117">
        <v>35475</v>
      </c>
      <c r="B778" s="116">
        <f t="shared" si="12"/>
        <v>22</v>
      </c>
    </row>
    <row r="779" spans="1:2" x14ac:dyDescent="0.2">
      <c r="A779" s="117">
        <v>35476</v>
      </c>
      <c r="B779" s="116">
        <f t="shared" si="12"/>
        <v>22</v>
      </c>
    </row>
    <row r="780" spans="1:2" x14ac:dyDescent="0.2">
      <c r="A780" s="117">
        <v>35477</v>
      </c>
      <c r="B780" s="116">
        <f t="shared" si="12"/>
        <v>23</v>
      </c>
    </row>
    <row r="781" spans="1:2" x14ac:dyDescent="0.2">
      <c r="A781" s="117">
        <v>35478</v>
      </c>
      <c r="B781" s="116">
        <f t="shared" si="12"/>
        <v>23</v>
      </c>
    </row>
    <row r="782" spans="1:2" x14ac:dyDescent="0.2">
      <c r="A782" s="117">
        <v>35479</v>
      </c>
      <c r="B782" s="116">
        <f t="shared" si="12"/>
        <v>23</v>
      </c>
    </row>
    <row r="783" spans="1:2" x14ac:dyDescent="0.2">
      <c r="A783" s="117">
        <v>35480</v>
      </c>
      <c r="B783" s="116">
        <f t="shared" si="12"/>
        <v>23</v>
      </c>
    </row>
    <row r="784" spans="1:2" x14ac:dyDescent="0.2">
      <c r="A784" s="117">
        <v>35481</v>
      </c>
      <c r="B784" s="116">
        <f t="shared" si="12"/>
        <v>23</v>
      </c>
    </row>
    <row r="785" spans="1:2" x14ac:dyDescent="0.2">
      <c r="A785" s="117">
        <v>35482</v>
      </c>
      <c r="B785" s="116">
        <f t="shared" si="12"/>
        <v>23</v>
      </c>
    </row>
    <row r="786" spans="1:2" x14ac:dyDescent="0.2">
      <c r="A786" s="117">
        <v>35483</v>
      </c>
      <c r="B786" s="116">
        <f t="shared" si="12"/>
        <v>23</v>
      </c>
    </row>
    <row r="787" spans="1:2" x14ac:dyDescent="0.2">
      <c r="A787" s="117">
        <v>35484</v>
      </c>
      <c r="B787" s="116">
        <f t="shared" si="12"/>
        <v>24</v>
      </c>
    </row>
    <row r="788" spans="1:2" x14ac:dyDescent="0.2">
      <c r="A788" s="117">
        <v>35485</v>
      </c>
      <c r="B788" s="116">
        <f t="shared" si="12"/>
        <v>24</v>
      </c>
    </row>
    <row r="789" spans="1:2" x14ac:dyDescent="0.2">
      <c r="A789" s="117">
        <v>35486</v>
      </c>
      <c r="B789" s="116">
        <f t="shared" si="12"/>
        <v>24</v>
      </c>
    </row>
    <row r="790" spans="1:2" x14ac:dyDescent="0.2">
      <c r="A790" s="117">
        <v>35487</v>
      </c>
      <c r="B790" s="116">
        <f t="shared" si="12"/>
        <v>24</v>
      </c>
    </row>
    <row r="791" spans="1:2" x14ac:dyDescent="0.2">
      <c r="A791" s="117">
        <v>35488</v>
      </c>
      <c r="B791" s="116">
        <f t="shared" si="12"/>
        <v>24</v>
      </c>
    </row>
    <row r="792" spans="1:2" x14ac:dyDescent="0.2">
      <c r="A792" s="117">
        <v>35489</v>
      </c>
      <c r="B792" s="116">
        <f t="shared" si="12"/>
        <v>24</v>
      </c>
    </row>
    <row r="793" spans="1:2" x14ac:dyDescent="0.2">
      <c r="A793" s="117">
        <v>35490</v>
      </c>
      <c r="B793" s="116">
        <f t="shared" si="12"/>
        <v>24</v>
      </c>
    </row>
    <row r="794" spans="1:2" x14ac:dyDescent="0.2">
      <c r="A794" s="117">
        <v>35491</v>
      </c>
      <c r="B794" s="116">
        <f t="shared" si="12"/>
        <v>31</v>
      </c>
    </row>
    <row r="795" spans="1:2" x14ac:dyDescent="0.2">
      <c r="A795" s="117">
        <v>35492</v>
      </c>
      <c r="B795" s="116">
        <f t="shared" si="12"/>
        <v>31</v>
      </c>
    </row>
    <row r="796" spans="1:2" x14ac:dyDescent="0.2">
      <c r="A796" s="117">
        <v>35493</v>
      </c>
      <c r="B796" s="116">
        <f t="shared" si="12"/>
        <v>31</v>
      </c>
    </row>
    <row r="797" spans="1:2" x14ac:dyDescent="0.2">
      <c r="A797" s="117">
        <v>35494</v>
      </c>
      <c r="B797" s="116">
        <f t="shared" si="12"/>
        <v>31</v>
      </c>
    </row>
    <row r="798" spans="1:2" x14ac:dyDescent="0.2">
      <c r="A798" s="117">
        <v>35495</v>
      </c>
      <c r="B798" s="116">
        <f t="shared" si="12"/>
        <v>31</v>
      </c>
    </row>
    <row r="799" spans="1:2" x14ac:dyDescent="0.2">
      <c r="A799" s="117">
        <v>35496</v>
      </c>
      <c r="B799" s="116">
        <f t="shared" si="12"/>
        <v>31</v>
      </c>
    </row>
    <row r="800" spans="1:2" x14ac:dyDescent="0.2">
      <c r="A800" s="117">
        <v>35497</v>
      </c>
      <c r="B800" s="116">
        <f t="shared" si="12"/>
        <v>31</v>
      </c>
    </row>
    <row r="801" spans="1:2" x14ac:dyDescent="0.2">
      <c r="A801" s="117">
        <v>35498</v>
      </c>
      <c r="B801" s="116">
        <f t="shared" si="12"/>
        <v>32</v>
      </c>
    </row>
    <row r="802" spans="1:2" x14ac:dyDescent="0.2">
      <c r="A802" s="117">
        <v>35499</v>
      </c>
      <c r="B802" s="116">
        <f t="shared" si="12"/>
        <v>32</v>
      </c>
    </row>
    <row r="803" spans="1:2" x14ac:dyDescent="0.2">
      <c r="A803" s="117">
        <v>35500</v>
      </c>
      <c r="B803" s="116">
        <f t="shared" si="12"/>
        <v>32</v>
      </c>
    </row>
    <row r="804" spans="1:2" x14ac:dyDescent="0.2">
      <c r="A804" s="117">
        <v>35501</v>
      </c>
      <c r="B804" s="116">
        <f t="shared" si="12"/>
        <v>32</v>
      </c>
    </row>
    <row r="805" spans="1:2" x14ac:dyDescent="0.2">
      <c r="A805" s="117">
        <v>35502</v>
      </c>
      <c r="B805" s="116">
        <f t="shared" si="12"/>
        <v>32</v>
      </c>
    </row>
    <row r="806" spans="1:2" x14ac:dyDescent="0.2">
      <c r="A806" s="117">
        <v>35503</v>
      </c>
      <c r="B806" s="116">
        <f t="shared" si="12"/>
        <v>32</v>
      </c>
    </row>
    <row r="807" spans="1:2" x14ac:dyDescent="0.2">
      <c r="A807" s="117">
        <v>35504</v>
      </c>
      <c r="B807" s="116">
        <f t="shared" si="12"/>
        <v>32</v>
      </c>
    </row>
    <row r="808" spans="1:2" x14ac:dyDescent="0.2">
      <c r="A808" s="117">
        <v>35505</v>
      </c>
      <c r="B808" s="116">
        <f t="shared" si="12"/>
        <v>33</v>
      </c>
    </row>
    <row r="809" spans="1:2" x14ac:dyDescent="0.2">
      <c r="A809" s="117">
        <v>35506</v>
      </c>
      <c r="B809" s="116">
        <f t="shared" si="12"/>
        <v>33</v>
      </c>
    </row>
    <row r="810" spans="1:2" x14ac:dyDescent="0.2">
      <c r="A810" s="117">
        <v>35507</v>
      </c>
      <c r="B810" s="116">
        <f t="shared" si="12"/>
        <v>33</v>
      </c>
    </row>
    <row r="811" spans="1:2" x14ac:dyDescent="0.2">
      <c r="A811" s="117">
        <v>35508</v>
      </c>
      <c r="B811" s="116">
        <f t="shared" si="12"/>
        <v>33</v>
      </c>
    </row>
    <row r="812" spans="1:2" x14ac:dyDescent="0.2">
      <c r="A812" s="117">
        <v>35509</v>
      </c>
      <c r="B812" s="116">
        <f t="shared" si="12"/>
        <v>33</v>
      </c>
    </row>
    <row r="813" spans="1:2" x14ac:dyDescent="0.2">
      <c r="A813" s="117">
        <v>35510</v>
      </c>
      <c r="B813" s="116">
        <f t="shared" si="12"/>
        <v>33</v>
      </c>
    </row>
    <row r="814" spans="1:2" x14ac:dyDescent="0.2">
      <c r="A814" s="117">
        <v>35511</v>
      </c>
      <c r="B814" s="116">
        <f t="shared" si="12"/>
        <v>33</v>
      </c>
    </row>
    <row r="815" spans="1:2" x14ac:dyDescent="0.2">
      <c r="A815" s="117">
        <v>35512</v>
      </c>
      <c r="B815" s="116">
        <f t="shared" si="12"/>
        <v>34</v>
      </c>
    </row>
    <row r="816" spans="1:2" x14ac:dyDescent="0.2">
      <c r="A816" s="117">
        <v>35513</v>
      </c>
      <c r="B816" s="116">
        <f t="shared" si="12"/>
        <v>34</v>
      </c>
    </row>
    <row r="817" spans="1:2" x14ac:dyDescent="0.2">
      <c r="A817" s="117">
        <v>35514</v>
      </c>
      <c r="B817" s="116">
        <f t="shared" si="12"/>
        <v>34</v>
      </c>
    </row>
    <row r="818" spans="1:2" x14ac:dyDescent="0.2">
      <c r="A818" s="117">
        <v>35515</v>
      </c>
      <c r="B818" s="116">
        <f t="shared" si="12"/>
        <v>34</v>
      </c>
    </row>
    <row r="819" spans="1:2" x14ac:dyDescent="0.2">
      <c r="A819" s="117">
        <v>35516</v>
      </c>
      <c r="B819" s="116">
        <f t="shared" si="12"/>
        <v>34</v>
      </c>
    </row>
    <row r="820" spans="1:2" x14ac:dyDescent="0.2">
      <c r="A820" s="117">
        <v>35517</v>
      </c>
      <c r="B820" s="116">
        <f t="shared" si="12"/>
        <v>34</v>
      </c>
    </row>
    <row r="821" spans="1:2" x14ac:dyDescent="0.2">
      <c r="A821" s="117">
        <v>35518</v>
      </c>
      <c r="B821" s="116">
        <f t="shared" si="12"/>
        <v>34</v>
      </c>
    </row>
    <row r="822" spans="1:2" x14ac:dyDescent="0.2">
      <c r="A822" s="117">
        <v>35519</v>
      </c>
      <c r="B822" s="116">
        <f t="shared" si="12"/>
        <v>41</v>
      </c>
    </row>
    <row r="823" spans="1:2" x14ac:dyDescent="0.2">
      <c r="A823" s="117">
        <v>35520</v>
      </c>
      <c r="B823" s="116">
        <f t="shared" si="12"/>
        <v>41</v>
      </c>
    </row>
    <row r="824" spans="1:2" x14ac:dyDescent="0.2">
      <c r="A824" s="117">
        <v>35521</v>
      </c>
      <c r="B824" s="116">
        <f t="shared" si="12"/>
        <v>41</v>
      </c>
    </row>
    <row r="825" spans="1:2" x14ac:dyDescent="0.2">
      <c r="A825" s="117">
        <v>35522</v>
      </c>
      <c r="B825" s="116">
        <f t="shared" si="12"/>
        <v>41</v>
      </c>
    </row>
    <row r="826" spans="1:2" x14ac:dyDescent="0.2">
      <c r="A826" s="117">
        <v>35523</v>
      </c>
      <c r="B826" s="116">
        <f t="shared" si="12"/>
        <v>41</v>
      </c>
    </row>
    <row r="827" spans="1:2" x14ac:dyDescent="0.2">
      <c r="A827" s="117">
        <v>35524</v>
      </c>
      <c r="B827" s="116">
        <f t="shared" si="12"/>
        <v>41</v>
      </c>
    </row>
    <row r="828" spans="1:2" x14ac:dyDescent="0.2">
      <c r="A828" s="117">
        <v>35525</v>
      </c>
      <c r="B828" s="116">
        <f t="shared" si="12"/>
        <v>41</v>
      </c>
    </row>
    <row r="829" spans="1:2" x14ac:dyDescent="0.2">
      <c r="A829" s="117">
        <v>35526</v>
      </c>
      <c r="B829" s="116">
        <f t="shared" si="12"/>
        <v>42</v>
      </c>
    </row>
    <row r="830" spans="1:2" x14ac:dyDescent="0.2">
      <c r="A830" s="117">
        <v>35527</v>
      </c>
      <c r="B830" s="116">
        <f t="shared" si="12"/>
        <v>42</v>
      </c>
    </row>
    <row r="831" spans="1:2" x14ac:dyDescent="0.2">
      <c r="A831" s="117">
        <v>35528</v>
      </c>
      <c r="B831" s="116">
        <f t="shared" si="12"/>
        <v>42</v>
      </c>
    </row>
    <row r="832" spans="1:2" x14ac:dyDescent="0.2">
      <c r="A832" s="117">
        <v>35529</v>
      </c>
      <c r="B832" s="116">
        <f t="shared" si="12"/>
        <v>42</v>
      </c>
    </row>
    <row r="833" spans="1:2" x14ac:dyDescent="0.2">
      <c r="A833" s="117">
        <v>35530</v>
      </c>
      <c r="B833" s="116">
        <f t="shared" si="12"/>
        <v>42</v>
      </c>
    </row>
    <row r="834" spans="1:2" x14ac:dyDescent="0.2">
      <c r="A834" s="117">
        <v>35531</v>
      </c>
      <c r="B834" s="116">
        <f t="shared" si="12"/>
        <v>42</v>
      </c>
    </row>
    <row r="835" spans="1:2" x14ac:dyDescent="0.2">
      <c r="A835" s="117">
        <v>35532</v>
      </c>
      <c r="B835" s="116">
        <f t="shared" si="12"/>
        <v>42</v>
      </c>
    </row>
    <row r="836" spans="1:2" x14ac:dyDescent="0.2">
      <c r="A836" s="117">
        <v>35533</v>
      </c>
      <c r="B836" s="116">
        <f t="shared" ref="B836:B899" si="13">VLOOKUP(WEEKNUM(A836),$D$4:$E$59,2)</f>
        <v>43</v>
      </c>
    </row>
    <row r="837" spans="1:2" x14ac:dyDescent="0.2">
      <c r="A837" s="117">
        <v>35534</v>
      </c>
      <c r="B837" s="116">
        <f t="shared" si="13"/>
        <v>43</v>
      </c>
    </row>
    <row r="838" spans="1:2" x14ac:dyDescent="0.2">
      <c r="A838" s="117">
        <v>35535</v>
      </c>
      <c r="B838" s="116">
        <f t="shared" si="13"/>
        <v>43</v>
      </c>
    </row>
    <row r="839" spans="1:2" x14ac:dyDescent="0.2">
      <c r="A839" s="117">
        <v>35536</v>
      </c>
      <c r="B839" s="116">
        <f t="shared" si="13"/>
        <v>43</v>
      </c>
    </row>
    <row r="840" spans="1:2" x14ac:dyDescent="0.2">
      <c r="A840" s="117">
        <v>35537</v>
      </c>
      <c r="B840" s="116">
        <f t="shared" si="13"/>
        <v>43</v>
      </c>
    </row>
    <row r="841" spans="1:2" x14ac:dyDescent="0.2">
      <c r="A841" s="117">
        <v>35538</v>
      </c>
      <c r="B841" s="116">
        <f t="shared" si="13"/>
        <v>43</v>
      </c>
    </row>
    <row r="842" spans="1:2" x14ac:dyDescent="0.2">
      <c r="A842" s="117">
        <v>35539</v>
      </c>
      <c r="B842" s="116">
        <f t="shared" si="13"/>
        <v>43</v>
      </c>
    </row>
    <row r="843" spans="1:2" x14ac:dyDescent="0.2">
      <c r="A843" s="117">
        <v>35540</v>
      </c>
      <c r="B843" s="116">
        <f t="shared" si="13"/>
        <v>44</v>
      </c>
    </row>
    <row r="844" spans="1:2" x14ac:dyDescent="0.2">
      <c r="A844" s="117">
        <v>35541</v>
      </c>
      <c r="B844" s="116">
        <f t="shared" si="13"/>
        <v>44</v>
      </c>
    </row>
    <row r="845" spans="1:2" x14ac:dyDescent="0.2">
      <c r="A845" s="117">
        <v>35542</v>
      </c>
      <c r="B845" s="116">
        <f t="shared" si="13"/>
        <v>44</v>
      </c>
    </row>
    <row r="846" spans="1:2" x14ac:dyDescent="0.2">
      <c r="A846" s="117">
        <v>35543</v>
      </c>
      <c r="B846" s="116">
        <f t="shared" si="13"/>
        <v>44</v>
      </c>
    </row>
    <row r="847" spans="1:2" x14ac:dyDescent="0.2">
      <c r="A847" s="117">
        <v>35544</v>
      </c>
      <c r="B847" s="116">
        <f t="shared" si="13"/>
        <v>44</v>
      </c>
    </row>
    <row r="848" spans="1:2" x14ac:dyDescent="0.2">
      <c r="A848" s="117">
        <v>35545</v>
      </c>
      <c r="B848" s="116">
        <f t="shared" si="13"/>
        <v>44</v>
      </c>
    </row>
    <row r="849" spans="1:2" x14ac:dyDescent="0.2">
      <c r="A849" s="117">
        <v>35546</v>
      </c>
      <c r="B849" s="116">
        <f t="shared" si="13"/>
        <v>44</v>
      </c>
    </row>
    <row r="850" spans="1:2" x14ac:dyDescent="0.2">
      <c r="A850" s="117">
        <v>35547</v>
      </c>
      <c r="B850" s="116">
        <f t="shared" si="13"/>
        <v>45</v>
      </c>
    </row>
    <row r="851" spans="1:2" x14ac:dyDescent="0.2">
      <c r="A851" s="117">
        <v>35548</v>
      </c>
      <c r="B851" s="116">
        <f t="shared" si="13"/>
        <v>45</v>
      </c>
    </row>
    <row r="852" spans="1:2" x14ac:dyDescent="0.2">
      <c r="A852" s="117">
        <v>35549</v>
      </c>
      <c r="B852" s="116">
        <f t="shared" si="13"/>
        <v>45</v>
      </c>
    </row>
    <row r="853" spans="1:2" x14ac:dyDescent="0.2">
      <c r="A853" s="117">
        <v>35550</v>
      </c>
      <c r="B853" s="116">
        <f t="shared" si="13"/>
        <v>45</v>
      </c>
    </row>
    <row r="854" spans="1:2" x14ac:dyDescent="0.2">
      <c r="A854" s="117">
        <v>35551</v>
      </c>
      <c r="B854" s="116">
        <f t="shared" si="13"/>
        <v>45</v>
      </c>
    </row>
    <row r="855" spans="1:2" x14ac:dyDescent="0.2">
      <c r="A855" s="117">
        <v>35552</v>
      </c>
      <c r="B855" s="116">
        <f t="shared" si="13"/>
        <v>45</v>
      </c>
    </row>
    <row r="856" spans="1:2" x14ac:dyDescent="0.2">
      <c r="A856" s="117">
        <v>35553</v>
      </c>
      <c r="B856" s="116">
        <f t="shared" si="13"/>
        <v>45</v>
      </c>
    </row>
    <row r="857" spans="1:2" x14ac:dyDescent="0.2">
      <c r="A857" s="117">
        <v>35554</v>
      </c>
      <c r="B857" s="116">
        <f t="shared" si="13"/>
        <v>51</v>
      </c>
    </row>
    <row r="858" spans="1:2" x14ac:dyDescent="0.2">
      <c r="A858" s="117">
        <v>35555</v>
      </c>
      <c r="B858" s="116">
        <f t="shared" si="13"/>
        <v>51</v>
      </c>
    </row>
    <row r="859" spans="1:2" x14ac:dyDescent="0.2">
      <c r="A859" s="117">
        <v>35556</v>
      </c>
      <c r="B859" s="116">
        <f t="shared" si="13"/>
        <v>51</v>
      </c>
    </row>
    <row r="860" spans="1:2" x14ac:dyDescent="0.2">
      <c r="A860" s="117">
        <v>35557</v>
      </c>
      <c r="B860" s="116">
        <f t="shared" si="13"/>
        <v>51</v>
      </c>
    </row>
    <row r="861" spans="1:2" x14ac:dyDescent="0.2">
      <c r="A861" s="117">
        <v>35558</v>
      </c>
      <c r="B861" s="116">
        <f t="shared" si="13"/>
        <v>51</v>
      </c>
    </row>
    <row r="862" spans="1:2" x14ac:dyDescent="0.2">
      <c r="A862" s="117">
        <v>35559</v>
      </c>
      <c r="B862" s="116">
        <f t="shared" si="13"/>
        <v>51</v>
      </c>
    </row>
    <row r="863" spans="1:2" x14ac:dyDescent="0.2">
      <c r="A863" s="117">
        <v>35560</v>
      </c>
      <c r="B863" s="116">
        <f t="shared" si="13"/>
        <v>51</v>
      </c>
    </row>
    <row r="864" spans="1:2" x14ac:dyDescent="0.2">
      <c r="A864" s="117">
        <v>35561</v>
      </c>
      <c r="B864" s="116">
        <f t="shared" si="13"/>
        <v>52</v>
      </c>
    </row>
    <row r="865" spans="1:2" x14ac:dyDescent="0.2">
      <c r="A865" s="117">
        <v>35562</v>
      </c>
      <c r="B865" s="116">
        <f t="shared" si="13"/>
        <v>52</v>
      </c>
    </row>
    <row r="866" spans="1:2" x14ac:dyDescent="0.2">
      <c r="A866" s="117">
        <v>35563</v>
      </c>
      <c r="B866" s="116">
        <f t="shared" si="13"/>
        <v>52</v>
      </c>
    </row>
    <row r="867" spans="1:2" x14ac:dyDescent="0.2">
      <c r="A867" s="117">
        <v>35564</v>
      </c>
      <c r="B867" s="116">
        <f t="shared" si="13"/>
        <v>52</v>
      </c>
    </row>
    <row r="868" spans="1:2" x14ac:dyDescent="0.2">
      <c r="A868" s="117">
        <v>35565</v>
      </c>
      <c r="B868" s="116">
        <f t="shared" si="13"/>
        <v>52</v>
      </c>
    </row>
    <row r="869" spans="1:2" x14ac:dyDescent="0.2">
      <c r="A869" s="117">
        <v>35566</v>
      </c>
      <c r="B869" s="116">
        <f t="shared" si="13"/>
        <v>52</v>
      </c>
    </row>
    <row r="870" spans="1:2" x14ac:dyDescent="0.2">
      <c r="A870" s="117">
        <v>35567</v>
      </c>
      <c r="B870" s="116">
        <f t="shared" si="13"/>
        <v>52</v>
      </c>
    </row>
    <row r="871" spans="1:2" x14ac:dyDescent="0.2">
      <c r="A871" s="117">
        <v>35568</v>
      </c>
      <c r="B871" s="116">
        <f t="shared" si="13"/>
        <v>53</v>
      </c>
    </row>
    <row r="872" spans="1:2" x14ac:dyDescent="0.2">
      <c r="A872" s="117">
        <v>35569</v>
      </c>
      <c r="B872" s="116">
        <f t="shared" si="13"/>
        <v>53</v>
      </c>
    </row>
    <row r="873" spans="1:2" x14ac:dyDescent="0.2">
      <c r="A873" s="117">
        <v>35570</v>
      </c>
      <c r="B873" s="116">
        <f t="shared" si="13"/>
        <v>53</v>
      </c>
    </row>
    <row r="874" spans="1:2" x14ac:dyDescent="0.2">
      <c r="A874" s="117">
        <v>35571</v>
      </c>
      <c r="B874" s="116">
        <f t="shared" si="13"/>
        <v>53</v>
      </c>
    </row>
    <row r="875" spans="1:2" x14ac:dyDescent="0.2">
      <c r="A875" s="117">
        <v>35572</v>
      </c>
      <c r="B875" s="116">
        <f t="shared" si="13"/>
        <v>53</v>
      </c>
    </row>
    <row r="876" spans="1:2" x14ac:dyDescent="0.2">
      <c r="A876" s="117">
        <v>35573</v>
      </c>
      <c r="B876" s="116">
        <f t="shared" si="13"/>
        <v>53</v>
      </c>
    </row>
    <row r="877" spans="1:2" x14ac:dyDescent="0.2">
      <c r="A877" s="117">
        <v>35574</v>
      </c>
      <c r="B877" s="116">
        <f t="shared" si="13"/>
        <v>53</v>
      </c>
    </row>
    <row r="878" spans="1:2" x14ac:dyDescent="0.2">
      <c r="A878" s="117">
        <v>35575</v>
      </c>
      <c r="B878" s="116">
        <f t="shared" si="13"/>
        <v>54</v>
      </c>
    </row>
    <row r="879" spans="1:2" x14ac:dyDescent="0.2">
      <c r="A879" s="117">
        <v>35576</v>
      </c>
      <c r="B879" s="116">
        <f t="shared" si="13"/>
        <v>54</v>
      </c>
    </row>
    <row r="880" spans="1:2" x14ac:dyDescent="0.2">
      <c r="A880" s="117">
        <v>35577</v>
      </c>
      <c r="B880" s="116">
        <f t="shared" si="13"/>
        <v>54</v>
      </c>
    </row>
    <row r="881" spans="1:2" x14ac:dyDescent="0.2">
      <c r="A881" s="117">
        <v>35578</v>
      </c>
      <c r="B881" s="116">
        <f t="shared" si="13"/>
        <v>54</v>
      </c>
    </row>
    <row r="882" spans="1:2" x14ac:dyDescent="0.2">
      <c r="A882" s="117">
        <v>35579</v>
      </c>
      <c r="B882" s="116">
        <f t="shared" si="13"/>
        <v>54</v>
      </c>
    </row>
    <row r="883" spans="1:2" x14ac:dyDescent="0.2">
      <c r="A883" s="117">
        <v>35580</v>
      </c>
      <c r="B883" s="116">
        <f t="shared" si="13"/>
        <v>54</v>
      </c>
    </row>
    <row r="884" spans="1:2" x14ac:dyDescent="0.2">
      <c r="A884" s="117">
        <v>35581</v>
      </c>
      <c r="B884" s="116">
        <f t="shared" si="13"/>
        <v>54</v>
      </c>
    </row>
    <row r="885" spans="1:2" x14ac:dyDescent="0.2">
      <c r="A885" s="117">
        <v>35582</v>
      </c>
      <c r="B885" s="116">
        <f t="shared" si="13"/>
        <v>61</v>
      </c>
    </row>
    <row r="886" spans="1:2" x14ac:dyDescent="0.2">
      <c r="A886" s="117">
        <v>35583</v>
      </c>
      <c r="B886" s="116">
        <f t="shared" si="13"/>
        <v>61</v>
      </c>
    </row>
    <row r="887" spans="1:2" x14ac:dyDescent="0.2">
      <c r="A887" s="117">
        <v>35584</v>
      </c>
      <c r="B887" s="116">
        <f t="shared" si="13"/>
        <v>61</v>
      </c>
    </row>
    <row r="888" spans="1:2" x14ac:dyDescent="0.2">
      <c r="A888" s="117">
        <v>35585</v>
      </c>
      <c r="B888" s="116">
        <f t="shared" si="13"/>
        <v>61</v>
      </c>
    </row>
    <row r="889" spans="1:2" x14ac:dyDescent="0.2">
      <c r="A889" s="117">
        <v>35586</v>
      </c>
      <c r="B889" s="116">
        <f t="shared" si="13"/>
        <v>61</v>
      </c>
    </row>
    <row r="890" spans="1:2" x14ac:dyDescent="0.2">
      <c r="A890" s="117">
        <v>35587</v>
      </c>
      <c r="B890" s="116">
        <f t="shared" si="13"/>
        <v>61</v>
      </c>
    </row>
    <row r="891" spans="1:2" x14ac:dyDescent="0.2">
      <c r="A891" s="117">
        <v>35588</v>
      </c>
      <c r="B891" s="116">
        <f t="shared" si="13"/>
        <v>61</v>
      </c>
    </row>
    <row r="892" spans="1:2" x14ac:dyDescent="0.2">
      <c r="A892" s="117">
        <v>35589</v>
      </c>
      <c r="B892" s="116">
        <f t="shared" si="13"/>
        <v>62</v>
      </c>
    </row>
    <row r="893" spans="1:2" x14ac:dyDescent="0.2">
      <c r="A893" s="117">
        <v>35590</v>
      </c>
      <c r="B893" s="116">
        <f t="shared" si="13"/>
        <v>62</v>
      </c>
    </row>
    <row r="894" spans="1:2" x14ac:dyDescent="0.2">
      <c r="A894" s="117">
        <v>35591</v>
      </c>
      <c r="B894" s="116">
        <f t="shared" si="13"/>
        <v>62</v>
      </c>
    </row>
    <row r="895" spans="1:2" x14ac:dyDescent="0.2">
      <c r="A895" s="117">
        <v>35592</v>
      </c>
      <c r="B895" s="116">
        <f t="shared" si="13"/>
        <v>62</v>
      </c>
    </row>
    <row r="896" spans="1:2" x14ac:dyDescent="0.2">
      <c r="A896" s="117">
        <v>35593</v>
      </c>
      <c r="B896" s="116">
        <f t="shared" si="13"/>
        <v>62</v>
      </c>
    </row>
    <row r="897" spans="1:2" x14ac:dyDescent="0.2">
      <c r="A897" s="117">
        <v>35594</v>
      </c>
      <c r="B897" s="116">
        <f t="shared" si="13"/>
        <v>62</v>
      </c>
    </row>
    <row r="898" spans="1:2" x14ac:dyDescent="0.2">
      <c r="A898" s="117">
        <v>35595</v>
      </c>
      <c r="B898" s="116">
        <f t="shared" si="13"/>
        <v>62</v>
      </c>
    </row>
    <row r="899" spans="1:2" x14ac:dyDescent="0.2">
      <c r="A899" s="117">
        <v>35596</v>
      </c>
      <c r="B899" s="116">
        <f t="shared" si="13"/>
        <v>63</v>
      </c>
    </row>
    <row r="900" spans="1:2" x14ac:dyDescent="0.2">
      <c r="A900" s="117">
        <v>35597</v>
      </c>
      <c r="B900" s="116">
        <f t="shared" ref="B900:B963" si="14">VLOOKUP(WEEKNUM(A900),$D$4:$E$59,2)</f>
        <v>63</v>
      </c>
    </row>
    <row r="901" spans="1:2" x14ac:dyDescent="0.2">
      <c r="A901" s="117">
        <v>35598</v>
      </c>
      <c r="B901" s="116">
        <f t="shared" si="14"/>
        <v>63</v>
      </c>
    </row>
    <row r="902" spans="1:2" x14ac:dyDescent="0.2">
      <c r="A902" s="117">
        <v>35599</v>
      </c>
      <c r="B902" s="116">
        <f t="shared" si="14"/>
        <v>63</v>
      </c>
    </row>
    <row r="903" spans="1:2" x14ac:dyDescent="0.2">
      <c r="A903" s="117">
        <v>35600</v>
      </c>
      <c r="B903" s="116">
        <f t="shared" si="14"/>
        <v>63</v>
      </c>
    </row>
    <row r="904" spans="1:2" x14ac:dyDescent="0.2">
      <c r="A904" s="117">
        <v>35601</v>
      </c>
      <c r="B904" s="116">
        <f t="shared" si="14"/>
        <v>63</v>
      </c>
    </row>
    <row r="905" spans="1:2" x14ac:dyDescent="0.2">
      <c r="A905" s="117">
        <v>35602</v>
      </c>
      <c r="B905" s="116">
        <f t="shared" si="14"/>
        <v>63</v>
      </c>
    </row>
    <row r="906" spans="1:2" x14ac:dyDescent="0.2">
      <c r="A906" s="117">
        <v>35603</v>
      </c>
      <c r="B906" s="116">
        <f t="shared" si="14"/>
        <v>64</v>
      </c>
    </row>
    <row r="907" spans="1:2" x14ac:dyDescent="0.2">
      <c r="A907" s="117">
        <v>35604</v>
      </c>
      <c r="B907" s="116">
        <f t="shared" si="14"/>
        <v>64</v>
      </c>
    </row>
    <row r="908" spans="1:2" x14ac:dyDescent="0.2">
      <c r="A908" s="117">
        <v>35605</v>
      </c>
      <c r="B908" s="116">
        <f t="shared" si="14"/>
        <v>64</v>
      </c>
    </row>
    <row r="909" spans="1:2" x14ac:dyDescent="0.2">
      <c r="A909" s="117">
        <v>35606</v>
      </c>
      <c r="B909" s="116">
        <f t="shared" si="14"/>
        <v>64</v>
      </c>
    </row>
    <row r="910" spans="1:2" x14ac:dyDescent="0.2">
      <c r="A910" s="117">
        <v>35607</v>
      </c>
      <c r="B910" s="116">
        <f t="shared" si="14"/>
        <v>64</v>
      </c>
    </row>
    <row r="911" spans="1:2" x14ac:dyDescent="0.2">
      <c r="A911" s="117">
        <v>35608</v>
      </c>
      <c r="B911" s="116">
        <f t="shared" si="14"/>
        <v>64</v>
      </c>
    </row>
    <row r="912" spans="1:2" x14ac:dyDescent="0.2">
      <c r="A912" s="117">
        <v>35609</v>
      </c>
      <c r="B912" s="116">
        <f t="shared" si="14"/>
        <v>64</v>
      </c>
    </row>
    <row r="913" spans="1:2" x14ac:dyDescent="0.2">
      <c r="A913" s="117">
        <v>35610</v>
      </c>
      <c r="B913" s="116">
        <f t="shared" si="14"/>
        <v>71</v>
      </c>
    </row>
    <row r="914" spans="1:2" x14ac:dyDescent="0.2">
      <c r="A914" s="117">
        <v>35611</v>
      </c>
      <c r="B914" s="116">
        <f t="shared" si="14"/>
        <v>71</v>
      </c>
    </row>
    <row r="915" spans="1:2" x14ac:dyDescent="0.2">
      <c r="A915" s="117">
        <v>35612</v>
      </c>
      <c r="B915" s="116">
        <f t="shared" si="14"/>
        <v>71</v>
      </c>
    </row>
    <row r="916" spans="1:2" x14ac:dyDescent="0.2">
      <c r="A916" s="117">
        <v>35613</v>
      </c>
      <c r="B916" s="116">
        <f t="shared" si="14"/>
        <v>71</v>
      </c>
    </row>
    <row r="917" spans="1:2" x14ac:dyDescent="0.2">
      <c r="A917" s="117">
        <v>35614</v>
      </c>
      <c r="B917" s="116">
        <f t="shared" si="14"/>
        <v>71</v>
      </c>
    </row>
    <row r="918" spans="1:2" x14ac:dyDescent="0.2">
      <c r="A918" s="117">
        <v>35615</v>
      </c>
      <c r="B918" s="116">
        <f t="shared" si="14"/>
        <v>71</v>
      </c>
    </row>
    <row r="919" spans="1:2" x14ac:dyDescent="0.2">
      <c r="A919" s="117">
        <v>35616</v>
      </c>
      <c r="B919" s="116">
        <f t="shared" si="14"/>
        <v>71</v>
      </c>
    </row>
    <row r="920" spans="1:2" x14ac:dyDescent="0.2">
      <c r="A920" s="117">
        <v>35617</v>
      </c>
      <c r="B920" s="116">
        <f t="shared" si="14"/>
        <v>72</v>
      </c>
    </row>
    <row r="921" spans="1:2" x14ac:dyDescent="0.2">
      <c r="A921" s="117">
        <v>35618</v>
      </c>
      <c r="B921" s="116">
        <f t="shared" si="14"/>
        <v>72</v>
      </c>
    </row>
    <row r="922" spans="1:2" x14ac:dyDescent="0.2">
      <c r="A922" s="117">
        <v>35619</v>
      </c>
      <c r="B922" s="116">
        <f t="shared" si="14"/>
        <v>72</v>
      </c>
    </row>
    <row r="923" spans="1:2" x14ac:dyDescent="0.2">
      <c r="A923" s="117">
        <v>35620</v>
      </c>
      <c r="B923" s="116">
        <f t="shared" si="14"/>
        <v>72</v>
      </c>
    </row>
    <row r="924" spans="1:2" x14ac:dyDescent="0.2">
      <c r="A924" s="117">
        <v>35621</v>
      </c>
      <c r="B924" s="116">
        <f t="shared" si="14"/>
        <v>72</v>
      </c>
    </row>
    <row r="925" spans="1:2" x14ac:dyDescent="0.2">
      <c r="A925" s="117">
        <v>35622</v>
      </c>
      <c r="B925" s="116">
        <f t="shared" si="14"/>
        <v>72</v>
      </c>
    </row>
    <row r="926" spans="1:2" x14ac:dyDescent="0.2">
      <c r="A926" s="117">
        <v>35623</v>
      </c>
      <c r="B926" s="116">
        <f t="shared" si="14"/>
        <v>72</v>
      </c>
    </row>
    <row r="927" spans="1:2" x14ac:dyDescent="0.2">
      <c r="A927" s="117">
        <v>35624</v>
      </c>
      <c r="B927" s="116">
        <f t="shared" si="14"/>
        <v>73</v>
      </c>
    </row>
    <row r="928" spans="1:2" x14ac:dyDescent="0.2">
      <c r="A928" s="117">
        <v>35625</v>
      </c>
      <c r="B928" s="116">
        <f t="shared" si="14"/>
        <v>73</v>
      </c>
    </row>
    <row r="929" spans="1:2" x14ac:dyDescent="0.2">
      <c r="A929" s="117">
        <v>35626</v>
      </c>
      <c r="B929" s="116">
        <f t="shared" si="14"/>
        <v>73</v>
      </c>
    </row>
    <row r="930" spans="1:2" x14ac:dyDescent="0.2">
      <c r="A930" s="117">
        <v>35627</v>
      </c>
      <c r="B930" s="116">
        <f t="shared" si="14"/>
        <v>73</v>
      </c>
    </row>
    <row r="931" spans="1:2" x14ac:dyDescent="0.2">
      <c r="A931" s="117">
        <v>35628</v>
      </c>
      <c r="B931" s="116">
        <f t="shared" si="14"/>
        <v>73</v>
      </c>
    </row>
    <row r="932" spans="1:2" x14ac:dyDescent="0.2">
      <c r="A932" s="117">
        <v>35629</v>
      </c>
      <c r="B932" s="116">
        <f t="shared" si="14"/>
        <v>73</v>
      </c>
    </row>
    <row r="933" spans="1:2" x14ac:dyDescent="0.2">
      <c r="A933" s="117">
        <v>35630</v>
      </c>
      <c r="B933" s="116">
        <f t="shared" si="14"/>
        <v>73</v>
      </c>
    </row>
    <row r="934" spans="1:2" x14ac:dyDescent="0.2">
      <c r="A934" s="117">
        <v>35631</v>
      </c>
      <c r="B934" s="116">
        <f t="shared" si="14"/>
        <v>74</v>
      </c>
    </row>
    <row r="935" spans="1:2" x14ac:dyDescent="0.2">
      <c r="A935" s="117">
        <v>35632</v>
      </c>
      <c r="B935" s="116">
        <f t="shared" si="14"/>
        <v>74</v>
      </c>
    </row>
    <row r="936" spans="1:2" x14ac:dyDescent="0.2">
      <c r="A936" s="117">
        <v>35633</v>
      </c>
      <c r="B936" s="116">
        <f t="shared" si="14"/>
        <v>74</v>
      </c>
    </row>
    <row r="937" spans="1:2" x14ac:dyDescent="0.2">
      <c r="A937" s="117">
        <v>35634</v>
      </c>
      <c r="B937" s="116">
        <f t="shared" si="14"/>
        <v>74</v>
      </c>
    </row>
    <row r="938" spans="1:2" x14ac:dyDescent="0.2">
      <c r="A938" s="117">
        <v>35635</v>
      </c>
      <c r="B938" s="116">
        <f t="shared" si="14"/>
        <v>74</v>
      </c>
    </row>
    <row r="939" spans="1:2" x14ac:dyDescent="0.2">
      <c r="A939" s="117">
        <v>35636</v>
      </c>
      <c r="B939" s="116">
        <f t="shared" si="14"/>
        <v>74</v>
      </c>
    </row>
    <row r="940" spans="1:2" x14ac:dyDescent="0.2">
      <c r="A940" s="117">
        <v>35637</v>
      </c>
      <c r="B940" s="116">
        <f t="shared" si="14"/>
        <v>74</v>
      </c>
    </row>
    <row r="941" spans="1:2" x14ac:dyDescent="0.2">
      <c r="A941" s="117">
        <v>35638</v>
      </c>
      <c r="B941" s="116">
        <f t="shared" si="14"/>
        <v>75</v>
      </c>
    </row>
    <row r="942" spans="1:2" x14ac:dyDescent="0.2">
      <c r="A942" s="117">
        <v>35639</v>
      </c>
      <c r="B942" s="116">
        <f t="shared" si="14"/>
        <v>75</v>
      </c>
    </row>
    <row r="943" spans="1:2" x14ac:dyDescent="0.2">
      <c r="A943" s="117">
        <v>35640</v>
      </c>
      <c r="B943" s="116">
        <f t="shared" si="14"/>
        <v>75</v>
      </c>
    </row>
    <row r="944" spans="1:2" x14ac:dyDescent="0.2">
      <c r="A944" s="117">
        <v>35641</v>
      </c>
      <c r="B944" s="116">
        <f t="shared" si="14"/>
        <v>75</v>
      </c>
    </row>
    <row r="945" spans="1:2" x14ac:dyDescent="0.2">
      <c r="A945" s="117">
        <v>35642</v>
      </c>
      <c r="B945" s="116">
        <f t="shared" si="14"/>
        <v>75</v>
      </c>
    </row>
    <row r="946" spans="1:2" x14ac:dyDescent="0.2">
      <c r="A946" s="117">
        <v>35643</v>
      </c>
      <c r="B946" s="116">
        <f t="shared" si="14"/>
        <v>75</v>
      </c>
    </row>
    <row r="947" spans="1:2" x14ac:dyDescent="0.2">
      <c r="A947" s="117">
        <v>35644</v>
      </c>
      <c r="B947" s="116">
        <f t="shared" si="14"/>
        <v>75</v>
      </c>
    </row>
    <row r="948" spans="1:2" x14ac:dyDescent="0.2">
      <c r="A948" s="117">
        <v>35645</v>
      </c>
      <c r="B948" s="116">
        <f t="shared" si="14"/>
        <v>81</v>
      </c>
    </row>
    <row r="949" spans="1:2" x14ac:dyDescent="0.2">
      <c r="A949" s="117">
        <v>35646</v>
      </c>
      <c r="B949" s="116">
        <f t="shared" si="14"/>
        <v>81</v>
      </c>
    </row>
    <row r="950" spans="1:2" x14ac:dyDescent="0.2">
      <c r="A950" s="117">
        <v>35647</v>
      </c>
      <c r="B950" s="116">
        <f t="shared" si="14"/>
        <v>81</v>
      </c>
    </row>
    <row r="951" spans="1:2" x14ac:dyDescent="0.2">
      <c r="A951" s="117">
        <v>35648</v>
      </c>
      <c r="B951" s="116">
        <f t="shared" si="14"/>
        <v>81</v>
      </c>
    </row>
    <row r="952" spans="1:2" x14ac:dyDescent="0.2">
      <c r="A952" s="117">
        <v>35649</v>
      </c>
      <c r="B952" s="116">
        <f t="shared" si="14"/>
        <v>81</v>
      </c>
    </row>
    <row r="953" spans="1:2" x14ac:dyDescent="0.2">
      <c r="A953" s="117">
        <v>35650</v>
      </c>
      <c r="B953" s="116">
        <f t="shared" si="14"/>
        <v>81</v>
      </c>
    </row>
    <row r="954" spans="1:2" x14ac:dyDescent="0.2">
      <c r="A954" s="117">
        <v>35651</v>
      </c>
      <c r="B954" s="116">
        <f t="shared" si="14"/>
        <v>81</v>
      </c>
    </row>
    <row r="955" spans="1:2" x14ac:dyDescent="0.2">
      <c r="A955" s="117">
        <v>35652</v>
      </c>
      <c r="B955" s="116">
        <f t="shared" si="14"/>
        <v>82</v>
      </c>
    </row>
    <row r="956" spans="1:2" x14ac:dyDescent="0.2">
      <c r="A956" s="117">
        <v>35653</v>
      </c>
      <c r="B956" s="116">
        <f t="shared" si="14"/>
        <v>82</v>
      </c>
    </row>
    <row r="957" spans="1:2" x14ac:dyDescent="0.2">
      <c r="A957" s="117">
        <v>35654</v>
      </c>
      <c r="B957" s="116">
        <f t="shared" si="14"/>
        <v>82</v>
      </c>
    </row>
    <row r="958" spans="1:2" x14ac:dyDescent="0.2">
      <c r="A958" s="117">
        <v>35655</v>
      </c>
      <c r="B958" s="116">
        <f t="shared" si="14"/>
        <v>82</v>
      </c>
    </row>
    <row r="959" spans="1:2" x14ac:dyDescent="0.2">
      <c r="A959" s="117">
        <v>35656</v>
      </c>
      <c r="B959" s="116">
        <f t="shared" si="14"/>
        <v>82</v>
      </c>
    </row>
    <row r="960" spans="1:2" x14ac:dyDescent="0.2">
      <c r="A960" s="117">
        <v>35657</v>
      </c>
      <c r="B960" s="116">
        <f t="shared" si="14"/>
        <v>82</v>
      </c>
    </row>
    <row r="961" spans="1:2" x14ac:dyDescent="0.2">
      <c r="A961" s="117">
        <v>35658</v>
      </c>
      <c r="B961" s="116">
        <f t="shared" si="14"/>
        <v>82</v>
      </c>
    </row>
    <row r="962" spans="1:2" x14ac:dyDescent="0.2">
      <c r="A962" s="117">
        <v>35659</v>
      </c>
      <c r="B962" s="116">
        <f t="shared" si="14"/>
        <v>83</v>
      </c>
    </row>
    <row r="963" spans="1:2" x14ac:dyDescent="0.2">
      <c r="A963" s="117">
        <v>35660</v>
      </c>
      <c r="B963" s="116">
        <f t="shared" si="14"/>
        <v>83</v>
      </c>
    </row>
    <row r="964" spans="1:2" x14ac:dyDescent="0.2">
      <c r="A964" s="117">
        <v>35661</v>
      </c>
      <c r="B964" s="116">
        <f t="shared" ref="B964:B1027" si="15">VLOOKUP(WEEKNUM(A964),$D$4:$E$59,2)</f>
        <v>83</v>
      </c>
    </row>
    <row r="965" spans="1:2" x14ac:dyDescent="0.2">
      <c r="A965" s="117">
        <v>35662</v>
      </c>
      <c r="B965" s="116">
        <f t="shared" si="15"/>
        <v>83</v>
      </c>
    </row>
    <row r="966" spans="1:2" x14ac:dyDescent="0.2">
      <c r="A966" s="117">
        <v>35663</v>
      </c>
      <c r="B966" s="116">
        <f t="shared" si="15"/>
        <v>83</v>
      </c>
    </row>
    <row r="967" spans="1:2" x14ac:dyDescent="0.2">
      <c r="A967" s="117">
        <v>35664</v>
      </c>
      <c r="B967" s="116">
        <f t="shared" si="15"/>
        <v>83</v>
      </c>
    </row>
    <row r="968" spans="1:2" x14ac:dyDescent="0.2">
      <c r="A968" s="117">
        <v>35665</v>
      </c>
      <c r="B968" s="116">
        <f t="shared" si="15"/>
        <v>83</v>
      </c>
    </row>
    <row r="969" spans="1:2" x14ac:dyDescent="0.2">
      <c r="A969" s="117">
        <v>35666</v>
      </c>
      <c r="B969" s="116">
        <f t="shared" si="15"/>
        <v>84</v>
      </c>
    </row>
    <row r="970" spans="1:2" x14ac:dyDescent="0.2">
      <c r="A970" s="117">
        <v>35667</v>
      </c>
      <c r="B970" s="116">
        <f t="shared" si="15"/>
        <v>84</v>
      </c>
    </row>
    <row r="971" spans="1:2" x14ac:dyDescent="0.2">
      <c r="A971" s="117">
        <v>35668</v>
      </c>
      <c r="B971" s="116">
        <f t="shared" si="15"/>
        <v>84</v>
      </c>
    </row>
    <row r="972" spans="1:2" x14ac:dyDescent="0.2">
      <c r="A972" s="117">
        <v>35669</v>
      </c>
      <c r="B972" s="116">
        <f t="shared" si="15"/>
        <v>84</v>
      </c>
    </row>
    <row r="973" spans="1:2" x14ac:dyDescent="0.2">
      <c r="A973" s="117">
        <v>35670</v>
      </c>
      <c r="B973" s="116">
        <f t="shared" si="15"/>
        <v>84</v>
      </c>
    </row>
    <row r="974" spans="1:2" x14ac:dyDescent="0.2">
      <c r="A974" s="117">
        <v>35671</v>
      </c>
      <c r="B974" s="116">
        <f t="shared" si="15"/>
        <v>84</v>
      </c>
    </row>
    <row r="975" spans="1:2" x14ac:dyDescent="0.2">
      <c r="A975" s="117">
        <v>35672</v>
      </c>
      <c r="B975" s="116">
        <f t="shared" si="15"/>
        <v>84</v>
      </c>
    </row>
    <row r="976" spans="1:2" x14ac:dyDescent="0.2">
      <c r="A976" s="117">
        <v>35673</v>
      </c>
      <c r="B976" s="116">
        <f t="shared" si="15"/>
        <v>91</v>
      </c>
    </row>
    <row r="977" spans="1:2" x14ac:dyDescent="0.2">
      <c r="A977" s="117">
        <v>35674</v>
      </c>
      <c r="B977" s="116">
        <f t="shared" si="15"/>
        <v>91</v>
      </c>
    </row>
    <row r="978" spans="1:2" x14ac:dyDescent="0.2">
      <c r="A978" s="117">
        <v>35675</v>
      </c>
      <c r="B978" s="116">
        <f t="shared" si="15"/>
        <v>91</v>
      </c>
    </row>
    <row r="979" spans="1:2" x14ac:dyDescent="0.2">
      <c r="A979" s="117">
        <v>35676</v>
      </c>
      <c r="B979" s="116">
        <f t="shared" si="15"/>
        <v>91</v>
      </c>
    </row>
    <row r="980" spans="1:2" x14ac:dyDescent="0.2">
      <c r="A980" s="117">
        <v>35677</v>
      </c>
      <c r="B980" s="116">
        <f t="shared" si="15"/>
        <v>91</v>
      </c>
    </row>
    <row r="981" spans="1:2" x14ac:dyDescent="0.2">
      <c r="A981" s="117">
        <v>35678</v>
      </c>
      <c r="B981" s="116">
        <f t="shared" si="15"/>
        <v>91</v>
      </c>
    </row>
    <row r="982" spans="1:2" x14ac:dyDescent="0.2">
      <c r="A982" s="117">
        <v>35679</v>
      </c>
      <c r="B982" s="116">
        <f t="shared" si="15"/>
        <v>91</v>
      </c>
    </row>
    <row r="983" spans="1:2" x14ac:dyDescent="0.2">
      <c r="A983" s="117">
        <v>35680</v>
      </c>
      <c r="B983" s="116">
        <f t="shared" si="15"/>
        <v>92</v>
      </c>
    </row>
    <row r="984" spans="1:2" x14ac:dyDescent="0.2">
      <c r="A984" s="117">
        <v>35681</v>
      </c>
      <c r="B984" s="116">
        <f t="shared" si="15"/>
        <v>92</v>
      </c>
    </row>
    <row r="985" spans="1:2" x14ac:dyDescent="0.2">
      <c r="A985" s="117">
        <v>35682</v>
      </c>
      <c r="B985" s="116">
        <f t="shared" si="15"/>
        <v>92</v>
      </c>
    </row>
    <row r="986" spans="1:2" x14ac:dyDescent="0.2">
      <c r="A986" s="117">
        <v>35683</v>
      </c>
      <c r="B986" s="116">
        <f t="shared" si="15"/>
        <v>92</v>
      </c>
    </row>
    <row r="987" spans="1:2" x14ac:dyDescent="0.2">
      <c r="A987" s="117">
        <v>35684</v>
      </c>
      <c r="B987" s="116">
        <f t="shared" si="15"/>
        <v>92</v>
      </c>
    </row>
    <row r="988" spans="1:2" x14ac:dyDescent="0.2">
      <c r="A988" s="117">
        <v>35685</v>
      </c>
      <c r="B988" s="116">
        <f t="shared" si="15"/>
        <v>92</v>
      </c>
    </row>
    <row r="989" spans="1:2" x14ac:dyDescent="0.2">
      <c r="A989" s="117">
        <v>35686</v>
      </c>
      <c r="B989" s="116">
        <f t="shared" si="15"/>
        <v>92</v>
      </c>
    </row>
    <row r="990" spans="1:2" x14ac:dyDescent="0.2">
      <c r="A990" s="117">
        <v>35687</v>
      </c>
      <c r="B990" s="116">
        <f t="shared" si="15"/>
        <v>93</v>
      </c>
    </row>
    <row r="991" spans="1:2" x14ac:dyDescent="0.2">
      <c r="A991" s="117">
        <v>35688</v>
      </c>
      <c r="B991" s="116">
        <f t="shared" si="15"/>
        <v>93</v>
      </c>
    </row>
    <row r="992" spans="1:2" x14ac:dyDescent="0.2">
      <c r="A992" s="117">
        <v>35689</v>
      </c>
      <c r="B992" s="116">
        <f t="shared" si="15"/>
        <v>93</v>
      </c>
    </row>
    <row r="993" spans="1:2" x14ac:dyDescent="0.2">
      <c r="A993" s="117">
        <v>35690</v>
      </c>
      <c r="B993" s="116">
        <f t="shared" si="15"/>
        <v>93</v>
      </c>
    </row>
    <row r="994" spans="1:2" x14ac:dyDescent="0.2">
      <c r="A994" s="117">
        <v>35691</v>
      </c>
      <c r="B994" s="116">
        <f t="shared" si="15"/>
        <v>93</v>
      </c>
    </row>
    <row r="995" spans="1:2" x14ac:dyDescent="0.2">
      <c r="A995" s="117">
        <v>35692</v>
      </c>
      <c r="B995" s="116">
        <f t="shared" si="15"/>
        <v>93</v>
      </c>
    </row>
    <row r="996" spans="1:2" x14ac:dyDescent="0.2">
      <c r="A996" s="117">
        <v>35693</v>
      </c>
      <c r="B996" s="116">
        <f t="shared" si="15"/>
        <v>93</v>
      </c>
    </row>
    <row r="997" spans="1:2" x14ac:dyDescent="0.2">
      <c r="A997" s="117">
        <v>35694</v>
      </c>
      <c r="B997" s="116">
        <f t="shared" si="15"/>
        <v>94</v>
      </c>
    </row>
    <row r="998" spans="1:2" x14ac:dyDescent="0.2">
      <c r="A998" s="117">
        <v>35695</v>
      </c>
      <c r="B998" s="116">
        <f t="shared" si="15"/>
        <v>94</v>
      </c>
    </row>
    <row r="999" spans="1:2" x14ac:dyDescent="0.2">
      <c r="A999" s="117">
        <v>35696</v>
      </c>
      <c r="B999" s="116">
        <f t="shared" si="15"/>
        <v>94</v>
      </c>
    </row>
    <row r="1000" spans="1:2" x14ac:dyDescent="0.2">
      <c r="A1000" s="117">
        <v>35697</v>
      </c>
      <c r="B1000" s="116">
        <f t="shared" si="15"/>
        <v>94</v>
      </c>
    </row>
    <row r="1001" spans="1:2" x14ac:dyDescent="0.2">
      <c r="A1001" s="117">
        <v>35698</v>
      </c>
      <c r="B1001" s="116">
        <f t="shared" si="15"/>
        <v>94</v>
      </c>
    </row>
    <row r="1002" spans="1:2" x14ac:dyDescent="0.2">
      <c r="A1002" s="117">
        <v>35699</v>
      </c>
      <c r="B1002" s="116">
        <f t="shared" si="15"/>
        <v>94</v>
      </c>
    </row>
    <row r="1003" spans="1:2" x14ac:dyDescent="0.2">
      <c r="A1003" s="117">
        <v>35700</v>
      </c>
      <c r="B1003" s="116">
        <f t="shared" si="15"/>
        <v>94</v>
      </c>
    </row>
    <row r="1004" spans="1:2" x14ac:dyDescent="0.2">
      <c r="A1004" s="117">
        <v>35701</v>
      </c>
      <c r="B1004" s="116">
        <f t="shared" si="15"/>
        <v>101</v>
      </c>
    </row>
    <row r="1005" spans="1:2" x14ac:dyDescent="0.2">
      <c r="A1005" s="117">
        <v>35702</v>
      </c>
      <c r="B1005" s="116">
        <f t="shared" si="15"/>
        <v>101</v>
      </c>
    </row>
    <row r="1006" spans="1:2" x14ac:dyDescent="0.2">
      <c r="A1006" s="117">
        <v>35703</v>
      </c>
      <c r="B1006" s="116">
        <f t="shared" si="15"/>
        <v>101</v>
      </c>
    </row>
    <row r="1007" spans="1:2" x14ac:dyDescent="0.2">
      <c r="A1007" s="117">
        <v>35704</v>
      </c>
      <c r="B1007" s="116">
        <f t="shared" si="15"/>
        <v>101</v>
      </c>
    </row>
    <row r="1008" spans="1:2" x14ac:dyDescent="0.2">
      <c r="A1008" s="117">
        <v>35705</v>
      </c>
      <c r="B1008" s="116">
        <f t="shared" si="15"/>
        <v>101</v>
      </c>
    </row>
    <row r="1009" spans="1:2" x14ac:dyDescent="0.2">
      <c r="A1009" s="117">
        <v>35706</v>
      </c>
      <c r="B1009" s="116">
        <f t="shared" si="15"/>
        <v>101</v>
      </c>
    </row>
    <row r="1010" spans="1:2" x14ac:dyDescent="0.2">
      <c r="A1010" s="117">
        <v>35707</v>
      </c>
      <c r="B1010" s="116">
        <f t="shared" si="15"/>
        <v>101</v>
      </c>
    </row>
    <row r="1011" spans="1:2" x14ac:dyDescent="0.2">
      <c r="A1011" s="117">
        <v>35708</v>
      </c>
      <c r="B1011" s="116">
        <f t="shared" si="15"/>
        <v>102</v>
      </c>
    </row>
    <row r="1012" spans="1:2" x14ac:dyDescent="0.2">
      <c r="A1012" s="117">
        <v>35709</v>
      </c>
      <c r="B1012" s="116">
        <f t="shared" si="15"/>
        <v>102</v>
      </c>
    </row>
    <row r="1013" spans="1:2" x14ac:dyDescent="0.2">
      <c r="A1013" s="117">
        <v>35710</v>
      </c>
      <c r="B1013" s="116">
        <f t="shared" si="15"/>
        <v>102</v>
      </c>
    </row>
    <row r="1014" spans="1:2" x14ac:dyDescent="0.2">
      <c r="A1014" s="117">
        <v>35711</v>
      </c>
      <c r="B1014" s="116">
        <f t="shared" si="15"/>
        <v>102</v>
      </c>
    </row>
    <row r="1015" spans="1:2" x14ac:dyDescent="0.2">
      <c r="A1015" s="117">
        <v>35712</v>
      </c>
      <c r="B1015" s="116">
        <f t="shared" si="15"/>
        <v>102</v>
      </c>
    </row>
    <row r="1016" spans="1:2" x14ac:dyDescent="0.2">
      <c r="A1016" s="117">
        <v>35713</v>
      </c>
      <c r="B1016" s="116">
        <f t="shared" si="15"/>
        <v>102</v>
      </c>
    </row>
    <row r="1017" spans="1:2" x14ac:dyDescent="0.2">
      <c r="A1017" s="117">
        <v>35714</v>
      </c>
      <c r="B1017" s="116">
        <f t="shared" si="15"/>
        <v>102</v>
      </c>
    </row>
    <row r="1018" spans="1:2" x14ac:dyDescent="0.2">
      <c r="A1018" s="117">
        <v>35715</v>
      </c>
      <c r="B1018" s="116">
        <f t="shared" si="15"/>
        <v>103</v>
      </c>
    </row>
    <row r="1019" spans="1:2" x14ac:dyDescent="0.2">
      <c r="A1019" s="117">
        <v>35716</v>
      </c>
      <c r="B1019" s="116">
        <f t="shared" si="15"/>
        <v>103</v>
      </c>
    </row>
    <row r="1020" spans="1:2" x14ac:dyDescent="0.2">
      <c r="A1020" s="117">
        <v>35717</v>
      </c>
      <c r="B1020" s="116">
        <f t="shared" si="15"/>
        <v>103</v>
      </c>
    </row>
    <row r="1021" spans="1:2" x14ac:dyDescent="0.2">
      <c r="A1021" s="117">
        <v>35718</v>
      </c>
      <c r="B1021" s="116">
        <f t="shared" si="15"/>
        <v>103</v>
      </c>
    </row>
    <row r="1022" spans="1:2" x14ac:dyDescent="0.2">
      <c r="A1022" s="117">
        <v>35719</v>
      </c>
      <c r="B1022" s="116">
        <f t="shared" si="15"/>
        <v>103</v>
      </c>
    </row>
    <row r="1023" spans="1:2" x14ac:dyDescent="0.2">
      <c r="A1023" s="117">
        <v>35720</v>
      </c>
      <c r="B1023" s="116">
        <f t="shared" si="15"/>
        <v>103</v>
      </c>
    </row>
    <row r="1024" spans="1:2" x14ac:dyDescent="0.2">
      <c r="A1024" s="117">
        <v>35721</v>
      </c>
      <c r="B1024" s="116">
        <f t="shared" si="15"/>
        <v>103</v>
      </c>
    </row>
    <row r="1025" spans="1:2" x14ac:dyDescent="0.2">
      <c r="A1025" s="117">
        <v>35722</v>
      </c>
      <c r="B1025" s="116">
        <f t="shared" si="15"/>
        <v>104</v>
      </c>
    </row>
    <row r="1026" spans="1:2" x14ac:dyDescent="0.2">
      <c r="A1026" s="117">
        <v>35723</v>
      </c>
      <c r="B1026" s="116">
        <f t="shared" si="15"/>
        <v>104</v>
      </c>
    </row>
    <row r="1027" spans="1:2" x14ac:dyDescent="0.2">
      <c r="A1027" s="117">
        <v>35724</v>
      </c>
      <c r="B1027" s="116">
        <f t="shared" si="15"/>
        <v>104</v>
      </c>
    </row>
    <row r="1028" spans="1:2" x14ac:dyDescent="0.2">
      <c r="A1028" s="117">
        <v>35725</v>
      </c>
      <c r="B1028" s="116">
        <f t="shared" ref="B1028:B1091" si="16">VLOOKUP(WEEKNUM(A1028),$D$4:$E$59,2)</f>
        <v>104</v>
      </c>
    </row>
    <row r="1029" spans="1:2" x14ac:dyDescent="0.2">
      <c r="A1029" s="117">
        <v>35726</v>
      </c>
      <c r="B1029" s="116">
        <f t="shared" si="16"/>
        <v>104</v>
      </c>
    </row>
    <row r="1030" spans="1:2" x14ac:dyDescent="0.2">
      <c r="A1030" s="117">
        <v>35727</v>
      </c>
      <c r="B1030" s="116">
        <f t="shared" si="16"/>
        <v>104</v>
      </c>
    </row>
    <row r="1031" spans="1:2" x14ac:dyDescent="0.2">
      <c r="A1031" s="117">
        <v>35728</v>
      </c>
      <c r="B1031" s="116">
        <f t="shared" si="16"/>
        <v>104</v>
      </c>
    </row>
    <row r="1032" spans="1:2" x14ac:dyDescent="0.2">
      <c r="A1032" s="117">
        <v>35729</v>
      </c>
      <c r="B1032" s="116">
        <f t="shared" si="16"/>
        <v>105</v>
      </c>
    </row>
    <row r="1033" spans="1:2" x14ac:dyDescent="0.2">
      <c r="A1033" s="117">
        <v>35730</v>
      </c>
      <c r="B1033" s="116">
        <f t="shared" si="16"/>
        <v>105</v>
      </c>
    </row>
    <row r="1034" spans="1:2" x14ac:dyDescent="0.2">
      <c r="A1034" s="117">
        <v>35731</v>
      </c>
      <c r="B1034" s="116">
        <f t="shared" si="16"/>
        <v>105</v>
      </c>
    </row>
    <row r="1035" spans="1:2" x14ac:dyDescent="0.2">
      <c r="A1035" s="117">
        <v>35732</v>
      </c>
      <c r="B1035" s="116">
        <f t="shared" si="16"/>
        <v>105</v>
      </c>
    </row>
    <row r="1036" spans="1:2" x14ac:dyDescent="0.2">
      <c r="A1036" s="117">
        <v>35733</v>
      </c>
      <c r="B1036" s="116">
        <f t="shared" si="16"/>
        <v>105</v>
      </c>
    </row>
    <row r="1037" spans="1:2" x14ac:dyDescent="0.2">
      <c r="A1037" s="117">
        <v>35734</v>
      </c>
      <c r="B1037" s="116">
        <f t="shared" si="16"/>
        <v>105</v>
      </c>
    </row>
    <row r="1038" spans="1:2" x14ac:dyDescent="0.2">
      <c r="A1038" s="117">
        <v>35735</v>
      </c>
      <c r="B1038" s="116">
        <f t="shared" si="16"/>
        <v>105</v>
      </c>
    </row>
    <row r="1039" spans="1:2" x14ac:dyDescent="0.2">
      <c r="A1039" s="117">
        <v>35736</v>
      </c>
      <c r="B1039" s="116">
        <f t="shared" si="16"/>
        <v>111</v>
      </c>
    </row>
    <row r="1040" spans="1:2" x14ac:dyDescent="0.2">
      <c r="A1040" s="117">
        <v>35737</v>
      </c>
      <c r="B1040" s="116">
        <f t="shared" si="16"/>
        <v>111</v>
      </c>
    </row>
    <row r="1041" spans="1:2" x14ac:dyDescent="0.2">
      <c r="A1041" s="117">
        <v>35738</v>
      </c>
      <c r="B1041" s="116">
        <f t="shared" si="16"/>
        <v>111</v>
      </c>
    </row>
    <row r="1042" spans="1:2" x14ac:dyDescent="0.2">
      <c r="A1042" s="117">
        <v>35739</v>
      </c>
      <c r="B1042" s="116">
        <f t="shared" si="16"/>
        <v>111</v>
      </c>
    </row>
    <row r="1043" spans="1:2" x14ac:dyDescent="0.2">
      <c r="A1043" s="117">
        <v>35740</v>
      </c>
      <c r="B1043" s="116">
        <f t="shared" si="16"/>
        <v>111</v>
      </c>
    </row>
    <row r="1044" spans="1:2" x14ac:dyDescent="0.2">
      <c r="A1044" s="117">
        <v>35741</v>
      </c>
      <c r="B1044" s="116">
        <f t="shared" si="16"/>
        <v>111</v>
      </c>
    </row>
    <row r="1045" spans="1:2" x14ac:dyDescent="0.2">
      <c r="A1045" s="117">
        <v>35742</v>
      </c>
      <c r="B1045" s="116">
        <f t="shared" si="16"/>
        <v>111</v>
      </c>
    </row>
    <row r="1046" spans="1:2" x14ac:dyDescent="0.2">
      <c r="A1046" s="117">
        <v>35743</v>
      </c>
      <c r="B1046" s="116">
        <f t="shared" si="16"/>
        <v>112</v>
      </c>
    </row>
    <row r="1047" spans="1:2" x14ac:dyDescent="0.2">
      <c r="A1047" s="117">
        <v>35744</v>
      </c>
      <c r="B1047" s="116">
        <f t="shared" si="16"/>
        <v>112</v>
      </c>
    </row>
    <row r="1048" spans="1:2" x14ac:dyDescent="0.2">
      <c r="A1048" s="117">
        <v>35745</v>
      </c>
      <c r="B1048" s="116">
        <f t="shared" si="16"/>
        <v>112</v>
      </c>
    </row>
    <row r="1049" spans="1:2" x14ac:dyDescent="0.2">
      <c r="A1049" s="117">
        <v>35746</v>
      </c>
      <c r="B1049" s="116">
        <f t="shared" si="16"/>
        <v>112</v>
      </c>
    </row>
    <row r="1050" spans="1:2" x14ac:dyDescent="0.2">
      <c r="A1050" s="117">
        <v>35747</v>
      </c>
      <c r="B1050" s="116">
        <f t="shared" si="16"/>
        <v>112</v>
      </c>
    </row>
    <row r="1051" spans="1:2" x14ac:dyDescent="0.2">
      <c r="A1051" s="117">
        <v>35748</v>
      </c>
      <c r="B1051" s="116">
        <f t="shared" si="16"/>
        <v>112</v>
      </c>
    </row>
    <row r="1052" spans="1:2" x14ac:dyDescent="0.2">
      <c r="A1052" s="117">
        <v>35749</v>
      </c>
      <c r="B1052" s="116">
        <f t="shared" si="16"/>
        <v>112</v>
      </c>
    </row>
    <row r="1053" spans="1:2" x14ac:dyDescent="0.2">
      <c r="A1053" s="117">
        <v>35750</v>
      </c>
      <c r="B1053" s="116">
        <f t="shared" si="16"/>
        <v>113</v>
      </c>
    </row>
    <row r="1054" spans="1:2" x14ac:dyDescent="0.2">
      <c r="A1054" s="117">
        <v>35751</v>
      </c>
      <c r="B1054" s="116">
        <f t="shared" si="16"/>
        <v>113</v>
      </c>
    </row>
    <row r="1055" spans="1:2" x14ac:dyDescent="0.2">
      <c r="A1055" s="117">
        <v>35752</v>
      </c>
      <c r="B1055" s="116">
        <f t="shared" si="16"/>
        <v>113</v>
      </c>
    </row>
    <row r="1056" spans="1:2" x14ac:dyDescent="0.2">
      <c r="A1056" s="117">
        <v>35753</v>
      </c>
      <c r="B1056" s="116">
        <f t="shared" si="16"/>
        <v>113</v>
      </c>
    </row>
    <row r="1057" spans="1:2" x14ac:dyDescent="0.2">
      <c r="A1057" s="117">
        <v>35754</v>
      </c>
      <c r="B1057" s="116">
        <f t="shared" si="16"/>
        <v>113</v>
      </c>
    </row>
    <row r="1058" spans="1:2" x14ac:dyDescent="0.2">
      <c r="A1058" s="117">
        <v>35755</v>
      </c>
      <c r="B1058" s="116">
        <f t="shared" si="16"/>
        <v>113</v>
      </c>
    </row>
    <row r="1059" spans="1:2" x14ac:dyDescent="0.2">
      <c r="A1059" s="117">
        <v>35756</v>
      </c>
      <c r="B1059" s="116">
        <f t="shared" si="16"/>
        <v>113</v>
      </c>
    </row>
    <row r="1060" spans="1:2" x14ac:dyDescent="0.2">
      <c r="A1060" s="117">
        <v>35757</v>
      </c>
      <c r="B1060" s="116">
        <f t="shared" si="16"/>
        <v>114</v>
      </c>
    </row>
    <row r="1061" spans="1:2" x14ac:dyDescent="0.2">
      <c r="A1061" s="117">
        <v>35758</v>
      </c>
      <c r="B1061" s="116">
        <f t="shared" si="16"/>
        <v>114</v>
      </c>
    </row>
    <row r="1062" spans="1:2" x14ac:dyDescent="0.2">
      <c r="A1062" s="117">
        <v>35759</v>
      </c>
      <c r="B1062" s="116">
        <f t="shared" si="16"/>
        <v>114</v>
      </c>
    </row>
    <row r="1063" spans="1:2" x14ac:dyDescent="0.2">
      <c r="A1063" s="117">
        <v>35760</v>
      </c>
      <c r="B1063" s="116">
        <f t="shared" si="16"/>
        <v>114</v>
      </c>
    </row>
    <row r="1064" spans="1:2" x14ac:dyDescent="0.2">
      <c r="A1064" s="117">
        <v>35761</v>
      </c>
      <c r="B1064" s="116">
        <f t="shared" si="16"/>
        <v>114</v>
      </c>
    </row>
    <row r="1065" spans="1:2" x14ac:dyDescent="0.2">
      <c r="A1065" s="117">
        <v>35762</v>
      </c>
      <c r="B1065" s="116">
        <f t="shared" si="16"/>
        <v>114</v>
      </c>
    </row>
    <row r="1066" spans="1:2" x14ac:dyDescent="0.2">
      <c r="A1066" s="117">
        <v>35763</v>
      </c>
      <c r="B1066" s="116">
        <f t="shared" si="16"/>
        <v>114</v>
      </c>
    </row>
    <row r="1067" spans="1:2" x14ac:dyDescent="0.2">
      <c r="A1067" s="117">
        <v>35764</v>
      </c>
      <c r="B1067" s="116">
        <f t="shared" si="16"/>
        <v>115</v>
      </c>
    </row>
    <row r="1068" spans="1:2" x14ac:dyDescent="0.2">
      <c r="A1068" s="117">
        <v>35765</v>
      </c>
      <c r="B1068" s="116">
        <f t="shared" si="16"/>
        <v>115</v>
      </c>
    </row>
    <row r="1069" spans="1:2" x14ac:dyDescent="0.2">
      <c r="A1069" s="117">
        <v>35766</v>
      </c>
      <c r="B1069" s="116">
        <f t="shared" si="16"/>
        <v>115</v>
      </c>
    </row>
    <row r="1070" spans="1:2" x14ac:dyDescent="0.2">
      <c r="A1070" s="117">
        <v>35767</v>
      </c>
      <c r="B1070" s="116">
        <f t="shared" si="16"/>
        <v>115</v>
      </c>
    </row>
    <row r="1071" spans="1:2" x14ac:dyDescent="0.2">
      <c r="A1071" s="117">
        <v>35768</v>
      </c>
      <c r="B1071" s="116">
        <f t="shared" si="16"/>
        <v>115</v>
      </c>
    </row>
    <row r="1072" spans="1:2" x14ac:dyDescent="0.2">
      <c r="A1072" s="117">
        <v>35769</v>
      </c>
      <c r="B1072" s="116">
        <f t="shared" si="16"/>
        <v>115</v>
      </c>
    </row>
    <row r="1073" spans="1:2" x14ac:dyDescent="0.2">
      <c r="A1073" s="117">
        <v>35770</v>
      </c>
      <c r="B1073" s="116">
        <f t="shared" si="16"/>
        <v>115</v>
      </c>
    </row>
    <row r="1074" spans="1:2" x14ac:dyDescent="0.2">
      <c r="A1074" s="117">
        <v>35771</v>
      </c>
      <c r="B1074" s="116">
        <f t="shared" si="16"/>
        <v>121</v>
      </c>
    </row>
    <row r="1075" spans="1:2" x14ac:dyDescent="0.2">
      <c r="A1075" s="117">
        <v>35772</v>
      </c>
      <c r="B1075" s="116">
        <f t="shared" si="16"/>
        <v>121</v>
      </c>
    </row>
    <row r="1076" spans="1:2" x14ac:dyDescent="0.2">
      <c r="A1076" s="117">
        <v>35773</v>
      </c>
      <c r="B1076" s="116">
        <f t="shared" si="16"/>
        <v>121</v>
      </c>
    </row>
    <row r="1077" spans="1:2" x14ac:dyDescent="0.2">
      <c r="A1077" s="117">
        <v>35774</v>
      </c>
      <c r="B1077" s="116">
        <f t="shared" si="16"/>
        <v>121</v>
      </c>
    </row>
    <row r="1078" spans="1:2" x14ac:dyDescent="0.2">
      <c r="A1078" s="117">
        <v>35775</v>
      </c>
      <c r="B1078" s="116">
        <f t="shared" si="16"/>
        <v>121</v>
      </c>
    </row>
    <row r="1079" spans="1:2" x14ac:dyDescent="0.2">
      <c r="A1079" s="117">
        <v>35776</v>
      </c>
      <c r="B1079" s="116">
        <f t="shared" si="16"/>
        <v>121</v>
      </c>
    </row>
    <row r="1080" spans="1:2" x14ac:dyDescent="0.2">
      <c r="A1080" s="117">
        <v>35777</v>
      </c>
      <c r="B1080" s="116">
        <f t="shared" si="16"/>
        <v>121</v>
      </c>
    </row>
    <row r="1081" spans="1:2" x14ac:dyDescent="0.2">
      <c r="A1081" s="117">
        <v>35778</v>
      </c>
      <c r="B1081" s="116">
        <f t="shared" si="16"/>
        <v>122</v>
      </c>
    </row>
    <row r="1082" spans="1:2" x14ac:dyDescent="0.2">
      <c r="A1082" s="117">
        <v>35779</v>
      </c>
      <c r="B1082" s="116">
        <f t="shared" si="16"/>
        <v>122</v>
      </c>
    </row>
    <row r="1083" spans="1:2" x14ac:dyDescent="0.2">
      <c r="A1083" s="117">
        <v>35780</v>
      </c>
      <c r="B1083" s="116">
        <f t="shared" si="16"/>
        <v>122</v>
      </c>
    </row>
    <row r="1084" spans="1:2" x14ac:dyDescent="0.2">
      <c r="A1084" s="117">
        <v>35781</v>
      </c>
      <c r="B1084" s="116">
        <f t="shared" si="16"/>
        <v>122</v>
      </c>
    </row>
    <row r="1085" spans="1:2" x14ac:dyDescent="0.2">
      <c r="A1085" s="117">
        <v>35782</v>
      </c>
      <c r="B1085" s="116">
        <f t="shared" si="16"/>
        <v>122</v>
      </c>
    </row>
    <row r="1086" spans="1:2" x14ac:dyDescent="0.2">
      <c r="A1086" s="117">
        <v>35783</v>
      </c>
      <c r="B1086" s="116">
        <f t="shared" si="16"/>
        <v>122</v>
      </c>
    </row>
    <row r="1087" spans="1:2" x14ac:dyDescent="0.2">
      <c r="A1087" s="117">
        <v>35784</v>
      </c>
      <c r="B1087" s="116">
        <f t="shared" si="16"/>
        <v>122</v>
      </c>
    </row>
    <row r="1088" spans="1:2" x14ac:dyDescent="0.2">
      <c r="A1088" s="117">
        <v>35785</v>
      </c>
      <c r="B1088" s="116">
        <f t="shared" si="16"/>
        <v>123</v>
      </c>
    </row>
    <row r="1089" spans="1:2" x14ac:dyDescent="0.2">
      <c r="A1089" s="117">
        <v>35786</v>
      </c>
      <c r="B1089" s="116">
        <f t="shared" si="16"/>
        <v>123</v>
      </c>
    </row>
    <row r="1090" spans="1:2" x14ac:dyDescent="0.2">
      <c r="A1090" s="117">
        <v>35787</v>
      </c>
      <c r="B1090" s="116">
        <f t="shared" si="16"/>
        <v>123</v>
      </c>
    </row>
    <row r="1091" spans="1:2" x14ac:dyDescent="0.2">
      <c r="A1091" s="117">
        <v>35788</v>
      </c>
      <c r="B1091" s="116">
        <f t="shared" si="16"/>
        <v>123</v>
      </c>
    </row>
    <row r="1092" spans="1:2" x14ac:dyDescent="0.2">
      <c r="A1092" s="117">
        <v>35789</v>
      </c>
      <c r="B1092" s="116">
        <f t="shared" ref="B1092:B1155" si="17">VLOOKUP(WEEKNUM(A1092),$D$4:$E$59,2)</f>
        <v>123</v>
      </c>
    </row>
    <row r="1093" spans="1:2" x14ac:dyDescent="0.2">
      <c r="A1093" s="117">
        <v>35790</v>
      </c>
      <c r="B1093" s="116">
        <f t="shared" si="17"/>
        <v>123</v>
      </c>
    </row>
    <row r="1094" spans="1:2" x14ac:dyDescent="0.2">
      <c r="A1094" s="117">
        <v>35791</v>
      </c>
      <c r="B1094" s="116">
        <f t="shared" si="17"/>
        <v>123</v>
      </c>
    </row>
    <row r="1095" spans="1:2" x14ac:dyDescent="0.2">
      <c r="A1095" s="117">
        <v>35792</v>
      </c>
      <c r="B1095" s="116">
        <f t="shared" si="17"/>
        <v>124</v>
      </c>
    </row>
    <row r="1096" spans="1:2" x14ac:dyDescent="0.2">
      <c r="A1096" s="117">
        <v>35793</v>
      </c>
      <c r="B1096" s="116">
        <f t="shared" si="17"/>
        <v>124</v>
      </c>
    </row>
    <row r="1097" spans="1:2" x14ac:dyDescent="0.2">
      <c r="A1097" s="117">
        <v>35794</v>
      </c>
      <c r="B1097" s="116">
        <f t="shared" si="17"/>
        <v>124</v>
      </c>
    </row>
    <row r="1098" spans="1:2" x14ac:dyDescent="0.2">
      <c r="A1098" s="117">
        <v>35795</v>
      </c>
      <c r="B1098" s="116">
        <f t="shared" si="17"/>
        <v>124</v>
      </c>
    </row>
    <row r="1099" spans="1:2" x14ac:dyDescent="0.2">
      <c r="A1099" s="117">
        <v>35796</v>
      </c>
      <c r="B1099" s="116">
        <f t="shared" si="17"/>
        <v>11</v>
      </c>
    </row>
    <row r="1100" spans="1:2" x14ac:dyDescent="0.2">
      <c r="A1100" s="117">
        <v>35797</v>
      </c>
      <c r="B1100" s="116">
        <f t="shared" si="17"/>
        <v>11</v>
      </c>
    </row>
    <row r="1101" spans="1:2" x14ac:dyDescent="0.2">
      <c r="A1101" s="117">
        <v>35798</v>
      </c>
      <c r="B1101" s="116">
        <f t="shared" si="17"/>
        <v>11</v>
      </c>
    </row>
    <row r="1102" spans="1:2" x14ac:dyDescent="0.2">
      <c r="A1102" s="117">
        <v>35799</v>
      </c>
      <c r="B1102" s="116">
        <f t="shared" si="17"/>
        <v>12</v>
      </c>
    </row>
    <row r="1103" spans="1:2" x14ac:dyDescent="0.2">
      <c r="A1103" s="117">
        <v>35800</v>
      </c>
      <c r="B1103" s="116">
        <f t="shared" si="17"/>
        <v>12</v>
      </c>
    </row>
    <row r="1104" spans="1:2" x14ac:dyDescent="0.2">
      <c r="A1104" s="117">
        <v>35801</v>
      </c>
      <c r="B1104" s="116">
        <f t="shared" si="17"/>
        <v>12</v>
      </c>
    </row>
    <row r="1105" spans="1:2" x14ac:dyDescent="0.2">
      <c r="A1105" s="117">
        <v>35802</v>
      </c>
      <c r="B1105" s="116">
        <f t="shared" si="17"/>
        <v>12</v>
      </c>
    </row>
    <row r="1106" spans="1:2" x14ac:dyDescent="0.2">
      <c r="A1106" s="117">
        <v>35803</v>
      </c>
      <c r="B1106" s="116">
        <f t="shared" si="17"/>
        <v>12</v>
      </c>
    </row>
    <row r="1107" spans="1:2" x14ac:dyDescent="0.2">
      <c r="A1107" s="117">
        <v>35804</v>
      </c>
      <c r="B1107" s="116">
        <f t="shared" si="17"/>
        <v>12</v>
      </c>
    </row>
    <row r="1108" spans="1:2" x14ac:dyDescent="0.2">
      <c r="A1108" s="117">
        <v>35805</v>
      </c>
      <c r="B1108" s="116">
        <f t="shared" si="17"/>
        <v>12</v>
      </c>
    </row>
    <row r="1109" spans="1:2" x14ac:dyDescent="0.2">
      <c r="A1109" s="117">
        <v>35806</v>
      </c>
      <c r="B1109" s="116">
        <f t="shared" si="17"/>
        <v>13</v>
      </c>
    </row>
    <row r="1110" spans="1:2" x14ac:dyDescent="0.2">
      <c r="A1110" s="117">
        <v>35807</v>
      </c>
      <c r="B1110" s="116">
        <f t="shared" si="17"/>
        <v>13</v>
      </c>
    </row>
    <row r="1111" spans="1:2" x14ac:dyDescent="0.2">
      <c r="A1111" s="117">
        <v>35808</v>
      </c>
      <c r="B1111" s="116">
        <f t="shared" si="17"/>
        <v>13</v>
      </c>
    </row>
    <row r="1112" spans="1:2" x14ac:dyDescent="0.2">
      <c r="A1112" s="117">
        <v>35809</v>
      </c>
      <c r="B1112" s="116">
        <f t="shared" si="17"/>
        <v>13</v>
      </c>
    </row>
    <row r="1113" spans="1:2" x14ac:dyDescent="0.2">
      <c r="A1113" s="117">
        <v>35810</v>
      </c>
      <c r="B1113" s="116">
        <f t="shared" si="17"/>
        <v>13</v>
      </c>
    </row>
    <row r="1114" spans="1:2" x14ac:dyDescent="0.2">
      <c r="A1114" s="117">
        <v>35811</v>
      </c>
      <c r="B1114" s="116">
        <f t="shared" si="17"/>
        <v>13</v>
      </c>
    </row>
    <row r="1115" spans="1:2" x14ac:dyDescent="0.2">
      <c r="A1115" s="117">
        <v>35812</v>
      </c>
      <c r="B1115" s="116">
        <f t="shared" si="17"/>
        <v>13</v>
      </c>
    </row>
    <row r="1116" spans="1:2" x14ac:dyDescent="0.2">
      <c r="A1116" s="117">
        <v>35813</v>
      </c>
      <c r="B1116" s="116">
        <f t="shared" si="17"/>
        <v>14</v>
      </c>
    </row>
    <row r="1117" spans="1:2" x14ac:dyDescent="0.2">
      <c r="A1117" s="117">
        <v>35814</v>
      </c>
      <c r="B1117" s="116">
        <f t="shared" si="17"/>
        <v>14</v>
      </c>
    </row>
    <row r="1118" spans="1:2" x14ac:dyDescent="0.2">
      <c r="A1118" s="117">
        <v>35815</v>
      </c>
      <c r="B1118" s="116">
        <f t="shared" si="17"/>
        <v>14</v>
      </c>
    </row>
    <row r="1119" spans="1:2" x14ac:dyDescent="0.2">
      <c r="A1119" s="117">
        <v>35816</v>
      </c>
      <c r="B1119" s="116">
        <f t="shared" si="17"/>
        <v>14</v>
      </c>
    </row>
    <row r="1120" spans="1:2" x14ac:dyDescent="0.2">
      <c r="A1120" s="117">
        <v>35817</v>
      </c>
      <c r="B1120" s="116">
        <f t="shared" si="17"/>
        <v>14</v>
      </c>
    </row>
    <row r="1121" spans="1:2" x14ac:dyDescent="0.2">
      <c r="A1121" s="117">
        <v>35818</v>
      </c>
      <c r="B1121" s="116">
        <f t="shared" si="17"/>
        <v>14</v>
      </c>
    </row>
    <row r="1122" spans="1:2" x14ac:dyDescent="0.2">
      <c r="A1122" s="117">
        <v>35819</v>
      </c>
      <c r="B1122" s="116">
        <f t="shared" si="17"/>
        <v>14</v>
      </c>
    </row>
    <row r="1123" spans="1:2" x14ac:dyDescent="0.2">
      <c r="A1123" s="117">
        <v>35820</v>
      </c>
      <c r="B1123" s="116">
        <f t="shared" si="17"/>
        <v>15</v>
      </c>
    </row>
    <row r="1124" spans="1:2" x14ac:dyDescent="0.2">
      <c r="A1124" s="117">
        <v>35821</v>
      </c>
      <c r="B1124" s="116">
        <f t="shared" si="17"/>
        <v>15</v>
      </c>
    </row>
    <row r="1125" spans="1:2" x14ac:dyDescent="0.2">
      <c r="A1125" s="117">
        <v>35822</v>
      </c>
      <c r="B1125" s="116">
        <f t="shared" si="17"/>
        <v>15</v>
      </c>
    </row>
    <row r="1126" spans="1:2" x14ac:dyDescent="0.2">
      <c r="A1126" s="117">
        <v>35823</v>
      </c>
      <c r="B1126" s="116">
        <f t="shared" si="17"/>
        <v>15</v>
      </c>
    </row>
    <row r="1127" spans="1:2" x14ac:dyDescent="0.2">
      <c r="A1127" s="117">
        <v>35824</v>
      </c>
      <c r="B1127" s="116">
        <f t="shared" si="17"/>
        <v>15</v>
      </c>
    </row>
    <row r="1128" spans="1:2" x14ac:dyDescent="0.2">
      <c r="A1128" s="117">
        <v>35825</v>
      </c>
      <c r="B1128" s="116">
        <f t="shared" si="17"/>
        <v>15</v>
      </c>
    </row>
    <row r="1129" spans="1:2" x14ac:dyDescent="0.2">
      <c r="A1129" s="117">
        <v>35826</v>
      </c>
      <c r="B1129" s="116">
        <f t="shared" si="17"/>
        <v>15</v>
      </c>
    </row>
    <row r="1130" spans="1:2" x14ac:dyDescent="0.2">
      <c r="A1130" s="117">
        <v>35827</v>
      </c>
      <c r="B1130" s="116">
        <f t="shared" si="17"/>
        <v>21</v>
      </c>
    </row>
    <row r="1131" spans="1:2" x14ac:dyDescent="0.2">
      <c r="A1131" s="117">
        <v>35828</v>
      </c>
      <c r="B1131" s="116">
        <f t="shared" si="17"/>
        <v>21</v>
      </c>
    </row>
    <row r="1132" spans="1:2" x14ac:dyDescent="0.2">
      <c r="A1132" s="117">
        <v>35829</v>
      </c>
      <c r="B1132" s="116">
        <f t="shared" si="17"/>
        <v>21</v>
      </c>
    </row>
    <row r="1133" spans="1:2" x14ac:dyDescent="0.2">
      <c r="A1133" s="117">
        <v>35830</v>
      </c>
      <c r="B1133" s="116">
        <f t="shared" si="17"/>
        <v>21</v>
      </c>
    </row>
    <row r="1134" spans="1:2" x14ac:dyDescent="0.2">
      <c r="A1134" s="117">
        <v>35831</v>
      </c>
      <c r="B1134" s="116">
        <f t="shared" si="17"/>
        <v>21</v>
      </c>
    </row>
    <row r="1135" spans="1:2" x14ac:dyDescent="0.2">
      <c r="A1135" s="117">
        <v>35832</v>
      </c>
      <c r="B1135" s="116">
        <f t="shared" si="17"/>
        <v>21</v>
      </c>
    </row>
    <row r="1136" spans="1:2" x14ac:dyDescent="0.2">
      <c r="A1136" s="117">
        <v>35833</v>
      </c>
      <c r="B1136" s="116">
        <f t="shared" si="17"/>
        <v>21</v>
      </c>
    </row>
    <row r="1137" spans="1:2" x14ac:dyDescent="0.2">
      <c r="A1137" s="117">
        <v>35834</v>
      </c>
      <c r="B1137" s="116">
        <f t="shared" si="17"/>
        <v>22</v>
      </c>
    </row>
    <row r="1138" spans="1:2" x14ac:dyDescent="0.2">
      <c r="A1138" s="117">
        <v>35835</v>
      </c>
      <c r="B1138" s="116">
        <f t="shared" si="17"/>
        <v>22</v>
      </c>
    </row>
    <row r="1139" spans="1:2" x14ac:dyDescent="0.2">
      <c r="A1139" s="117">
        <v>35836</v>
      </c>
      <c r="B1139" s="116">
        <f t="shared" si="17"/>
        <v>22</v>
      </c>
    </row>
    <row r="1140" spans="1:2" x14ac:dyDescent="0.2">
      <c r="A1140" s="117">
        <v>35837</v>
      </c>
      <c r="B1140" s="116">
        <f t="shared" si="17"/>
        <v>22</v>
      </c>
    </row>
    <row r="1141" spans="1:2" x14ac:dyDescent="0.2">
      <c r="A1141" s="117">
        <v>35838</v>
      </c>
      <c r="B1141" s="116">
        <f t="shared" si="17"/>
        <v>22</v>
      </c>
    </row>
    <row r="1142" spans="1:2" x14ac:dyDescent="0.2">
      <c r="A1142" s="117">
        <v>35839</v>
      </c>
      <c r="B1142" s="116">
        <f t="shared" si="17"/>
        <v>22</v>
      </c>
    </row>
    <row r="1143" spans="1:2" x14ac:dyDescent="0.2">
      <c r="A1143" s="117">
        <v>35840</v>
      </c>
      <c r="B1143" s="116">
        <f t="shared" si="17"/>
        <v>22</v>
      </c>
    </row>
    <row r="1144" spans="1:2" x14ac:dyDescent="0.2">
      <c r="A1144" s="117">
        <v>35841</v>
      </c>
      <c r="B1144" s="116">
        <f t="shared" si="17"/>
        <v>23</v>
      </c>
    </row>
    <row r="1145" spans="1:2" x14ac:dyDescent="0.2">
      <c r="A1145" s="117">
        <v>35842</v>
      </c>
      <c r="B1145" s="116">
        <f t="shared" si="17"/>
        <v>23</v>
      </c>
    </row>
    <row r="1146" spans="1:2" x14ac:dyDescent="0.2">
      <c r="A1146" s="117">
        <v>35843</v>
      </c>
      <c r="B1146" s="116">
        <f t="shared" si="17"/>
        <v>23</v>
      </c>
    </row>
    <row r="1147" spans="1:2" x14ac:dyDescent="0.2">
      <c r="A1147" s="117">
        <v>35844</v>
      </c>
      <c r="B1147" s="116">
        <f t="shared" si="17"/>
        <v>23</v>
      </c>
    </row>
    <row r="1148" spans="1:2" x14ac:dyDescent="0.2">
      <c r="A1148" s="117">
        <v>35845</v>
      </c>
      <c r="B1148" s="116">
        <f t="shared" si="17"/>
        <v>23</v>
      </c>
    </row>
    <row r="1149" spans="1:2" x14ac:dyDescent="0.2">
      <c r="A1149" s="117">
        <v>35846</v>
      </c>
      <c r="B1149" s="116">
        <f t="shared" si="17"/>
        <v>23</v>
      </c>
    </row>
    <row r="1150" spans="1:2" x14ac:dyDescent="0.2">
      <c r="A1150" s="117">
        <v>35847</v>
      </c>
      <c r="B1150" s="116">
        <f t="shared" si="17"/>
        <v>23</v>
      </c>
    </row>
    <row r="1151" spans="1:2" x14ac:dyDescent="0.2">
      <c r="A1151" s="117">
        <v>35848</v>
      </c>
      <c r="B1151" s="116">
        <f t="shared" si="17"/>
        <v>24</v>
      </c>
    </row>
    <row r="1152" spans="1:2" x14ac:dyDescent="0.2">
      <c r="A1152" s="117">
        <v>35849</v>
      </c>
      <c r="B1152" s="116">
        <f t="shared" si="17"/>
        <v>24</v>
      </c>
    </row>
    <row r="1153" spans="1:2" x14ac:dyDescent="0.2">
      <c r="A1153" s="117">
        <v>35850</v>
      </c>
      <c r="B1153" s="116">
        <f t="shared" si="17"/>
        <v>24</v>
      </c>
    </row>
    <row r="1154" spans="1:2" x14ac:dyDescent="0.2">
      <c r="A1154" s="117">
        <v>35851</v>
      </c>
      <c r="B1154" s="116">
        <f t="shared" si="17"/>
        <v>24</v>
      </c>
    </row>
    <row r="1155" spans="1:2" x14ac:dyDescent="0.2">
      <c r="A1155" s="117">
        <v>35852</v>
      </c>
      <c r="B1155" s="116">
        <f t="shared" si="17"/>
        <v>24</v>
      </c>
    </row>
    <row r="1156" spans="1:2" x14ac:dyDescent="0.2">
      <c r="A1156" s="117">
        <v>35853</v>
      </c>
      <c r="B1156" s="116">
        <f t="shared" ref="B1156:B1219" si="18">VLOOKUP(WEEKNUM(A1156),$D$4:$E$59,2)</f>
        <v>24</v>
      </c>
    </row>
    <row r="1157" spans="1:2" x14ac:dyDescent="0.2">
      <c r="A1157" s="117">
        <v>35854</v>
      </c>
      <c r="B1157" s="116">
        <f t="shared" si="18"/>
        <v>24</v>
      </c>
    </row>
    <row r="1158" spans="1:2" x14ac:dyDescent="0.2">
      <c r="A1158" s="117">
        <v>35855</v>
      </c>
      <c r="B1158" s="116">
        <f t="shared" si="18"/>
        <v>31</v>
      </c>
    </row>
    <row r="1159" spans="1:2" x14ac:dyDescent="0.2">
      <c r="A1159" s="117">
        <v>35856</v>
      </c>
      <c r="B1159" s="116">
        <f t="shared" si="18"/>
        <v>31</v>
      </c>
    </row>
    <row r="1160" spans="1:2" x14ac:dyDescent="0.2">
      <c r="A1160" s="117">
        <v>35857</v>
      </c>
      <c r="B1160" s="116">
        <f t="shared" si="18"/>
        <v>31</v>
      </c>
    </row>
    <row r="1161" spans="1:2" x14ac:dyDescent="0.2">
      <c r="A1161" s="117">
        <v>35858</v>
      </c>
      <c r="B1161" s="116">
        <f t="shared" si="18"/>
        <v>31</v>
      </c>
    </row>
    <row r="1162" spans="1:2" x14ac:dyDescent="0.2">
      <c r="A1162" s="117">
        <v>35859</v>
      </c>
      <c r="B1162" s="116">
        <f t="shared" si="18"/>
        <v>31</v>
      </c>
    </row>
    <row r="1163" spans="1:2" x14ac:dyDescent="0.2">
      <c r="A1163" s="117">
        <v>35860</v>
      </c>
      <c r="B1163" s="116">
        <f t="shared" si="18"/>
        <v>31</v>
      </c>
    </row>
    <row r="1164" spans="1:2" x14ac:dyDescent="0.2">
      <c r="A1164" s="117">
        <v>35861</v>
      </c>
      <c r="B1164" s="116">
        <f t="shared" si="18"/>
        <v>31</v>
      </c>
    </row>
    <row r="1165" spans="1:2" x14ac:dyDescent="0.2">
      <c r="A1165" s="117">
        <v>35862</v>
      </c>
      <c r="B1165" s="116">
        <f t="shared" si="18"/>
        <v>32</v>
      </c>
    </row>
    <row r="1166" spans="1:2" x14ac:dyDescent="0.2">
      <c r="A1166" s="117">
        <v>35863</v>
      </c>
      <c r="B1166" s="116">
        <f t="shared" si="18"/>
        <v>32</v>
      </c>
    </row>
    <row r="1167" spans="1:2" x14ac:dyDescent="0.2">
      <c r="A1167" s="117">
        <v>35864</v>
      </c>
      <c r="B1167" s="116">
        <f t="shared" si="18"/>
        <v>32</v>
      </c>
    </row>
    <row r="1168" spans="1:2" x14ac:dyDescent="0.2">
      <c r="A1168" s="117">
        <v>35865</v>
      </c>
      <c r="B1168" s="116">
        <f t="shared" si="18"/>
        <v>32</v>
      </c>
    </row>
    <row r="1169" spans="1:2" x14ac:dyDescent="0.2">
      <c r="A1169" s="117">
        <v>35866</v>
      </c>
      <c r="B1169" s="116">
        <f t="shared" si="18"/>
        <v>32</v>
      </c>
    </row>
    <row r="1170" spans="1:2" x14ac:dyDescent="0.2">
      <c r="A1170" s="117">
        <v>35867</v>
      </c>
      <c r="B1170" s="116">
        <f t="shared" si="18"/>
        <v>32</v>
      </c>
    </row>
    <row r="1171" spans="1:2" x14ac:dyDescent="0.2">
      <c r="A1171" s="117">
        <v>35868</v>
      </c>
      <c r="B1171" s="116">
        <f t="shared" si="18"/>
        <v>32</v>
      </c>
    </row>
    <row r="1172" spans="1:2" x14ac:dyDescent="0.2">
      <c r="A1172" s="117">
        <v>35869</v>
      </c>
      <c r="B1172" s="116">
        <f t="shared" si="18"/>
        <v>33</v>
      </c>
    </row>
    <row r="1173" spans="1:2" x14ac:dyDescent="0.2">
      <c r="A1173" s="117">
        <v>35870</v>
      </c>
      <c r="B1173" s="116">
        <f t="shared" si="18"/>
        <v>33</v>
      </c>
    </row>
    <row r="1174" spans="1:2" x14ac:dyDescent="0.2">
      <c r="A1174" s="117">
        <v>35871</v>
      </c>
      <c r="B1174" s="116">
        <f t="shared" si="18"/>
        <v>33</v>
      </c>
    </row>
    <row r="1175" spans="1:2" x14ac:dyDescent="0.2">
      <c r="A1175" s="117">
        <v>35872</v>
      </c>
      <c r="B1175" s="116">
        <f t="shared" si="18"/>
        <v>33</v>
      </c>
    </row>
    <row r="1176" spans="1:2" x14ac:dyDescent="0.2">
      <c r="A1176" s="117">
        <v>35873</v>
      </c>
      <c r="B1176" s="116">
        <f t="shared" si="18"/>
        <v>33</v>
      </c>
    </row>
    <row r="1177" spans="1:2" x14ac:dyDescent="0.2">
      <c r="A1177" s="117">
        <v>35874</v>
      </c>
      <c r="B1177" s="116">
        <f t="shared" si="18"/>
        <v>33</v>
      </c>
    </row>
    <row r="1178" spans="1:2" x14ac:dyDescent="0.2">
      <c r="A1178" s="117">
        <v>35875</v>
      </c>
      <c r="B1178" s="116">
        <f t="shared" si="18"/>
        <v>33</v>
      </c>
    </row>
    <row r="1179" spans="1:2" x14ac:dyDescent="0.2">
      <c r="A1179" s="117">
        <v>35876</v>
      </c>
      <c r="B1179" s="116">
        <f t="shared" si="18"/>
        <v>34</v>
      </c>
    </row>
    <row r="1180" spans="1:2" x14ac:dyDescent="0.2">
      <c r="A1180" s="117">
        <v>35877</v>
      </c>
      <c r="B1180" s="116">
        <f t="shared" si="18"/>
        <v>34</v>
      </c>
    </row>
    <row r="1181" spans="1:2" x14ac:dyDescent="0.2">
      <c r="A1181" s="117">
        <v>35878</v>
      </c>
      <c r="B1181" s="116">
        <f t="shared" si="18"/>
        <v>34</v>
      </c>
    </row>
    <row r="1182" spans="1:2" x14ac:dyDescent="0.2">
      <c r="A1182" s="117">
        <v>35879</v>
      </c>
      <c r="B1182" s="116">
        <f t="shared" si="18"/>
        <v>34</v>
      </c>
    </row>
    <row r="1183" spans="1:2" x14ac:dyDescent="0.2">
      <c r="A1183" s="117">
        <v>35880</v>
      </c>
      <c r="B1183" s="116">
        <f t="shared" si="18"/>
        <v>34</v>
      </c>
    </row>
    <row r="1184" spans="1:2" x14ac:dyDescent="0.2">
      <c r="A1184" s="117">
        <v>35881</v>
      </c>
      <c r="B1184" s="116">
        <f t="shared" si="18"/>
        <v>34</v>
      </c>
    </row>
    <row r="1185" spans="1:2" x14ac:dyDescent="0.2">
      <c r="A1185" s="117">
        <v>35882</v>
      </c>
      <c r="B1185" s="116">
        <f t="shared" si="18"/>
        <v>34</v>
      </c>
    </row>
    <row r="1186" spans="1:2" x14ac:dyDescent="0.2">
      <c r="A1186" s="117">
        <v>35883</v>
      </c>
      <c r="B1186" s="116">
        <f t="shared" si="18"/>
        <v>41</v>
      </c>
    </row>
    <row r="1187" spans="1:2" x14ac:dyDescent="0.2">
      <c r="A1187" s="117">
        <v>35884</v>
      </c>
      <c r="B1187" s="116">
        <f t="shared" si="18"/>
        <v>41</v>
      </c>
    </row>
    <row r="1188" spans="1:2" x14ac:dyDescent="0.2">
      <c r="A1188" s="117">
        <v>35885</v>
      </c>
      <c r="B1188" s="116">
        <f t="shared" si="18"/>
        <v>41</v>
      </c>
    </row>
    <row r="1189" spans="1:2" x14ac:dyDescent="0.2">
      <c r="A1189" s="117">
        <v>35886</v>
      </c>
      <c r="B1189" s="116">
        <f t="shared" si="18"/>
        <v>41</v>
      </c>
    </row>
    <row r="1190" spans="1:2" x14ac:dyDescent="0.2">
      <c r="A1190" s="117">
        <v>35887</v>
      </c>
      <c r="B1190" s="116">
        <f t="shared" si="18"/>
        <v>41</v>
      </c>
    </row>
    <row r="1191" spans="1:2" x14ac:dyDescent="0.2">
      <c r="A1191" s="117">
        <v>35888</v>
      </c>
      <c r="B1191" s="116">
        <f t="shared" si="18"/>
        <v>41</v>
      </c>
    </row>
    <row r="1192" spans="1:2" x14ac:dyDescent="0.2">
      <c r="A1192" s="117">
        <v>35889</v>
      </c>
      <c r="B1192" s="116">
        <f t="shared" si="18"/>
        <v>41</v>
      </c>
    </row>
    <row r="1193" spans="1:2" x14ac:dyDescent="0.2">
      <c r="A1193" s="117">
        <v>35890</v>
      </c>
      <c r="B1193" s="116">
        <f t="shared" si="18"/>
        <v>42</v>
      </c>
    </row>
    <row r="1194" spans="1:2" x14ac:dyDescent="0.2">
      <c r="A1194" s="117">
        <v>35891</v>
      </c>
      <c r="B1194" s="116">
        <f t="shared" si="18"/>
        <v>42</v>
      </c>
    </row>
    <row r="1195" spans="1:2" x14ac:dyDescent="0.2">
      <c r="A1195" s="117">
        <v>35892</v>
      </c>
      <c r="B1195" s="116">
        <f t="shared" si="18"/>
        <v>42</v>
      </c>
    </row>
    <row r="1196" spans="1:2" x14ac:dyDescent="0.2">
      <c r="A1196" s="117">
        <v>35893</v>
      </c>
      <c r="B1196" s="116">
        <f t="shared" si="18"/>
        <v>42</v>
      </c>
    </row>
    <row r="1197" spans="1:2" x14ac:dyDescent="0.2">
      <c r="A1197" s="117">
        <v>35894</v>
      </c>
      <c r="B1197" s="116">
        <f t="shared" si="18"/>
        <v>42</v>
      </c>
    </row>
    <row r="1198" spans="1:2" x14ac:dyDescent="0.2">
      <c r="A1198" s="117">
        <v>35895</v>
      </c>
      <c r="B1198" s="116">
        <f t="shared" si="18"/>
        <v>42</v>
      </c>
    </row>
    <row r="1199" spans="1:2" x14ac:dyDescent="0.2">
      <c r="A1199" s="117">
        <v>35896</v>
      </c>
      <c r="B1199" s="116">
        <f t="shared" si="18"/>
        <v>42</v>
      </c>
    </row>
    <row r="1200" spans="1:2" x14ac:dyDescent="0.2">
      <c r="A1200" s="117">
        <v>35897</v>
      </c>
      <c r="B1200" s="116">
        <f t="shared" si="18"/>
        <v>43</v>
      </c>
    </row>
    <row r="1201" spans="1:2" x14ac:dyDescent="0.2">
      <c r="A1201" s="117">
        <v>35898</v>
      </c>
      <c r="B1201" s="116">
        <f t="shared" si="18"/>
        <v>43</v>
      </c>
    </row>
    <row r="1202" spans="1:2" x14ac:dyDescent="0.2">
      <c r="A1202" s="117">
        <v>35899</v>
      </c>
      <c r="B1202" s="116">
        <f t="shared" si="18"/>
        <v>43</v>
      </c>
    </row>
    <row r="1203" spans="1:2" x14ac:dyDescent="0.2">
      <c r="A1203" s="117">
        <v>35900</v>
      </c>
      <c r="B1203" s="116">
        <f t="shared" si="18"/>
        <v>43</v>
      </c>
    </row>
    <row r="1204" spans="1:2" x14ac:dyDescent="0.2">
      <c r="A1204" s="117">
        <v>35901</v>
      </c>
      <c r="B1204" s="116">
        <f t="shared" si="18"/>
        <v>43</v>
      </c>
    </row>
    <row r="1205" spans="1:2" x14ac:dyDescent="0.2">
      <c r="A1205" s="117">
        <v>35902</v>
      </c>
      <c r="B1205" s="116">
        <f t="shared" si="18"/>
        <v>43</v>
      </c>
    </row>
    <row r="1206" spans="1:2" x14ac:dyDescent="0.2">
      <c r="A1206" s="117">
        <v>35903</v>
      </c>
      <c r="B1206" s="116">
        <f t="shared" si="18"/>
        <v>43</v>
      </c>
    </row>
    <row r="1207" spans="1:2" x14ac:dyDescent="0.2">
      <c r="A1207" s="117">
        <v>35904</v>
      </c>
      <c r="B1207" s="116">
        <f t="shared" si="18"/>
        <v>44</v>
      </c>
    </row>
    <row r="1208" spans="1:2" x14ac:dyDescent="0.2">
      <c r="A1208" s="117">
        <v>35905</v>
      </c>
      <c r="B1208" s="116">
        <f t="shared" si="18"/>
        <v>44</v>
      </c>
    </row>
    <row r="1209" spans="1:2" x14ac:dyDescent="0.2">
      <c r="A1209" s="117">
        <v>35906</v>
      </c>
      <c r="B1209" s="116">
        <f t="shared" si="18"/>
        <v>44</v>
      </c>
    </row>
    <row r="1210" spans="1:2" x14ac:dyDescent="0.2">
      <c r="A1210" s="117">
        <v>35907</v>
      </c>
      <c r="B1210" s="116">
        <f t="shared" si="18"/>
        <v>44</v>
      </c>
    </row>
    <row r="1211" spans="1:2" x14ac:dyDescent="0.2">
      <c r="A1211" s="117">
        <v>35908</v>
      </c>
      <c r="B1211" s="116">
        <f t="shared" si="18"/>
        <v>44</v>
      </c>
    </row>
    <row r="1212" spans="1:2" x14ac:dyDescent="0.2">
      <c r="A1212" s="117">
        <v>35909</v>
      </c>
      <c r="B1212" s="116">
        <f t="shared" si="18"/>
        <v>44</v>
      </c>
    </row>
    <row r="1213" spans="1:2" x14ac:dyDescent="0.2">
      <c r="A1213" s="117">
        <v>35910</v>
      </c>
      <c r="B1213" s="116">
        <f t="shared" si="18"/>
        <v>44</v>
      </c>
    </row>
    <row r="1214" spans="1:2" x14ac:dyDescent="0.2">
      <c r="A1214" s="117">
        <v>35911</v>
      </c>
      <c r="B1214" s="116">
        <f t="shared" si="18"/>
        <v>45</v>
      </c>
    </row>
    <row r="1215" spans="1:2" x14ac:dyDescent="0.2">
      <c r="A1215" s="117">
        <v>35912</v>
      </c>
      <c r="B1215" s="116">
        <f t="shared" si="18"/>
        <v>45</v>
      </c>
    </row>
    <row r="1216" spans="1:2" x14ac:dyDescent="0.2">
      <c r="A1216" s="117">
        <v>35913</v>
      </c>
      <c r="B1216" s="116">
        <f t="shared" si="18"/>
        <v>45</v>
      </c>
    </row>
    <row r="1217" spans="1:2" x14ac:dyDescent="0.2">
      <c r="A1217" s="117">
        <v>35914</v>
      </c>
      <c r="B1217" s="116">
        <f t="shared" si="18"/>
        <v>45</v>
      </c>
    </row>
    <row r="1218" spans="1:2" x14ac:dyDescent="0.2">
      <c r="A1218" s="117">
        <v>35915</v>
      </c>
      <c r="B1218" s="116">
        <f t="shared" si="18"/>
        <v>45</v>
      </c>
    </row>
    <row r="1219" spans="1:2" x14ac:dyDescent="0.2">
      <c r="A1219" s="117">
        <v>35916</v>
      </c>
      <c r="B1219" s="116">
        <f t="shared" si="18"/>
        <v>45</v>
      </c>
    </row>
    <row r="1220" spans="1:2" x14ac:dyDescent="0.2">
      <c r="A1220" s="117">
        <v>35917</v>
      </c>
      <c r="B1220" s="116">
        <f t="shared" ref="B1220:B1283" si="19">VLOOKUP(WEEKNUM(A1220),$D$4:$E$59,2)</f>
        <v>45</v>
      </c>
    </row>
    <row r="1221" spans="1:2" x14ac:dyDescent="0.2">
      <c r="A1221" s="117">
        <v>35918</v>
      </c>
      <c r="B1221" s="116">
        <f t="shared" si="19"/>
        <v>51</v>
      </c>
    </row>
    <row r="1222" spans="1:2" x14ac:dyDescent="0.2">
      <c r="A1222" s="117">
        <v>35919</v>
      </c>
      <c r="B1222" s="116">
        <f t="shared" si="19"/>
        <v>51</v>
      </c>
    </row>
    <row r="1223" spans="1:2" x14ac:dyDescent="0.2">
      <c r="A1223" s="117">
        <v>35920</v>
      </c>
      <c r="B1223" s="116">
        <f t="shared" si="19"/>
        <v>51</v>
      </c>
    </row>
    <row r="1224" spans="1:2" x14ac:dyDescent="0.2">
      <c r="A1224" s="117">
        <v>35921</v>
      </c>
      <c r="B1224" s="116">
        <f t="shared" si="19"/>
        <v>51</v>
      </c>
    </row>
    <row r="1225" spans="1:2" x14ac:dyDescent="0.2">
      <c r="A1225" s="117">
        <v>35922</v>
      </c>
      <c r="B1225" s="116">
        <f t="shared" si="19"/>
        <v>51</v>
      </c>
    </row>
    <row r="1226" spans="1:2" x14ac:dyDescent="0.2">
      <c r="A1226" s="117">
        <v>35923</v>
      </c>
      <c r="B1226" s="116">
        <f t="shared" si="19"/>
        <v>51</v>
      </c>
    </row>
    <row r="1227" spans="1:2" x14ac:dyDescent="0.2">
      <c r="A1227" s="117">
        <v>35924</v>
      </c>
      <c r="B1227" s="116">
        <f t="shared" si="19"/>
        <v>51</v>
      </c>
    </row>
    <row r="1228" spans="1:2" x14ac:dyDescent="0.2">
      <c r="A1228" s="117">
        <v>35925</v>
      </c>
      <c r="B1228" s="116">
        <f t="shared" si="19"/>
        <v>52</v>
      </c>
    </row>
    <row r="1229" spans="1:2" x14ac:dyDescent="0.2">
      <c r="A1229" s="117">
        <v>35926</v>
      </c>
      <c r="B1229" s="116">
        <f t="shared" si="19"/>
        <v>52</v>
      </c>
    </row>
    <row r="1230" spans="1:2" x14ac:dyDescent="0.2">
      <c r="A1230" s="117">
        <v>35927</v>
      </c>
      <c r="B1230" s="116">
        <f t="shared" si="19"/>
        <v>52</v>
      </c>
    </row>
    <row r="1231" spans="1:2" x14ac:dyDescent="0.2">
      <c r="A1231" s="117">
        <v>35928</v>
      </c>
      <c r="B1231" s="116">
        <f t="shared" si="19"/>
        <v>52</v>
      </c>
    </row>
    <row r="1232" spans="1:2" x14ac:dyDescent="0.2">
      <c r="A1232" s="117">
        <v>35929</v>
      </c>
      <c r="B1232" s="116">
        <f t="shared" si="19"/>
        <v>52</v>
      </c>
    </row>
    <row r="1233" spans="1:2" x14ac:dyDescent="0.2">
      <c r="A1233" s="117">
        <v>35930</v>
      </c>
      <c r="B1233" s="116">
        <f t="shared" si="19"/>
        <v>52</v>
      </c>
    </row>
    <row r="1234" spans="1:2" x14ac:dyDescent="0.2">
      <c r="A1234" s="117">
        <v>35931</v>
      </c>
      <c r="B1234" s="116">
        <f t="shared" si="19"/>
        <v>52</v>
      </c>
    </row>
    <row r="1235" spans="1:2" x14ac:dyDescent="0.2">
      <c r="A1235" s="117">
        <v>35932</v>
      </c>
      <c r="B1235" s="116">
        <f t="shared" si="19"/>
        <v>53</v>
      </c>
    </row>
    <row r="1236" spans="1:2" x14ac:dyDescent="0.2">
      <c r="A1236" s="117">
        <v>35933</v>
      </c>
      <c r="B1236" s="116">
        <f t="shared" si="19"/>
        <v>53</v>
      </c>
    </row>
    <row r="1237" spans="1:2" x14ac:dyDescent="0.2">
      <c r="A1237" s="117">
        <v>35934</v>
      </c>
      <c r="B1237" s="116">
        <f t="shared" si="19"/>
        <v>53</v>
      </c>
    </row>
    <row r="1238" spans="1:2" x14ac:dyDescent="0.2">
      <c r="A1238" s="117">
        <v>35935</v>
      </c>
      <c r="B1238" s="116">
        <f t="shared" si="19"/>
        <v>53</v>
      </c>
    </row>
    <row r="1239" spans="1:2" x14ac:dyDescent="0.2">
      <c r="A1239" s="117">
        <v>35936</v>
      </c>
      <c r="B1239" s="116">
        <f t="shared" si="19"/>
        <v>53</v>
      </c>
    </row>
    <row r="1240" spans="1:2" x14ac:dyDescent="0.2">
      <c r="A1240" s="117">
        <v>35937</v>
      </c>
      <c r="B1240" s="116">
        <f t="shared" si="19"/>
        <v>53</v>
      </c>
    </row>
    <row r="1241" spans="1:2" x14ac:dyDescent="0.2">
      <c r="A1241" s="117">
        <v>35938</v>
      </c>
      <c r="B1241" s="116">
        <f t="shared" si="19"/>
        <v>53</v>
      </c>
    </row>
    <row r="1242" spans="1:2" x14ac:dyDescent="0.2">
      <c r="A1242" s="117">
        <v>35939</v>
      </c>
      <c r="B1242" s="116">
        <f t="shared" si="19"/>
        <v>54</v>
      </c>
    </row>
    <row r="1243" spans="1:2" x14ac:dyDescent="0.2">
      <c r="A1243" s="117">
        <v>35940</v>
      </c>
      <c r="B1243" s="116">
        <f t="shared" si="19"/>
        <v>54</v>
      </c>
    </row>
    <row r="1244" spans="1:2" x14ac:dyDescent="0.2">
      <c r="A1244" s="117">
        <v>35941</v>
      </c>
      <c r="B1244" s="116">
        <f t="shared" si="19"/>
        <v>54</v>
      </c>
    </row>
    <row r="1245" spans="1:2" x14ac:dyDescent="0.2">
      <c r="A1245" s="117">
        <v>35942</v>
      </c>
      <c r="B1245" s="116">
        <f t="shared" si="19"/>
        <v>54</v>
      </c>
    </row>
    <row r="1246" spans="1:2" x14ac:dyDescent="0.2">
      <c r="A1246" s="117">
        <v>35943</v>
      </c>
      <c r="B1246" s="116">
        <f t="shared" si="19"/>
        <v>54</v>
      </c>
    </row>
    <row r="1247" spans="1:2" x14ac:dyDescent="0.2">
      <c r="A1247" s="117">
        <v>35944</v>
      </c>
      <c r="B1247" s="116">
        <f t="shared" si="19"/>
        <v>54</v>
      </c>
    </row>
    <row r="1248" spans="1:2" x14ac:dyDescent="0.2">
      <c r="A1248" s="117">
        <v>35945</v>
      </c>
      <c r="B1248" s="116">
        <f t="shared" si="19"/>
        <v>54</v>
      </c>
    </row>
    <row r="1249" spans="1:2" x14ac:dyDescent="0.2">
      <c r="A1249" s="117">
        <v>35946</v>
      </c>
      <c r="B1249" s="116">
        <f t="shared" si="19"/>
        <v>61</v>
      </c>
    </row>
    <row r="1250" spans="1:2" x14ac:dyDescent="0.2">
      <c r="A1250" s="117">
        <v>35947</v>
      </c>
      <c r="B1250" s="116">
        <f t="shared" si="19"/>
        <v>61</v>
      </c>
    </row>
    <row r="1251" spans="1:2" x14ac:dyDescent="0.2">
      <c r="A1251" s="117">
        <v>35948</v>
      </c>
      <c r="B1251" s="116">
        <f t="shared" si="19"/>
        <v>61</v>
      </c>
    </row>
    <row r="1252" spans="1:2" x14ac:dyDescent="0.2">
      <c r="A1252" s="117">
        <v>35949</v>
      </c>
      <c r="B1252" s="116">
        <f t="shared" si="19"/>
        <v>61</v>
      </c>
    </row>
    <row r="1253" spans="1:2" x14ac:dyDescent="0.2">
      <c r="A1253" s="117">
        <v>35950</v>
      </c>
      <c r="B1253" s="116">
        <f t="shared" si="19"/>
        <v>61</v>
      </c>
    </row>
    <row r="1254" spans="1:2" x14ac:dyDescent="0.2">
      <c r="A1254" s="117">
        <v>35951</v>
      </c>
      <c r="B1254" s="116">
        <f t="shared" si="19"/>
        <v>61</v>
      </c>
    </row>
    <row r="1255" spans="1:2" x14ac:dyDescent="0.2">
      <c r="A1255" s="117">
        <v>35952</v>
      </c>
      <c r="B1255" s="116">
        <f t="shared" si="19"/>
        <v>61</v>
      </c>
    </row>
    <row r="1256" spans="1:2" x14ac:dyDescent="0.2">
      <c r="A1256" s="117">
        <v>35953</v>
      </c>
      <c r="B1256" s="116">
        <f t="shared" si="19"/>
        <v>62</v>
      </c>
    </row>
    <row r="1257" spans="1:2" x14ac:dyDescent="0.2">
      <c r="A1257" s="117">
        <v>35954</v>
      </c>
      <c r="B1257" s="116">
        <f t="shared" si="19"/>
        <v>62</v>
      </c>
    </row>
    <row r="1258" spans="1:2" x14ac:dyDescent="0.2">
      <c r="A1258" s="117">
        <v>35955</v>
      </c>
      <c r="B1258" s="116">
        <f t="shared" si="19"/>
        <v>62</v>
      </c>
    </row>
    <row r="1259" spans="1:2" x14ac:dyDescent="0.2">
      <c r="A1259" s="117">
        <v>35956</v>
      </c>
      <c r="B1259" s="116">
        <f t="shared" si="19"/>
        <v>62</v>
      </c>
    </row>
    <row r="1260" spans="1:2" x14ac:dyDescent="0.2">
      <c r="A1260" s="117">
        <v>35957</v>
      </c>
      <c r="B1260" s="116">
        <f t="shared" si="19"/>
        <v>62</v>
      </c>
    </row>
    <row r="1261" spans="1:2" x14ac:dyDescent="0.2">
      <c r="A1261" s="117">
        <v>35958</v>
      </c>
      <c r="B1261" s="116">
        <f t="shared" si="19"/>
        <v>62</v>
      </c>
    </row>
    <row r="1262" spans="1:2" x14ac:dyDescent="0.2">
      <c r="A1262" s="117">
        <v>35959</v>
      </c>
      <c r="B1262" s="116">
        <f t="shared" si="19"/>
        <v>62</v>
      </c>
    </row>
    <row r="1263" spans="1:2" x14ac:dyDescent="0.2">
      <c r="A1263" s="117">
        <v>35960</v>
      </c>
      <c r="B1263" s="116">
        <f t="shared" si="19"/>
        <v>63</v>
      </c>
    </row>
    <row r="1264" spans="1:2" x14ac:dyDescent="0.2">
      <c r="A1264" s="117">
        <v>35961</v>
      </c>
      <c r="B1264" s="116">
        <f t="shared" si="19"/>
        <v>63</v>
      </c>
    </row>
    <row r="1265" spans="1:2" x14ac:dyDescent="0.2">
      <c r="A1265" s="117">
        <v>35962</v>
      </c>
      <c r="B1265" s="116">
        <f t="shared" si="19"/>
        <v>63</v>
      </c>
    </row>
    <row r="1266" spans="1:2" x14ac:dyDescent="0.2">
      <c r="A1266" s="117">
        <v>35963</v>
      </c>
      <c r="B1266" s="116">
        <f t="shared" si="19"/>
        <v>63</v>
      </c>
    </row>
    <row r="1267" spans="1:2" x14ac:dyDescent="0.2">
      <c r="A1267" s="117">
        <v>35964</v>
      </c>
      <c r="B1267" s="116">
        <f t="shared" si="19"/>
        <v>63</v>
      </c>
    </row>
    <row r="1268" spans="1:2" x14ac:dyDescent="0.2">
      <c r="A1268" s="117">
        <v>35965</v>
      </c>
      <c r="B1268" s="116">
        <f t="shared" si="19"/>
        <v>63</v>
      </c>
    </row>
    <row r="1269" spans="1:2" x14ac:dyDescent="0.2">
      <c r="A1269" s="117">
        <v>35966</v>
      </c>
      <c r="B1269" s="116">
        <f t="shared" si="19"/>
        <v>63</v>
      </c>
    </row>
    <row r="1270" spans="1:2" x14ac:dyDescent="0.2">
      <c r="A1270" s="117">
        <v>35967</v>
      </c>
      <c r="B1270" s="116">
        <f t="shared" si="19"/>
        <v>64</v>
      </c>
    </row>
    <row r="1271" spans="1:2" x14ac:dyDescent="0.2">
      <c r="A1271" s="117">
        <v>35968</v>
      </c>
      <c r="B1271" s="116">
        <f t="shared" si="19"/>
        <v>64</v>
      </c>
    </row>
    <row r="1272" spans="1:2" x14ac:dyDescent="0.2">
      <c r="A1272" s="117">
        <v>35969</v>
      </c>
      <c r="B1272" s="116">
        <f t="shared" si="19"/>
        <v>64</v>
      </c>
    </row>
    <row r="1273" spans="1:2" x14ac:dyDescent="0.2">
      <c r="A1273" s="117">
        <v>35970</v>
      </c>
      <c r="B1273" s="116">
        <f t="shared" si="19"/>
        <v>64</v>
      </c>
    </row>
    <row r="1274" spans="1:2" x14ac:dyDescent="0.2">
      <c r="A1274" s="117">
        <v>35971</v>
      </c>
      <c r="B1274" s="116">
        <f t="shared" si="19"/>
        <v>64</v>
      </c>
    </row>
    <row r="1275" spans="1:2" x14ac:dyDescent="0.2">
      <c r="A1275" s="117">
        <v>35972</v>
      </c>
      <c r="B1275" s="116">
        <f t="shared" si="19"/>
        <v>64</v>
      </c>
    </row>
    <row r="1276" spans="1:2" x14ac:dyDescent="0.2">
      <c r="A1276" s="117">
        <v>35973</v>
      </c>
      <c r="B1276" s="116">
        <f t="shared" si="19"/>
        <v>64</v>
      </c>
    </row>
    <row r="1277" spans="1:2" x14ac:dyDescent="0.2">
      <c r="A1277" s="117">
        <v>35974</v>
      </c>
      <c r="B1277" s="116">
        <f t="shared" si="19"/>
        <v>71</v>
      </c>
    </row>
    <row r="1278" spans="1:2" x14ac:dyDescent="0.2">
      <c r="A1278" s="117">
        <v>35975</v>
      </c>
      <c r="B1278" s="116">
        <f t="shared" si="19"/>
        <v>71</v>
      </c>
    </row>
    <row r="1279" spans="1:2" x14ac:dyDescent="0.2">
      <c r="A1279" s="117">
        <v>35976</v>
      </c>
      <c r="B1279" s="116">
        <f t="shared" si="19"/>
        <v>71</v>
      </c>
    </row>
    <row r="1280" spans="1:2" x14ac:dyDescent="0.2">
      <c r="A1280" s="117">
        <v>35977</v>
      </c>
      <c r="B1280" s="116">
        <f t="shared" si="19"/>
        <v>71</v>
      </c>
    </row>
    <row r="1281" spans="1:2" x14ac:dyDescent="0.2">
      <c r="A1281" s="117">
        <v>35978</v>
      </c>
      <c r="B1281" s="116">
        <f t="shared" si="19"/>
        <v>71</v>
      </c>
    </row>
    <row r="1282" spans="1:2" x14ac:dyDescent="0.2">
      <c r="A1282" s="117">
        <v>35979</v>
      </c>
      <c r="B1282" s="116">
        <f t="shared" si="19"/>
        <v>71</v>
      </c>
    </row>
    <row r="1283" spans="1:2" x14ac:dyDescent="0.2">
      <c r="A1283" s="117">
        <v>35980</v>
      </c>
      <c r="B1283" s="116">
        <f t="shared" si="19"/>
        <v>71</v>
      </c>
    </row>
    <row r="1284" spans="1:2" x14ac:dyDescent="0.2">
      <c r="A1284" s="117">
        <v>35981</v>
      </c>
      <c r="B1284" s="116">
        <f t="shared" ref="B1284:B1347" si="20">VLOOKUP(WEEKNUM(A1284),$D$4:$E$59,2)</f>
        <v>72</v>
      </c>
    </row>
    <row r="1285" spans="1:2" x14ac:dyDescent="0.2">
      <c r="A1285" s="117">
        <v>35982</v>
      </c>
      <c r="B1285" s="116">
        <f t="shared" si="20"/>
        <v>72</v>
      </c>
    </row>
    <row r="1286" spans="1:2" x14ac:dyDescent="0.2">
      <c r="A1286" s="117">
        <v>35983</v>
      </c>
      <c r="B1286" s="116">
        <f t="shared" si="20"/>
        <v>72</v>
      </c>
    </row>
    <row r="1287" spans="1:2" x14ac:dyDescent="0.2">
      <c r="A1287" s="117">
        <v>35984</v>
      </c>
      <c r="B1287" s="116">
        <f t="shared" si="20"/>
        <v>72</v>
      </c>
    </row>
    <row r="1288" spans="1:2" x14ac:dyDescent="0.2">
      <c r="A1288" s="117">
        <v>35985</v>
      </c>
      <c r="B1288" s="116">
        <f t="shared" si="20"/>
        <v>72</v>
      </c>
    </row>
    <row r="1289" spans="1:2" x14ac:dyDescent="0.2">
      <c r="A1289" s="117">
        <v>35986</v>
      </c>
      <c r="B1289" s="116">
        <f t="shared" si="20"/>
        <v>72</v>
      </c>
    </row>
    <row r="1290" spans="1:2" x14ac:dyDescent="0.2">
      <c r="A1290" s="117">
        <v>35987</v>
      </c>
      <c r="B1290" s="116">
        <f t="shared" si="20"/>
        <v>72</v>
      </c>
    </row>
    <row r="1291" spans="1:2" x14ac:dyDescent="0.2">
      <c r="A1291" s="117">
        <v>35988</v>
      </c>
      <c r="B1291" s="116">
        <f t="shared" si="20"/>
        <v>73</v>
      </c>
    </row>
    <row r="1292" spans="1:2" x14ac:dyDescent="0.2">
      <c r="A1292" s="117">
        <v>35989</v>
      </c>
      <c r="B1292" s="116">
        <f t="shared" si="20"/>
        <v>73</v>
      </c>
    </row>
    <row r="1293" spans="1:2" x14ac:dyDescent="0.2">
      <c r="A1293" s="117">
        <v>35990</v>
      </c>
      <c r="B1293" s="116">
        <f t="shared" si="20"/>
        <v>73</v>
      </c>
    </row>
    <row r="1294" spans="1:2" x14ac:dyDescent="0.2">
      <c r="A1294" s="117">
        <v>35991</v>
      </c>
      <c r="B1294" s="116">
        <f t="shared" si="20"/>
        <v>73</v>
      </c>
    </row>
    <row r="1295" spans="1:2" x14ac:dyDescent="0.2">
      <c r="A1295" s="117">
        <v>35992</v>
      </c>
      <c r="B1295" s="116">
        <f t="shared" si="20"/>
        <v>73</v>
      </c>
    </row>
    <row r="1296" spans="1:2" x14ac:dyDescent="0.2">
      <c r="A1296" s="117">
        <v>35993</v>
      </c>
      <c r="B1296" s="116">
        <f t="shared" si="20"/>
        <v>73</v>
      </c>
    </row>
    <row r="1297" spans="1:2" x14ac:dyDescent="0.2">
      <c r="A1297" s="117">
        <v>35994</v>
      </c>
      <c r="B1297" s="116">
        <f t="shared" si="20"/>
        <v>73</v>
      </c>
    </row>
    <row r="1298" spans="1:2" x14ac:dyDescent="0.2">
      <c r="A1298" s="117">
        <v>35995</v>
      </c>
      <c r="B1298" s="116">
        <f t="shared" si="20"/>
        <v>74</v>
      </c>
    </row>
    <row r="1299" spans="1:2" x14ac:dyDescent="0.2">
      <c r="A1299" s="117">
        <v>35996</v>
      </c>
      <c r="B1299" s="116">
        <f t="shared" si="20"/>
        <v>74</v>
      </c>
    </row>
    <row r="1300" spans="1:2" x14ac:dyDescent="0.2">
      <c r="A1300" s="117">
        <v>35997</v>
      </c>
      <c r="B1300" s="116">
        <f t="shared" si="20"/>
        <v>74</v>
      </c>
    </row>
    <row r="1301" spans="1:2" x14ac:dyDescent="0.2">
      <c r="A1301" s="117">
        <v>35998</v>
      </c>
      <c r="B1301" s="116">
        <f t="shared" si="20"/>
        <v>74</v>
      </c>
    </row>
    <row r="1302" spans="1:2" x14ac:dyDescent="0.2">
      <c r="A1302" s="117">
        <v>35999</v>
      </c>
      <c r="B1302" s="116">
        <f t="shared" si="20"/>
        <v>74</v>
      </c>
    </row>
    <row r="1303" spans="1:2" x14ac:dyDescent="0.2">
      <c r="A1303" s="117">
        <v>36000</v>
      </c>
      <c r="B1303" s="116">
        <f t="shared" si="20"/>
        <v>74</v>
      </c>
    </row>
    <row r="1304" spans="1:2" x14ac:dyDescent="0.2">
      <c r="A1304" s="117">
        <v>36001</v>
      </c>
      <c r="B1304" s="116">
        <f t="shared" si="20"/>
        <v>74</v>
      </c>
    </row>
    <row r="1305" spans="1:2" x14ac:dyDescent="0.2">
      <c r="A1305" s="117">
        <v>36002</v>
      </c>
      <c r="B1305" s="116">
        <f t="shared" si="20"/>
        <v>75</v>
      </c>
    </row>
    <row r="1306" spans="1:2" x14ac:dyDescent="0.2">
      <c r="A1306" s="117">
        <v>36003</v>
      </c>
      <c r="B1306" s="116">
        <f t="shared" si="20"/>
        <v>75</v>
      </c>
    </row>
    <row r="1307" spans="1:2" x14ac:dyDescent="0.2">
      <c r="A1307" s="117">
        <v>36004</v>
      </c>
      <c r="B1307" s="116">
        <f t="shared" si="20"/>
        <v>75</v>
      </c>
    </row>
    <row r="1308" spans="1:2" x14ac:dyDescent="0.2">
      <c r="A1308" s="117">
        <v>36005</v>
      </c>
      <c r="B1308" s="116">
        <f t="shared" si="20"/>
        <v>75</v>
      </c>
    </row>
    <row r="1309" spans="1:2" x14ac:dyDescent="0.2">
      <c r="A1309" s="117">
        <v>36006</v>
      </c>
      <c r="B1309" s="116">
        <f t="shared" si="20"/>
        <v>75</v>
      </c>
    </row>
    <row r="1310" spans="1:2" x14ac:dyDescent="0.2">
      <c r="A1310" s="117">
        <v>36007</v>
      </c>
      <c r="B1310" s="116">
        <f t="shared" si="20"/>
        <v>75</v>
      </c>
    </row>
    <row r="1311" spans="1:2" x14ac:dyDescent="0.2">
      <c r="A1311" s="117">
        <v>36008</v>
      </c>
      <c r="B1311" s="116">
        <f t="shared" si="20"/>
        <v>75</v>
      </c>
    </row>
    <row r="1312" spans="1:2" x14ac:dyDescent="0.2">
      <c r="A1312" s="117">
        <v>36009</v>
      </c>
      <c r="B1312" s="116">
        <f t="shared" si="20"/>
        <v>81</v>
      </c>
    </row>
    <row r="1313" spans="1:2" x14ac:dyDescent="0.2">
      <c r="A1313" s="117">
        <v>36010</v>
      </c>
      <c r="B1313" s="116">
        <f t="shared" si="20"/>
        <v>81</v>
      </c>
    </row>
    <row r="1314" spans="1:2" x14ac:dyDescent="0.2">
      <c r="A1314" s="117">
        <v>36011</v>
      </c>
      <c r="B1314" s="116">
        <f t="shared" si="20"/>
        <v>81</v>
      </c>
    </row>
    <row r="1315" spans="1:2" x14ac:dyDescent="0.2">
      <c r="A1315" s="117">
        <v>36012</v>
      </c>
      <c r="B1315" s="116">
        <f t="shared" si="20"/>
        <v>81</v>
      </c>
    </row>
    <row r="1316" spans="1:2" x14ac:dyDescent="0.2">
      <c r="A1316" s="117">
        <v>36013</v>
      </c>
      <c r="B1316" s="116">
        <f t="shared" si="20"/>
        <v>81</v>
      </c>
    </row>
    <row r="1317" spans="1:2" x14ac:dyDescent="0.2">
      <c r="A1317" s="117">
        <v>36014</v>
      </c>
      <c r="B1317" s="116">
        <f t="shared" si="20"/>
        <v>81</v>
      </c>
    </row>
    <row r="1318" spans="1:2" x14ac:dyDescent="0.2">
      <c r="A1318" s="117">
        <v>36015</v>
      </c>
      <c r="B1318" s="116">
        <f t="shared" si="20"/>
        <v>81</v>
      </c>
    </row>
    <row r="1319" spans="1:2" x14ac:dyDescent="0.2">
      <c r="A1319" s="117">
        <v>36016</v>
      </c>
      <c r="B1319" s="116">
        <f t="shared" si="20"/>
        <v>82</v>
      </c>
    </row>
    <row r="1320" spans="1:2" x14ac:dyDescent="0.2">
      <c r="A1320" s="117">
        <v>36017</v>
      </c>
      <c r="B1320" s="116">
        <f t="shared" si="20"/>
        <v>82</v>
      </c>
    </row>
    <row r="1321" spans="1:2" x14ac:dyDescent="0.2">
      <c r="A1321" s="117">
        <v>36018</v>
      </c>
      <c r="B1321" s="116">
        <f t="shared" si="20"/>
        <v>82</v>
      </c>
    </row>
    <row r="1322" spans="1:2" x14ac:dyDescent="0.2">
      <c r="A1322" s="117">
        <v>36019</v>
      </c>
      <c r="B1322" s="116">
        <f t="shared" si="20"/>
        <v>82</v>
      </c>
    </row>
    <row r="1323" spans="1:2" x14ac:dyDescent="0.2">
      <c r="A1323" s="117">
        <v>36020</v>
      </c>
      <c r="B1323" s="116">
        <f t="shared" si="20"/>
        <v>82</v>
      </c>
    </row>
    <row r="1324" spans="1:2" x14ac:dyDescent="0.2">
      <c r="A1324" s="117">
        <v>36021</v>
      </c>
      <c r="B1324" s="116">
        <f t="shared" si="20"/>
        <v>82</v>
      </c>
    </row>
    <row r="1325" spans="1:2" x14ac:dyDescent="0.2">
      <c r="A1325" s="117">
        <v>36022</v>
      </c>
      <c r="B1325" s="116">
        <f t="shared" si="20"/>
        <v>82</v>
      </c>
    </row>
    <row r="1326" spans="1:2" x14ac:dyDescent="0.2">
      <c r="A1326" s="117">
        <v>36023</v>
      </c>
      <c r="B1326" s="116">
        <f t="shared" si="20"/>
        <v>83</v>
      </c>
    </row>
    <row r="1327" spans="1:2" x14ac:dyDescent="0.2">
      <c r="A1327" s="117">
        <v>36024</v>
      </c>
      <c r="B1327" s="116">
        <f t="shared" si="20"/>
        <v>83</v>
      </c>
    </row>
    <row r="1328" spans="1:2" x14ac:dyDescent="0.2">
      <c r="A1328" s="117">
        <v>36025</v>
      </c>
      <c r="B1328" s="116">
        <f t="shared" si="20"/>
        <v>83</v>
      </c>
    </row>
    <row r="1329" spans="1:2" x14ac:dyDescent="0.2">
      <c r="A1329" s="117">
        <v>36026</v>
      </c>
      <c r="B1329" s="116">
        <f t="shared" si="20"/>
        <v>83</v>
      </c>
    </row>
    <row r="1330" spans="1:2" x14ac:dyDescent="0.2">
      <c r="A1330" s="117">
        <v>36027</v>
      </c>
      <c r="B1330" s="116">
        <f t="shared" si="20"/>
        <v>83</v>
      </c>
    </row>
    <row r="1331" spans="1:2" x14ac:dyDescent="0.2">
      <c r="A1331" s="117">
        <v>36028</v>
      </c>
      <c r="B1331" s="116">
        <f t="shared" si="20"/>
        <v>83</v>
      </c>
    </row>
    <row r="1332" spans="1:2" x14ac:dyDescent="0.2">
      <c r="A1332" s="117">
        <v>36029</v>
      </c>
      <c r="B1332" s="116">
        <f t="shared" si="20"/>
        <v>83</v>
      </c>
    </row>
    <row r="1333" spans="1:2" x14ac:dyDescent="0.2">
      <c r="A1333" s="117">
        <v>36030</v>
      </c>
      <c r="B1333" s="116">
        <f t="shared" si="20"/>
        <v>84</v>
      </c>
    </row>
    <row r="1334" spans="1:2" x14ac:dyDescent="0.2">
      <c r="A1334" s="117">
        <v>36031</v>
      </c>
      <c r="B1334" s="116">
        <f t="shared" si="20"/>
        <v>84</v>
      </c>
    </row>
    <row r="1335" spans="1:2" x14ac:dyDescent="0.2">
      <c r="A1335" s="117">
        <v>36032</v>
      </c>
      <c r="B1335" s="116">
        <f t="shared" si="20"/>
        <v>84</v>
      </c>
    </row>
    <row r="1336" spans="1:2" x14ac:dyDescent="0.2">
      <c r="A1336" s="117">
        <v>36033</v>
      </c>
      <c r="B1336" s="116">
        <f t="shared" si="20"/>
        <v>84</v>
      </c>
    </row>
    <row r="1337" spans="1:2" x14ac:dyDescent="0.2">
      <c r="A1337" s="117">
        <v>36034</v>
      </c>
      <c r="B1337" s="116">
        <f t="shared" si="20"/>
        <v>84</v>
      </c>
    </row>
    <row r="1338" spans="1:2" x14ac:dyDescent="0.2">
      <c r="A1338" s="117">
        <v>36035</v>
      </c>
      <c r="B1338" s="116">
        <f t="shared" si="20"/>
        <v>84</v>
      </c>
    </row>
    <row r="1339" spans="1:2" x14ac:dyDescent="0.2">
      <c r="A1339" s="117">
        <v>36036</v>
      </c>
      <c r="B1339" s="116">
        <f t="shared" si="20"/>
        <v>84</v>
      </c>
    </row>
    <row r="1340" spans="1:2" x14ac:dyDescent="0.2">
      <c r="A1340" s="117">
        <v>36037</v>
      </c>
      <c r="B1340" s="116">
        <f t="shared" si="20"/>
        <v>91</v>
      </c>
    </row>
    <row r="1341" spans="1:2" x14ac:dyDescent="0.2">
      <c r="A1341" s="117">
        <v>36038</v>
      </c>
      <c r="B1341" s="116">
        <f t="shared" si="20"/>
        <v>91</v>
      </c>
    </row>
    <row r="1342" spans="1:2" x14ac:dyDescent="0.2">
      <c r="A1342" s="117">
        <v>36039</v>
      </c>
      <c r="B1342" s="116">
        <f t="shared" si="20"/>
        <v>91</v>
      </c>
    </row>
    <row r="1343" spans="1:2" x14ac:dyDescent="0.2">
      <c r="A1343" s="117">
        <v>36040</v>
      </c>
      <c r="B1343" s="116">
        <f t="shared" si="20"/>
        <v>91</v>
      </c>
    </row>
    <row r="1344" spans="1:2" x14ac:dyDescent="0.2">
      <c r="A1344" s="117">
        <v>36041</v>
      </c>
      <c r="B1344" s="116">
        <f t="shared" si="20"/>
        <v>91</v>
      </c>
    </row>
    <row r="1345" spans="1:2" x14ac:dyDescent="0.2">
      <c r="A1345" s="117">
        <v>36042</v>
      </c>
      <c r="B1345" s="116">
        <f t="shared" si="20"/>
        <v>91</v>
      </c>
    </row>
    <row r="1346" spans="1:2" x14ac:dyDescent="0.2">
      <c r="A1346" s="117">
        <v>36043</v>
      </c>
      <c r="B1346" s="116">
        <f t="shared" si="20"/>
        <v>91</v>
      </c>
    </row>
    <row r="1347" spans="1:2" x14ac:dyDescent="0.2">
      <c r="A1347" s="117">
        <v>36044</v>
      </c>
      <c r="B1347" s="116">
        <f t="shared" si="20"/>
        <v>92</v>
      </c>
    </row>
    <row r="1348" spans="1:2" x14ac:dyDescent="0.2">
      <c r="A1348" s="117">
        <v>36045</v>
      </c>
      <c r="B1348" s="116">
        <f t="shared" ref="B1348:B1411" si="21">VLOOKUP(WEEKNUM(A1348),$D$4:$E$59,2)</f>
        <v>92</v>
      </c>
    </row>
    <row r="1349" spans="1:2" x14ac:dyDescent="0.2">
      <c r="A1349" s="117">
        <v>36046</v>
      </c>
      <c r="B1349" s="116">
        <f t="shared" si="21"/>
        <v>92</v>
      </c>
    </row>
    <row r="1350" spans="1:2" x14ac:dyDescent="0.2">
      <c r="A1350" s="117">
        <v>36047</v>
      </c>
      <c r="B1350" s="116">
        <f t="shared" si="21"/>
        <v>92</v>
      </c>
    </row>
    <row r="1351" spans="1:2" x14ac:dyDescent="0.2">
      <c r="A1351" s="117">
        <v>36048</v>
      </c>
      <c r="B1351" s="116">
        <f t="shared" si="21"/>
        <v>92</v>
      </c>
    </row>
    <row r="1352" spans="1:2" x14ac:dyDescent="0.2">
      <c r="A1352" s="117">
        <v>36049</v>
      </c>
      <c r="B1352" s="116">
        <f t="shared" si="21"/>
        <v>92</v>
      </c>
    </row>
    <row r="1353" spans="1:2" x14ac:dyDescent="0.2">
      <c r="A1353" s="117">
        <v>36050</v>
      </c>
      <c r="B1353" s="116">
        <f t="shared" si="21"/>
        <v>92</v>
      </c>
    </row>
    <row r="1354" spans="1:2" x14ac:dyDescent="0.2">
      <c r="A1354" s="117">
        <v>36051</v>
      </c>
      <c r="B1354" s="116">
        <f t="shared" si="21"/>
        <v>93</v>
      </c>
    </row>
    <row r="1355" spans="1:2" x14ac:dyDescent="0.2">
      <c r="A1355" s="117">
        <v>36052</v>
      </c>
      <c r="B1355" s="116">
        <f t="shared" si="21"/>
        <v>93</v>
      </c>
    </row>
    <row r="1356" spans="1:2" x14ac:dyDescent="0.2">
      <c r="A1356" s="117">
        <v>36053</v>
      </c>
      <c r="B1356" s="116">
        <f t="shared" si="21"/>
        <v>93</v>
      </c>
    </row>
    <row r="1357" spans="1:2" x14ac:dyDescent="0.2">
      <c r="A1357" s="117">
        <v>36054</v>
      </c>
      <c r="B1357" s="116">
        <f t="shared" si="21"/>
        <v>93</v>
      </c>
    </row>
    <row r="1358" spans="1:2" x14ac:dyDescent="0.2">
      <c r="A1358" s="117">
        <v>36055</v>
      </c>
      <c r="B1358" s="116">
        <f t="shared" si="21"/>
        <v>93</v>
      </c>
    </row>
    <row r="1359" spans="1:2" x14ac:dyDescent="0.2">
      <c r="A1359" s="117">
        <v>36056</v>
      </c>
      <c r="B1359" s="116">
        <f t="shared" si="21"/>
        <v>93</v>
      </c>
    </row>
    <row r="1360" spans="1:2" x14ac:dyDescent="0.2">
      <c r="A1360" s="117">
        <v>36057</v>
      </c>
      <c r="B1360" s="116">
        <f t="shared" si="21"/>
        <v>93</v>
      </c>
    </row>
    <row r="1361" spans="1:2" x14ac:dyDescent="0.2">
      <c r="A1361" s="117">
        <v>36058</v>
      </c>
      <c r="B1361" s="116">
        <f t="shared" si="21"/>
        <v>94</v>
      </c>
    </row>
    <row r="1362" spans="1:2" x14ac:dyDescent="0.2">
      <c r="A1362" s="117">
        <v>36059</v>
      </c>
      <c r="B1362" s="116">
        <f t="shared" si="21"/>
        <v>94</v>
      </c>
    </row>
    <row r="1363" spans="1:2" x14ac:dyDescent="0.2">
      <c r="A1363" s="117">
        <v>36060</v>
      </c>
      <c r="B1363" s="116">
        <f t="shared" si="21"/>
        <v>94</v>
      </c>
    </row>
    <row r="1364" spans="1:2" x14ac:dyDescent="0.2">
      <c r="A1364" s="117">
        <v>36061</v>
      </c>
      <c r="B1364" s="116">
        <f t="shared" si="21"/>
        <v>94</v>
      </c>
    </row>
    <row r="1365" spans="1:2" x14ac:dyDescent="0.2">
      <c r="A1365" s="117">
        <v>36062</v>
      </c>
      <c r="B1365" s="116">
        <f t="shared" si="21"/>
        <v>94</v>
      </c>
    </row>
    <row r="1366" spans="1:2" x14ac:dyDescent="0.2">
      <c r="A1366" s="117">
        <v>36063</v>
      </c>
      <c r="B1366" s="116">
        <f t="shared" si="21"/>
        <v>94</v>
      </c>
    </row>
    <row r="1367" spans="1:2" x14ac:dyDescent="0.2">
      <c r="A1367" s="117">
        <v>36064</v>
      </c>
      <c r="B1367" s="116">
        <f t="shared" si="21"/>
        <v>94</v>
      </c>
    </row>
    <row r="1368" spans="1:2" x14ac:dyDescent="0.2">
      <c r="A1368" s="117">
        <v>36065</v>
      </c>
      <c r="B1368" s="116">
        <f t="shared" si="21"/>
        <v>101</v>
      </c>
    </row>
    <row r="1369" spans="1:2" x14ac:dyDescent="0.2">
      <c r="A1369" s="117">
        <v>36066</v>
      </c>
      <c r="B1369" s="116">
        <f t="shared" si="21"/>
        <v>101</v>
      </c>
    </row>
    <row r="1370" spans="1:2" x14ac:dyDescent="0.2">
      <c r="A1370" s="117">
        <v>36067</v>
      </c>
      <c r="B1370" s="116">
        <f t="shared" si="21"/>
        <v>101</v>
      </c>
    </row>
    <row r="1371" spans="1:2" x14ac:dyDescent="0.2">
      <c r="A1371" s="117">
        <v>36068</v>
      </c>
      <c r="B1371" s="116">
        <f t="shared" si="21"/>
        <v>101</v>
      </c>
    </row>
    <row r="1372" spans="1:2" x14ac:dyDescent="0.2">
      <c r="A1372" s="117">
        <v>36069</v>
      </c>
      <c r="B1372" s="116">
        <f t="shared" si="21"/>
        <v>101</v>
      </c>
    </row>
    <row r="1373" spans="1:2" x14ac:dyDescent="0.2">
      <c r="A1373" s="117">
        <v>36070</v>
      </c>
      <c r="B1373" s="116">
        <f t="shared" si="21"/>
        <v>101</v>
      </c>
    </row>
    <row r="1374" spans="1:2" x14ac:dyDescent="0.2">
      <c r="A1374" s="117">
        <v>36071</v>
      </c>
      <c r="B1374" s="116">
        <f t="shared" si="21"/>
        <v>101</v>
      </c>
    </row>
    <row r="1375" spans="1:2" x14ac:dyDescent="0.2">
      <c r="A1375" s="117">
        <v>36072</v>
      </c>
      <c r="B1375" s="116">
        <f t="shared" si="21"/>
        <v>102</v>
      </c>
    </row>
    <row r="1376" spans="1:2" x14ac:dyDescent="0.2">
      <c r="A1376" s="117">
        <v>36073</v>
      </c>
      <c r="B1376" s="116">
        <f t="shared" si="21"/>
        <v>102</v>
      </c>
    </row>
    <row r="1377" spans="1:2" x14ac:dyDescent="0.2">
      <c r="A1377" s="117">
        <v>36074</v>
      </c>
      <c r="B1377" s="116">
        <f t="shared" si="21"/>
        <v>102</v>
      </c>
    </row>
    <row r="1378" spans="1:2" x14ac:dyDescent="0.2">
      <c r="A1378" s="117">
        <v>36075</v>
      </c>
      <c r="B1378" s="116">
        <f t="shared" si="21"/>
        <v>102</v>
      </c>
    </row>
    <row r="1379" spans="1:2" x14ac:dyDescent="0.2">
      <c r="A1379" s="117">
        <v>36076</v>
      </c>
      <c r="B1379" s="116">
        <f t="shared" si="21"/>
        <v>102</v>
      </c>
    </row>
    <row r="1380" spans="1:2" x14ac:dyDescent="0.2">
      <c r="A1380" s="117">
        <v>36077</v>
      </c>
      <c r="B1380" s="116">
        <f t="shared" si="21"/>
        <v>102</v>
      </c>
    </row>
    <row r="1381" spans="1:2" x14ac:dyDescent="0.2">
      <c r="A1381" s="117">
        <v>36078</v>
      </c>
      <c r="B1381" s="116">
        <f t="shared" si="21"/>
        <v>102</v>
      </c>
    </row>
    <row r="1382" spans="1:2" x14ac:dyDescent="0.2">
      <c r="A1382" s="117">
        <v>36079</v>
      </c>
      <c r="B1382" s="116">
        <f t="shared" si="21"/>
        <v>103</v>
      </c>
    </row>
    <row r="1383" spans="1:2" x14ac:dyDescent="0.2">
      <c r="A1383" s="117">
        <v>36080</v>
      </c>
      <c r="B1383" s="116">
        <f t="shared" si="21"/>
        <v>103</v>
      </c>
    </row>
    <row r="1384" spans="1:2" x14ac:dyDescent="0.2">
      <c r="A1384" s="117">
        <v>36081</v>
      </c>
      <c r="B1384" s="116">
        <f t="shared" si="21"/>
        <v>103</v>
      </c>
    </row>
    <row r="1385" spans="1:2" x14ac:dyDescent="0.2">
      <c r="A1385" s="117">
        <v>36082</v>
      </c>
      <c r="B1385" s="116">
        <f t="shared" si="21"/>
        <v>103</v>
      </c>
    </row>
    <row r="1386" spans="1:2" x14ac:dyDescent="0.2">
      <c r="A1386" s="117">
        <v>36083</v>
      </c>
      <c r="B1386" s="116">
        <f t="shared" si="21"/>
        <v>103</v>
      </c>
    </row>
    <row r="1387" spans="1:2" x14ac:dyDescent="0.2">
      <c r="A1387" s="117">
        <v>36084</v>
      </c>
      <c r="B1387" s="116">
        <f t="shared" si="21"/>
        <v>103</v>
      </c>
    </row>
    <row r="1388" spans="1:2" x14ac:dyDescent="0.2">
      <c r="A1388" s="117">
        <v>36085</v>
      </c>
      <c r="B1388" s="116">
        <f t="shared" si="21"/>
        <v>103</v>
      </c>
    </row>
    <row r="1389" spans="1:2" x14ac:dyDescent="0.2">
      <c r="A1389" s="117">
        <v>36086</v>
      </c>
      <c r="B1389" s="116">
        <f t="shared" si="21"/>
        <v>104</v>
      </c>
    </row>
    <row r="1390" spans="1:2" x14ac:dyDescent="0.2">
      <c r="A1390" s="117">
        <v>36087</v>
      </c>
      <c r="B1390" s="116">
        <f t="shared" si="21"/>
        <v>104</v>
      </c>
    </row>
    <row r="1391" spans="1:2" x14ac:dyDescent="0.2">
      <c r="A1391" s="117">
        <v>36088</v>
      </c>
      <c r="B1391" s="116">
        <f t="shared" si="21"/>
        <v>104</v>
      </c>
    </row>
    <row r="1392" spans="1:2" x14ac:dyDescent="0.2">
      <c r="A1392" s="117">
        <v>36089</v>
      </c>
      <c r="B1392" s="116">
        <f t="shared" si="21"/>
        <v>104</v>
      </c>
    </row>
    <row r="1393" spans="1:2" x14ac:dyDescent="0.2">
      <c r="A1393" s="117">
        <v>36090</v>
      </c>
      <c r="B1393" s="116">
        <f t="shared" si="21"/>
        <v>104</v>
      </c>
    </row>
    <row r="1394" spans="1:2" x14ac:dyDescent="0.2">
      <c r="A1394" s="117">
        <v>36091</v>
      </c>
      <c r="B1394" s="116">
        <f t="shared" si="21"/>
        <v>104</v>
      </c>
    </row>
    <row r="1395" spans="1:2" x14ac:dyDescent="0.2">
      <c r="A1395" s="117">
        <v>36092</v>
      </c>
      <c r="B1395" s="116">
        <f t="shared" si="21"/>
        <v>104</v>
      </c>
    </row>
    <row r="1396" spans="1:2" x14ac:dyDescent="0.2">
      <c r="A1396" s="117">
        <v>36093</v>
      </c>
      <c r="B1396" s="116">
        <f t="shared" si="21"/>
        <v>105</v>
      </c>
    </row>
    <row r="1397" spans="1:2" x14ac:dyDescent="0.2">
      <c r="A1397" s="117">
        <v>36094</v>
      </c>
      <c r="B1397" s="116">
        <f t="shared" si="21"/>
        <v>105</v>
      </c>
    </row>
    <row r="1398" spans="1:2" x14ac:dyDescent="0.2">
      <c r="A1398" s="117">
        <v>36095</v>
      </c>
      <c r="B1398" s="116">
        <f t="shared" si="21"/>
        <v>105</v>
      </c>
    </row>
    <row r="1399" spans="1:2" x14ac:dyDescent="0.2">
      <c r="A1399" s="117">
        <v>36096</v>
      </c>
      <c r="B1399" s="116">
        <f t="shared" si="21"/>
        <v>105</v>
      </c>
    </row>
    <row r="1400" spans="1:2" x14ac:dyDescent="0.2">
      <c r="A1400" s="117">
        <v>36097</v>
      </c>
      <c r="B1400" s="116">
        <f t="shared" si="21"/>
        <v>105</v>
      </c>
    </row>
    <row r="1401" spans="1:2" x14ac:dyDescent="0.2">
      <c r="A1401" s="117">
        <v>36098</v>
      </c>
      <c r="B1401" s="116">
        <f t="shared" si="21"/>
        <v>105</v>
      </c>
    </row>
    <row r="1402" spans="1:2" x14ac:dyDescent="0.2">
      <c r="A1402" s="117">
        <v>36099</v>
      </c>
      <c r="B1402" s="116">
        <f t="shared" si="21"/>
        <v>105</v>
      </c>
    </row>
    <row r="1403" spans="1:2" x14ac:dyDescent="0.2">
      <c r="A1403" s="117">
        <v>36100</v>
      </c>
      <c r="B1403" s="116">
        <f t="shared" si="21"/>
        <v>111</v>
      </c>
    </row>
    <row r="1404" spans="1:2" x14ac:dyDescent="0.2">
      <c r="A1404" s="117">
        <v>36101</v>
      </c>
      <c r="B1404" s="116">
        <f t="shared" si="21"/>
        <v>111</v>
      </c>
    </row>
    <row r="1405" spans="1:2" x14ac:dyDescent="0.2">
      <c r="A1405" s="117">
        <v>36102</v>
      </c>
      <c r="B1405" s="116">
        <f t="shared" si="21"/>
        <v>111</v>
      </c>
    </row>
    <row r="1406" spans="1:2" x14ac:dyDescent="0.2">
      <c r="A1406" s="117">
        <v>36103</v>
      </c>
      <c r="B1406" s="116">
        <f t="shared" si="21"/>
        <v>111</v>
      </c>
    </row>
    <row r="1407" spans="1:2" x14ac:dyDescent="0.2">
      <c r="A1407" s="117">
        <v>36104</v>
      </c>
      <c r="B1407" s="116">
        <f t="shared" si="21"/>
        <v>111</v>
      </c>
    </row>
    <row r="1408" spans="1:2" x14ac:dyDescent="0.2">
      <c r="A1408" s="117">
        <v>36105</v>
      </c>
      <c r="B1408" s="116">
        <f t="shared" si="21"/>
        <v>111</v>
      </c>
    </row>
    <row r="1409" spans="1:2" x14ac:dyDescent="0.2">
      <c r="A1409" s="117">
        <v>36106</v>
      </c>
      <c r="B1409" s="116">
        <f t="shared" si="21"/>
        <v>111</v>
      </c>
    </row>
    <row r="1410" spans="1:2" x14ac:dyDescent="0.2">
      <c r="A1410" s="117">
        <v>36107</v>
      </c>
      <c r="B1410" s="116">
        <f t="shared" si="21"/>
        <v>112</v>
      </c>
    </row>
    <row r="1411" spans="1:2" x14ac:dyDescent="0.2">
      <c r="A1411" s="117">
        <v>36108</v>
      </c>
      <c r="B1411" s="116">
        <f t="shared" si="21"/>
        <v>112</v>
      </c>
    </row>
    <row r="1412" spans="1:2" x14ac:dyDescent="0.2">
      <c r="A1412" s="117">
        <v>36109</v>
      </c>
      <c r="B1412" s="116">
        <f t="shared" ref="B1412:B1475" si="22">VLOOKUP(WEEKNUM(A1412),$D$4:$E$59,2)</f>
        <v>112</v>
      </c>
    </row>
    <row r="1413" spans="1:2" x14ac:dyDescent="0.2">
      <c r="A1413" s="117">
        <v>36110</v>
      </c>
      <c r="B1413" s="116">
        <f t="shared" si="22"/>
        <v>112</v>
      </c>
    </row>
    <row r="1414" spans="1:2" x14ac:dyDescent="0.2">
      <c r="A1414" s="117">
        <v>36111</v>
      </c>
      <c r="B1414" s="116">
        <f t="shared" si="22"/>
        <v>112</v>
      </c>
    </row>
    <row r="1415" spans="1:2" x14ac:dyDescent="0.2">
      <c r="A1415" s="117">
        <v>36112</v>
      </c>
      <c r="B1415" s="116">
        <f t="shared" si="22"/>
        <v>112</v>
      </c>
    </row>
    <row r="1416" spans="1:2" x14ac:dyDescent="0.2">
      <c r="A1416" s="117">
        <v>36113</v>
      </c>
      <c r="B1416" s="116">
        <f t="shared" si="22"/>
        <v>112</v>
      </c>
    </row>
    <row r="1417" spans="1:2" x14ac:dyDescent="0.2">
      <c r="A1417" s="117">
        <v>36114</v>
      </c>
      <c r="B1417" s="116">
        <f t="shared" si="22"/>
        <v>113</v>
      </c>
    </row>
    <row r="1418" spans="1:2" x14ac:dyDescent="0.2">
      <c r="A1418" s="117">
        <v>36115</v>
      </c>
      <c r="B1418" s="116">
        <f t="shared" si="22"/>
        <v>113</v>
      </c>
    </row>
    <row r="1419" spans="1:2" x14ac:dyDescent="0.2">
      <c r="A1419" s="117">
        <v>36116</v>
      </c>
      <c r="B1419" s="116">
        <f t="shared" si="22"/>
        <v>113</v>
      </c>
    </row>
    <row r="1420" spans="1:2" x14ac:dyDescent="0.2">
      <c r="A1420" s="117">
        <v>36117</v>
      </c>
      <c r="B1420" s="116">
        <f t="shared" si="22"/>
        <v>113</v>
      </c>
    </row>
    <row r="1421" spans="1:2" x14ac:dyDescent="0.2">
      <c r="A1421" s="117">
        <v>36118</v>
      </c>
      <c r="B1421" s="116">
        <f t="shared" si="22"/>
        <v>113</v>
      </c>
    </row>
    <row r="1422" spans="1:2" x14ac:dyDescent="0.2">
      <c r="A1422" s="117">
        <v>36119</v>
      </c>
      <c r="B1422" s="116">
        <f t="shared" si="22"/>
        <v>113</v>
      </c>
    </row>
    <row r="1423" spans="1:2" x14ac:dyDescent="0.2">
      <c r="A1423" s="117">
        <v>36120</v>
      </c>
      <c r="B1423" s="116">
        <f t="shared" si="22"/>
        <v>113</v>
      </c>
    </row>
    <row r="1424" spans="1:2" x14ac:dyDescent="0.2">
      <c r="A1424" s="117">
        <v>36121</v>
      </c>
      <c r="B1424" s="116">
        <f t="shared" si="22"/>
        <v>114</v>
      </c>
    </row>
    <row r="1425" spans="1:2" x14ac:dyDescent="0.2">
      <c r="A1425" s="117">
        <v>36122</v>
      </c>
      <c r="B1425" s="116">
        <f t="shared" si="22"/>
        <v>114</v>
      </c>
    </row>
    <row r="1426" spans="1:2" x14ac:dyDescent="0.2">
      <c r="A1426" s="117">
        <v>36123</v>
      </c>
      <c r="B1426" s="116">
        <f t="shared" si="22"/>
        <v>114</v>
      </c>
    </row>
    <row r="1427" spans="1:2" x14ac:dyDescent="0.2">
      <c r="A1427" s="117">
        <v>36124</v>
      </c>
      <c r="B1427" s="116">
        <f t="shared" si="22"/>
        <v>114</v>
      </c>
    </row>
    <row r="1428" spans="1:2" x14ac:dyDescent="0.2">
      <c r="A1428" s="117">
        <v>36125</v>
      </c>
      <c r="B1428" s="116">
        <f t="shared" si="22"/>
        <v>114</v>
      </c>
    </row>
    <row r="1429" spans="1:2" x14ac:dyDescent="0.2">
      <c r="A1429" s="117">
        <v>36126</v>
      </c>
      <c r="B1429" s="116">
        <f t="shared" si="22"/>
        <v>114</v>
      </c>
    </row>
    <row r="1430" spans="1:2" x14ac:dyDescent="0.2">
      <c r="A1430" s="117">
        <v>36127</v>
      </c>
      <c r="B1430" s="116">
        <f t="shared" si="22"/>
        <v>114</v>
      </c>
    </row>
    <row r="1431" spans="1:2" x14ac:dyDescent="0.2">
      <c r="A1431" s="117">
        <v>36128</v>
      </c>
      <c r="B1431" s="116">
        <f t="shared" si="22"/>
        <v>115</v>
      </c>
    </row>
    <row r="1432" spans="1:2" x14ac:dyDescent="0.2">
      <c r="A1432" s="117">
        <v>36129</v>
      </c>
      <c r="B1432" s="116">
        <f t="shared" si="22"/>
        <v>115</v>
      </c>
    </row>
    <row r="1433" spans="1:2" x14ac:dyDescent="0.2">
      <c r="A1433" s="117">
        <v>36130</v>
      </c>
      <c r="B1433" s="116">
        <f t="shared" si="22"/>
        <v>115</v>
      </c>
    </row>
    <row r="1434" spans="1:2" x14ac:dyDescent="0.2">
      <c r="A1434" s="117">
        <v>36131</v>
      </c>
      <c r="B1434" s="116">
        <f t="shared" si="22"/>
        <v>115</v>
      </c>
    </row>
    <row r="1435" spans="1:2" x14ac:dyDescent="0.2">
      <c r="A1435" s="117">
        <v>36132</v>
      </c>
      <c r="B1435" s="116">
        <f t="shared" si="22"/>
        <v>115</v>
      </c>
    </row>
    <row r="1436" spans="1:2" x14ac:dyDescent="0.2">
      <c r="A1436" s="117">
        <v>36133</v>
      </c>
      <c r="B1436" s="116">
        <f t="shared" si="22"/>
        <v>115</v>
      </c>
    </row>
    <row r="1437" spans="1:2" x14ac:dyDescent="0.2">
      <c r="A1437" s="117">
        <v>36134</v>
      </c>
      <c r="B1437" s="116">
        <f t="shared" si="22"/>
        <v>115</v>
      </c>
    </row>
    <row r="1438" spans="1:2" x14ac:dyDescent="0.2">
      <c r="A1438" s="117">
        <v>36135</v>
      </c>
      <c r="B1438" s="116">
        <f t="shared" si="22"/>
        <v>121</v>
      </c>
    </row>
    <row r="1439" spans="1:2" x14ac:dyDescent="0.2">
      <c r="A1439" s="117">
        <v>36136</v>
      </c>
      <c r="B1439" s="116">
        <f t="shared" si="22"/>
        <v>121</v>
      </c>
    </row>
    <row r="1440" spans="1:2" x14ac:dyDescent="0.2">
      <c r="A1440" s="117">
        <v>36137</v>
      </c>
      <c r="B1440" s="116">
        <f t="shared" si="22"/>
        <v>121</v>
      </c>
    </row>
    <row r="1441" spans="1:2" x14ac:dyDescent="0.2">
      <c r="A1441" s="117">
        <v>36138</v>
      </c>
      <c r="B1441" s="116">
        <f t="shared" si="22"/>
        <v>121</v>
      </c>
    </row>
    <row r="1442" spans="1:2" x14ac:dyDescent="0.2">
      <c r="A1442" s="117">
        <v>36139</v>
      </c>
      <c r="B1442" s="116">
        <f t="shared" si="22"/>
        <v>121</v>
      </c>
    </row>
    <row r="1443" spans="1:2" x14ac:dyDescent="0.2">
      <c r="A1443" s="117">
        <v>36140</v>
      </c>
      <c r="B1443" s="116">
        <f t="shared" si="22"/>
        <v>121</v>
      </c>
    </row>
    <row r="1444" spans="1:2" x14ac:dyDescent="0.2">
      <c r="A1444" s="117">
        <v>36141</v>
      </c>
      <c r="B1444" s="116">
        <f t="shared" si="22"/>
        <v>121</v>
      </c>
    </row>
    <row r="1445" spans="1:2" x14ac:dyDescent="0.2">
      <c r="A1445" s="117">
        <v>36142</v>
      </c>
      <c r="B1445" s="116">
        <f t="shared" si="22"/>
        <v>122</v>
      </c>
    </row>
    <row r="1446" spans="1:2" x14ac:dyDescent="0.2">
      <c r="A1446" s="117">
        <v>36143</v>
      </c>
      <c r="B1446" s="116">
        <f t="shared" si="22"/>
        <v>122</v>
      </c>
    </row>
    <row r="1447" spans="1:2" x14ac:dyDescent="0.2">
      <c r="A1447" s="117">
        <v>36144</v>
      </c>
      <c r="B1447" s="116">
        <f t="shared" si="22"/>
        <v>122</v>
      </c>
    </row>
    <row r="1448" spans="1:2" x14ac:dyDescent="0.2">
      <c r="A1448" s="117">
        <v>36145</v>
      </c>
      <c r="B1448" s="116">
        <f t="shared" si="22"/>
        <v>122</v>
      </c>
    </row>
    <row r="1449" spans="1:2" x14ac:dyDescent="0.2">
      <c r="A1449" s="117">
        <v>36146</v>
      </c>
      <c r="B1449" s="116">
        <f t="shared" si="22"/>
        <v>122</v>
      </c>
    </row>
    <row r="1450" spans="1:2" x14ac:dyDescent="0.2">
      <c r="A1450" s="117">
        <v>36147</v>
      </c>
      <c r="B1450" s="116">
        <f t="shared" si="22"/>
        <v>122</v>
      </c>
    </row>
    <row r="1451" spans="1:2" x14ac:dyDescent="0.2">
      <c r="A1451" s="117">
        <v>36148</v>
      </c>
      <c r="B1451" s="116">
        <f t="shared" si="22"/>
        <v>122</v>
      </c>
    </row>
    <row r="1452" spans="1:2" x14ac:dyDescent="0.2">
      <c r="A1452" s="117">
        <v>36149</v>
      </c>
      <c r="B1452" s="116">
        <f t="shared" si="22"/>
        <v>123</v>
      </c>
    </row>
    <row r="1453" spans="1:2" x14ac:dyDescent="0.2">
      <c r="A1453" s="117">
        <v>36150</v>
      </c>
      <c r="B1453" s="116">
        <f t="shared" si="22"/>
        <v>123</v>
      </c>
    </row>
    <row r="1454" spans="1:2" x14ac:dyDescent="0.2">
      <c r="A1454" s="117">
        <v>36151</v>
      </c>
      <c r="B1454" s="116">
        <f t="shared" si="22"/>
        <v>123</v>
      </c>
    </row>
    <row r="1455" spans="1:2" x14ac:dyDescent="0.2">
      <c r="A1455" s="117">
        <v>36152</v>
      </c>
      <c r="B1455" s="116">
        <f t="shared" si="22"/>
        <v>123</v>
      </c>
    </row>
    <row r="1456" spans="1:2" x14ac:dyDescent="0.2">
      <c r="A1456" s="117">
        <v>36153</v>
      </c>
      <c r="B1456" s="116">
        <f t="shared" si="22"/>
        <v>123</v>
      </c>
    </row>
    <row r="1457" spans="1:2" x14ac:dyDescent="0.2">
      <c r="A1457" s="117">
        <v>36154</v>
      </c>
      <c r="B1457" s="116">
        <f t="shared" si="22"/>
        <v>123</v>
      </c>
    </row>
    <row r="1458" spans="1:2" x14ac:dyDescent="0.2">
      <c r="A1458" s="117">
        <v>36155</v>
      </c>
      <c r="B1458" s="116">
        <f t="shared" si="22"/>
        <v>123</v>
      </c>
    </row>
    <row r="1459" spans="1:2" x14ac:dyDescent="0.2">
      <c r="A1459" s="117">
        <v>36156</v>
      </c>
      <c r="B1459" s="116">
        <f t="shared" si="22"/>
        <v>124</v>
      </c>
    </row>
    <row r="1460" spans="1:2" x14ac:dyDescent="0.2">
      <c r="A1460" s="117">
        <v>36157</v>
      </c>
      <c r="B1460" s="116">
        <f t="shared" si="22"/>
        <v>124</v>
      </c>
    </row>
    <row r="1461" spans="1:2" x14ac:dyDescent="0.2">
      <c r="A1461" s="117">
        <v>36158</v>
      </c>
      <c r="B1461" s="116">
        <f t="shared" si="22"/>
        <v>124</v>
      </c>
    </row>
    <row r="1462" spans="1:2" x14ac:dyDescent="0.2">
      <c r="A1462" s="117">
        <v>36159</v>
      </c>
      <c r="B1462" s="116">
        <f t="shared" si="22"/>
        <v>124</v>
      </c>
    </row>
    <row r="1463" spans="1:2" x14ac:dyDescent="0.2">
      <c r="A1463" s="117">
        <v>36160</v>
      </c>
      <c r="B1463" s="116">
        <f t="shared" si="22"/>
        <v>124</v>
      </c>
    </row>
    <row r="1464" spans="1:2" x14ac:dyDescent="0.2">
      <c r="A1464" s="117">
        <v>36161</v>
      </c>
      <c r="B1464" s="116">
        <f t="shared" si="22"/>
        <v>11</v>
      </c>
    </row>
    <row r="1465" spans="1:2" x14ac:dyDescent="0.2">
      <c r="A1465" s="117">
        <v>36162</v>
      </c>
      <c r="B1465" s="116">
        <f t="shared" si="22"/>
        <v>11</v>
      </c>
    </row>
    <row r="1466" spans="1:2" x14ac:dyDescent="0.2">
      <c r="A1466" s="117">
        <v>36163</v>
      </c>
      <c r="B1466" s="116">
        <f t="shared" si="22"/>
        <v>12</v>
      </c>
    </row>
    <row r="1467" spans="1:2" x14ac:dyDescent="0.2">
      <c r="A1467" s="117">
        <v>36164</v>
      </c>
      <c r="B1467" s="116">
        <f t="shared" si="22"/>
        <v>12</v>
      </c>
    </row>
    <row r="1468" spans="1:2" x14ac:dyDescent="0.2">
      <c r="A1468" s="117">
        <v>36165</v>
      </c>
      <c r="B1468" s="116">
        <f t="shared" si="22"/>
        <v>12</v>
      </c>
    </row>
    <row r="1469" spans="1:2" x14ac:dyDescent="0.2">
      <c r="A1469" s="117">
        <v>36166</v>
      </c>
      <c r="B1469" s="116">
        <f t="shared" si="22"/>
        <v>12</v>
      </c>
    </row>
    <row r="1470" spans="1:2" x14ac:dyDescent="0.2">
      <c r="A1470" s="117">
        <v>36167</v>
      </c>
      <c r="B1470" s="116">
        <f t="shared" si="22"/>
        <v>12</v>
      </c>
    </row>
    <row r="1471" spans="1:2" x14ac:dyDescent="0.2">
      <c r="A1471" s="117">
        <v>36168</v>
      </c>
      <c r="B1471" s="116">
        <f t="shared" si="22"/>
        <v>12</v>
      </c>
    </row>
    <row r="1472" spans="1:2" x14ac:dyDescent="0.2">
      <c r="A1472" s="117">
        <v>36169</v>
      </c>
      <c r="B1472" s="116">
        <f t="shared" si="22"/>
        <v>12</v>
      </c>
    </row>
    <row r="1473" spans="1:2" x14ac:dyDescent="0.2">
      <c r="A1473" s="117">
        <v>36170</v>
      </c>
      <c r="B1473" s="116">
        <f t="shared" si="22"/>
        <v>13</v>
      </c>
    </row>
    <row r="1474" spans="1:2" x14ac:dyDescent="0.2">
      <c r="A1474" s="117">
        <v>36171</v>
      </c>
      <c r="B1474" s="116">
        <f t="shared" si="22"/>
        <v>13</v>
      </c>
    </row>
    <row r="1475" spans="1:2" x14ac:dyDescent="0.2">
      <c r="A1475" s="117">
        <v>36172</v>
      </c>
      <c r="B1475" s="116">
        <f t="shared" si="22"/>
        <v>13</v>
      </c>
    </row>
    <row r="1476" spans="1:2" x14ac:dyDescent="0.2">
      <c r="A1476" s="117">
        <v>36173</v>
      </c>
      <c r="B1476" s="116">
        <f t="shared" ref="B1476:B1539" si="23">VLOOKUP(WEEKNUM(A1476),$D$4:$E$59,2)</f>
        <v>13</v>
      </c>
    </row>
    <row r="1477" spans="1:2" x14ac:dyDescent="0.2">
      <c r="A1477" s="117">
        <v>36174</v>
      </c>
      <c r="B1477" s="116">
        <f t="shared" si="23"/>
        <v>13</v>
      </c>
    </row>
    <row r="1478" spans="1:2" x14ac:dyDescent="0.2">
      <c r="A1478" s="117">
        <v>36175</v>
      </c>
      <c r="B1478" s="116">
        <f t="shared" si="23"/>
        <v>13</v>
      </c>
    </row>
    <row r="1479" spans="1:2" x14ac:dyDescent="0.2">
      <c r="A1479" s="117">
        <v>36176</v>
      </c>
      <c r="B1479" s="116">
        <f t="shared" si="23"/>
        <v>13</v>
      </c>
    </row>
    <row r="1480" spans="1:2" x14ac:dyDescent="0.2">
      <c r="A1480" s="117">
        <v>36177</v>
      </c>
      <c r="B1480" s="116">
        <f t="shared" si="23"/>
        <v>14</v>
      </c>
    </row>
    <row r="1481" spans="1:2" x14ac:dyDescent="0.2">
      <c r="A1481" s="117">
        <v>36178</v>
      </c>
      <c r="B1481" s="116">
        <f t="shared" si="23"/>
        <v>14</v>
      </c>
    </row>
    <row r="1482" spans="1:2" x14ac:dyDescent="0.2">
      <c r="A1482" s="117">
        <v>36179</v>
      </c>
      <c r="B1482" s="116">
        <f t="shared" si="23"/>
        <v>14</v>
      </c>
    </row>
    <row r="1483" spans="1:2" x14ac:dyDescent="0.2">
      <c r="A1483" s="117">
        <v>36180</v>
      </c>
      <c r="B1483" s="116">
        <f t="shared" si="23"/>
        <v>14</v>
      </c>
    </row>
    <row r="1484" spans="1:2" x14ac:dyDescent="0.2">
      <c r="A1484" s="117">
        <v>36181</v>
      </c>
      <c r="B1484" s="116">
        <f t="shared" si="23"/>
        <v>14</v>
      </c>
    </row>
    <row r="1485" spans="1:2" x14ac:dyDescent="0.2">
      <c r="A1485" s="117">
        <v>36182</v>
      </c>
      <c r="B1485" s="116">
        <f t="shared" si="23"/>
        <v>14</v>
      </c>
    </row>
    <row r="1486" spans="1:2" x14ac:dyDescent="0.2">
      <c r="A1486" s="117">
        <v>36183</v>
      </c>
      <c r="B1486" s="116">
        <f t="shared" si="23"/>
        <v>14</v>
      </c>
    </row>
    <row r="1487" spans="1:2" x14ac:dyDescent="0.2">
      <c r="A1487" s="117">
        <v>36184</v>
      </c>
      <c r="B1487" s="116">
        <f t="shared" si="23"/>
        <v>15</v>
      </c>
    </row>
    <row r="1488" spans="1:2" x14ac:dyDescent="0.2">
      <c r="A1488" s="117">
        <v>36185</v>
      </c>
      <c r="B1488" s="116">
        <f t="shared" si="23"/>
        <v>15</v>
      </c>
    </row>
    <row r="1489" spans="1:2" x14ac:dyDescent="0.2">
      <c r="A1489" s="117">
        <v>36186</v>
      </c>
      <c r="B1489" s="116">
        <f t="shared" si="23"/>
        <v>15</v>
      </c>
    </row>
    <row r="1490" spans="1:2" x14ac:dyDescent="0.2">
      <c r="A1490" s="117">
        <v>36187</v>
      </c>
      <c r="B1490" s="116">
        <f t="shared" si="23"/>
        <v>15</v>
      </c>
    </row>
    <row r="1491" spans="1:2" x14ac:dyDescent="0.2">
      <c r="A1491" s="117">
        <v>36188</v>
      </c>
      <c r="B1491" s="116">
        <f t="shared" si="23"/>
        <v>15</v>
      </c>
    </row>
    <row r="1492" spans="1:2" x14ac:dyDescent="0.2">
      <c r="A1492" s="117">
        <v>36189</v>
      </c>
      <c r="B1492" s="116">
        <f t="shared" si="23"/>
        <v>15</v>
      </c>
    </row>
    <row r="1493" spans="1:2" x14ac:dyDescent="0.2">
      <c r="A1493" s="117">
        <v>36190</v>
      </c>
      <c r="B1493" s="116">
        <f t="shared" si="23"/>
        <v>15</v>
      </c>
    </row>
    <row r="1494" spans="1:2" x14ac:dyDescent="0.2">
      <c r="A1494" s="117">
        <v>36191</v>
      </c>
      <c r="B1494" s="116">
        <f t="shared" si="23"/>
        <v>21</v>
      </c>
    </row>
    <row r="1495" spans="1:2" x14ac:dyDescent="0.2">
      <c r="A1495" s="117">
        <v>36192</v>
      </c>
      <c r="B1495" s="116">
        <f t="shared" si="23"/>
        <v>21</v>
      </c>
    </row>
    <row r="1496" spans="1:2" x14ac:dyDescent="0.2">
      <c r="A1496" s="117">
        <v>36193</v>
      </c>
      <c r="B1496" s="116">
        <f t="shared" si="23"/>
        <v>21</v>
      </c>
    </row>
    <row r="1497" spans="1:2" x14ac:dyDescent="0.2">
      <c r="A1497" s="117">
        <v>36194</v>
      </c>
      <c r="B1497" s="116">
        <f t="shared" si="23"/>
        <v>21</v>
      </c>
    </row>
    <row r="1498" spans="1:2" x14ac:dyDescent="0.2">
      <c r="A1498" s="117">
        <v>36195</v>
      </c>
      <c r="B1498" s="116">
        <f t="shared" si="23"/>
        <v>21</v>
      </c>
    </row>
    <row r="1499" spans="1:2" x14ac:dyDescent="0.2">
      <c r="A1499" s="117">
        <v>36196</v>
      </c>
      <c r="B1499" s="116">
        <f t="shared" si="23"/>
        <v>21</v>
      </c>
    </row>
    <row r="1500" spans="1:2" x14ac:dyDescent="0.2">
      <c r="A1500" s="117">
        <v>36197</v>
      </c>
      <c r="B1500" s="116">
        <f t="shared" si="23"/>
        <v>21</v>
      </c>
    </row>
    <row r="1501" spans="1:2" x14ac:dyDescent="0.2">
      <c r="A1501" s="117">
        <v>36198</v>
      </c>
      <c r="B1501" s="116">
        <f t="shared" si="23"/>
        <v>22</v>
      </c>
    </row>
    <row r="1502" spans="1:2" x14ac:dyDescent="0.2">
      <c r="A1502" s="117">
        <v>36199</v>
      </c>
      <c r="B1502" s="116">
        <f t="shared" si="23"/>
        <v>22</v>
      </c>
    </row>
    <row r="1503" spans="1:2" x14ac:dyDescent="0.2">
      <c r="A1503" s="117">
        <v>36200</v>
      </c>
      <c r="B1503" s="116">
        <f t="shared" si="23"/>
        <v>22</v>
      </c>
    </row>
    <row r="1504" spans="1:2" x14ac:dyDescent="0.2">
      <c r="A1504" s="117">
        <v>36201</v>
      </c>
      <c r="B1504" s="116">
        <f t="shared" si="23"/>
        <v>22</v>
      </c>
    </row>
    <row r="1505" spans="1:2" x14ac:dyDescent="0.2">
      <c r="A1505" s="117">
        <v>36202</v>
      </c>
      <c r="B1505" s="116">
        <f t="shared" si="23"/>
        <v>22</v>
      </c>
    </row>
    <row r="1506" spans="1:2" x14ac:dyDescent="0.2">
      <c r="A1506" s="117">
        <v>36203</v>
      </c>
      <c r="B1506" s="116">
        <f t="shared" si="23"/>
        <v>22</v>
      </c>
    </row>
    <row r="1507" spans="1:2" x14ac:dyDescent="0.2">
      <c r="A1507" s="117">
        <v>36204</v>
      </c>
      <c r="B1507" s="116">
        <f t="shared" si="23"/>
        <v>22</v>
      </c>
    </row>
    <row r="1508" spans="1:2" x14ac:dyDescent="0.2">
      <c r="A1508" s="117">
        <v>36205</v>
      </c>
      <c r="B1508" s="116">
        <f t="shared" si="23"/>
        <v>23</v>
      </c>
    </row>
    <row r="1509" spans="1:2" x14ac:dyDescent="0.2">
      <c r="A1509" s="117">
        <v>36206</v>
      </c>
      <c r="B1509" s="116">
        <f t="shared" si="23"/>
        <v>23</v>
      </c>
    </row>
    <row r="1510" spans="1:2" x14ac:dyDescent="0.2">
      <c r="A1510" s="117">
        <v>36207</v>
      </c>
      <c r="B1510" s="116">
        <f t="shared" si="23"/>
        <v>23</v>
      </c>
    </row>
    <row r="1511" spans="1:2" x14ac:dyDescent="0.2">
      <c r="A1511" s="117">
        <v>36208</v>
      </c>
      <c r="B1511" s="116">
        <f t="shared" si="23"/>
        <v>23</v>
      </c>
    </row>
    <row r="1512" spans="1:2" x14ac:dyDescent="0.2">
      <c r="A1512" s="117">
        <v>36209</v>
      </c>
      <c r="B1512" s="116">
        <f t="shared" si="23"/>
        <v>23</v>
      </c>
    </row>
    <row r="1513" spans="1:2" x14ac:dyDescent="0.2">
      <c r="A1513" s="117">
        <v>36210</v>
      </c>
      <c r="B1513" s="116">
        <f t="shared" si="23"/>
        <v>23</v>
      </c>
    </row>
    <row r="1514" spans="1:2" x14ac:dyDescent="0.2">
      <c r="A1514" s="117">
        <v>36211</v>
      </c>
      <c r="B1514" s="116">
        <f t="shared" si="23"/>
        <v>23</v>
      </c>
    </row>
    <row r="1515" spans="1:2" x14ac:dyDescent="0.2">
      <c r="A1515" s="117">
        <v>36212</v>
      </c>
      <c r="B1515" s="116">
        <f t="shared" si="23"/>
        <v>24</v>
      </c>
    </row>
    <row r="1516" spans="1:2" x14ac:dyDescent="0.2">
      <c r="A1516" s="117">
        <v>36213</v>
      </c>
      <c r="B1516" s="116">
        <f t="shared" si="23"/>
        <v>24</v>
      </c>
    </row>
    <row r="1517" spans="1:2" x14ac:dyDescent="0.2">
      <c r="A1517" s="117">
        <v>36214</v>
      </c>
      <c r="B1517" s="116">
        <f t="shared" si="23"/>
        <v>24</v>
      </c>
    </row>
    <row r="1518" spans="1:2" x14ac:dyDescent="0.2">
      <c r="A1518" s="117">
        <v>36215</v>
      </c>
      <c r="B1518" s="116">
        <f t="shared" si="23"/>
        <v>24</v>
      </c>
    </row>
    <row r="1519" spans="1:2" x14ac:dyDescent="0.2">
      <c r="A1519" s="117">
        <v>36216</v>
      </c>
      <c r="B1519" s="116">
        <f t="shared" si="23"/>
        <v>24</v>
      </c>
    </row>
    <row r="1520" spans="1:2" x14ac:dyDescent="0.2">
      <c r="A1520" s="117">
        <v>36217</v>
      </c>
      <c r="B1520" s="116">
        <f t="shared" si="23"/>
        <v>24</v>
      </c>
    </row>
    <row r="1521" spans="1:2" x14ac:dyDescent="0.2">
      <c r="A1521" s="117">
        <v>36218</v>
      </c>
      <c r="B1521" s="116">
        <f t="shared" si="23"/>
        <v>24</v>
      </c>
    </row>
    <row r="1522" spans="1:2" x14ac:dyDescent="0.2">
      <c r="A1522" s="117">
        <v>36219</v>
      </c>
      <c r="B1522" s="116">
        <f t="shared" si="23"/>
        <v>31</v>
      </c>
    </row>
    <row r="1523" spans="1:2" x14ac:dyDescent="0.2">
      <c r="A1523" s="117">
        <v>36220</v>
      </c>
      <c r="B1523" s="116">
        <f t="shared" si="23"/>
        <v>31</v>
      </c>
    </row>
    <row r="1524" spans="1:2" x14ac:dyDescent="0.2">
      <c r="A1524" s="117">
        <v>36221</v>
      </c>
      <c r="B1524" s="116">
        <f t="shared" si="23"/>
        <v>31</v>
      </c>
    </row>
    <row r="1525" spans="1:2" x14ac:dyDescent="0.2">
      <c r="A1525" s="117">
        <v>36222</v>
      </c>
      <c r="B1525" s="116">
        <f t="shared" si="23"/>
        <v>31</v>
      </c>
    </row>
    <row r="1526" spans="1:2" x14ac:dyDescent="0.2">
      <c r="A1526" s="117">
        <v>36223</v>
      </c>
      <c r="B1526" s="116">
        <f t="shared" si="23"/>
        <v>31</v>
      </c>
    </row>
    <row r="1527" spans="1:2" x14ac:dyDescent="0.2">
      <c r="A1527" s="117">
        <v>36224</v>
      </c>
      <c r="B1527" s="116">
        <f t="shared" si="23"/>
        <v>31</v>
      </c>
    </row>
    <row r="1528" spans="1:2" x14ac:dyDescent="0.2">
      <c r="A1528" s="117">
        <v>36225</v>
      </c>
      <c r="B1528" s="116">
        <f t="shared" si="23"/>
        <v>31</v>
      </c>
    </row>
    <row r="1529" spans="1:2" x14ac:dyDescent="0.2">
      <c r="A1529" s="117">
        <v>36226</v>
      </c>
      <c r="B1529" s="116">
        <f t="shared" si="23"/>
        <v>32</v>
      </c>
    </row>
    <row r="1530" spans="1:2" x14ac:dyDescent="0.2">
      <c r="A1530" s="117">
        <v>36227</v>
      </c>
      <c r="B1530" s="116">
        <f t="shared" si="23"/>
        <v>32</v>
      </c>
    </row>
    <row r="1531" spans="1:2" x14ac:dyDescent="0.2">
      <c r="A1531" s="117">
        <v>36228</v>
      </c>
      <c r="B1531" s="116">
        <f t="shared" si="23"/>
        <v>32</v>
      </c>
    </row>
    <row r="1532" spans="1:2" x14ac:dyDescent="0.2">
      <c r="A1532" s="117">
        <v>36229</v>
      </c>
      <c r="B1532" s="116">
        <f t="shared" si="23"/>
        <v>32</v>
      </c>
    </row>
    <row r="1533" spans="1:2" x14ac:dyDescent="0.2">
      <c r="A1533" s="117">
        <v>36230</v>
      </c>
      <c r="B1533" s="116">
        <f t="shared" si="23"/>
        <v>32</v>
      </c>
    </row>
    <row r="1534" spans="1:2" x14ac:dyDescent="0.2">
      <c r="A1534" s="117">
        <v>36231</v>
      </c>
      <c r="B1534" s="116">
        <f t="shared" si="23"/>
        <v>32</v>
      </c>
    </row>
    <row r="1535" spans="1:2" x14ac:dyDescent="0.2">
      <c r="A1535" s="117">
        <v>36232</v>
      </c>
      <c r="B1535" s="116">
        <f t="shared" si="23"/>
        <v>32</v>
      </c>
    </row>
    <row r="1536" spans="1:2" x14ac:dyDescent="0.2">
      <c r="A1536" s="117">
        <v>36233</v>
      </c>
      <c r="B1536" s="116">
        <f t="shared" si="23"/>
        <v>33</v>
      </c>
    </row>
    <row r="1537" spans="1:2" x14ac:dyDescent="0.2">
      <c r="A1537" s="117">
        <v>36234</v>
      </c>
      <c r="B1537" s="116">
        <f t="shared" si="23"/>
        <v>33</v>
      </c>
    </row>
    <row r="1538" spans="1:2" x14ac:dyDescent="0.2">
      <c r="A1538" s="117">
        <v>36235</v>
      </c>
      <c r="B1538" s="116">
        <f t="shared" si="23"/>
        <v>33</v>
      </c>
    </row>
    <row r="1539" spans="1:2" x14ac:dyDescent="0.2">
      <c r="A1539" s="117">
        <v>36236</v>
      </c>
      <c r="B1539" s="116">
        <f t="shared" si="23"/>
        <v>33</v>
      </c>
    </row>
    <row r="1540" spans="1:2" x14ac:dyDescent="0.2">
      <c r="A1540" s="117">
        <v>36237</v>
      </c>
      <c r="B1540" s="116">
        <f t="shared" ref="B1540:B1603" si="24">VLOOKUP(WEEKNUM(A1540),$D$4:$E$59,2)</f>
        <v>33</v>
      </c>
    </row>
    <row r="1541" spans="1:2" x14ac:dyDescent="0.2">
      <c r="A1541" s="117">
        <v>36238</v>
      </c>
      <c r="B1541" s="116">
        <f t="shared" si="24"/>
        <v>33</v>
      </c>
    </row>
    <row r="1542" spans="1:2" x14ac:dyDescent="0.2">
      <c r="A1542" s="117">
        <v>36239</v>
      </c>
      <c r="B1542" s="116">
        <f t="shared" si="24"/>
        <v>33</v>
      </c>
    </row>
    <row r="1543" spans="1:2" x14ac:dyDescent="0.2">
      <c r="A1543" s="117">
        <v>36240</v>
      </c>
      <c r="B1543" s="116">
        <f t="shared" si="24"/>
        <v>34</v>
      </c>
    </row>
    <row r="1544" spans="1:2" x14ac:dyDescent="0.2">
      <c r="A1544" s="117">
        <v>36241</v>
      </c>
      <c r="B1544" s="116">
        <f t="shared" si="24"/>
        <v>34</v>
      </c>
    </row>
    <row r="1545" spans="1:2" x14ac:dyDescent="0.2">
      <c r="A1545" s="117">
        <v>36242</v>
      </c>
      <c r="B1545" s="116">
        <f t="shared" si="24"/>
        <v>34</v>
      </c>
    </row>
    <row r="1546" spans="1:2" x14ac:dyDescent="0.2">
      <c r="A1546" s="117">
        <v>36243</v>
      </c>
      <c r="B1546" s="116">
        <f t="shared" si="24"/>
        <v>34</v>
      </c>
    </row>
    <row r="1547" spans="1:2" x14ac:dyDescent="0.2">
      <c r="A1547" s="117">
        <v>36244</v>
      </c>
      <c r="B1547" s="116">
        <f t="shared" si="24"/>
        <v>34</v>
      </c>
    </row>
    <row r="1548" spans="1:2" x14ac:dyDescent="0.2">
      <c r="A1548" s="117">
        <v>36245</v>
      </c>
      <c r="B1548" s="116">
        <f t="shared" si="24"/>
        <v>34</v>
      </c>
    </row>
    <row r="1549" spans="1:2" x14ac:dyDescent="0.2">
      <c r="A1549" s="117">
        <v>36246</v>
      </c>
      <c r="B1549" s="116">
        <f t="shared" si="24"/>
        <v>34</v>
      </c>
    </row>
    <row r="1550" spans="1:2" x14ac:dyDescent="0.2">
      <c r="A1550" s="117">
        <v>36247</v>
      </c>
      <c r="B1550" s="116">
        <f t="shared" si="24"/>
        <v>41</v>
      </c>
    </row>
    <row r="1551" spans="1:2" x14ac:dyDescent="0.2">
      <c r="A1551" s="117">
        <v>36248</v>
      </c>
      <c r="B1551" s="116">
        <f t="shared" si="24"/>
        <v>41</v>
      </c>
    </row>
    <row r="1552" spans="1:2" x14ac:dyDescent="0.2">
      <c r="A1552" s="117">
        <v>36249</v>
      </c>
      <c r="B1552" s="116">
        <f t="shared" si="24"/>
        <v>41</v>
      </c>
    </row>
    <row r="1553" spans="1:2" x14ac:dyDescent="0.2">
      <c r="A1553" s="117">
        <v>36250</v>
      </c>
      <c r="B1553" s="116">
        <f t="shared" si="24"/>
        <v>41</v>
      </c>
    </row>
    <row r="1554" spans="1:2" x14ac:dyDescent="0.2">
      <c r="A1554" s="117">
        <v>36251</v>
      </c>
      <c r="B1554" s="116">
        <f t="shared" si="24"/>
        <v>41</v>
      </c>
    </row>
    <row r="1555" spans="1:2" x14ac:dyDescent="0.2">
      <c r="A1555" s="117">
        <v>36252</v>
      </c>
      <c r="B1555" s="116">
        <f t="shared" si="24"/>
        <v>41</v>
      </c>
    </row>
    <row r="1556" spans="1:2" x14ac:dyDescent="0.2">
      <c r="A1556" s="117">
        <v>36253</v>
      </c>
      <c r="B1556" s="116">
        <f t="shared" si="24"/>
        <v>41</v>
      </c>
    </row>
    <row r="1557" spans="1:2" x14ac:dyDescent="0.2">
      <c r="A1557" s="117">
        <v>36254</v>
      </c>
      <c r="B1557" s="116">
        <f t="shared" si="24"/>
        <v>42</v>
      </c>
    </row>
    <row r="1558" spans="1:2" x14ac:dyDescent="0.2">
      <c r="A1558" s="117">
        <v>36255</v>
      </c>
      <c r="B1558" s="116">
        <f t="shared" si="24"/>
        <v>42</v>
      </c>
    </row>
    <row r="1559" spans="1:2" x14ac:dyDescent="0.2">
      <c r="A1559" s="117">
        <v>36256</v>
      </c>
      <c r="B1559" s="116">
        <f t="shared" si="24"/>
        <v>42</v>
      </c>
    </row>
    <row r="1560" spans="1:2" x14ac:dyDescent="0.2">
      <c r="A1560" s="117">
        <v>36257</v>
      </c>
      <c r="B1560" s="116">
        <f t="shared" si="24"/>
        <v>42</v>
      </c>
    </row>
    <row r="1561" spans="1:2" x14ac:dyDescent="0.2">
      <c r="A1561" s="117">
        <v>36258</v>
      </c>
      <c r="B1561" s="116">
        <f t="shared" si="24"/>
        <v>42</v>
      </c>
    </row>
    <row r="1562" spans="1:2" x14ac:dyDescent="0.2">
      <c r="A1562" s="117">
        <v>36259</v>
      </c>
      <c r="B1562" s="116">
        <f t="shared" si="24"/>
        <v>42</v>
      </c>
    </row>
    <row r="1563" spans="1:2" x14ac:dyDescent="0.2">
      <c r="A1563" s="117">
        <v>36260</v>
      </c>
      <c r="B1563" s="116">
        <f t="shared" si="24"/>
        <v>42</v>
      </c>
    </row>
    <row r="1564" spans="1:2" x14ac:dyDescent="0.2">
      <c r="A1564" s="117">
        <v>36261</v>
      </c>
      <c r="B1564" s="116">
        <f t="shared" si="24"/>
        <v>43</v>
      </c>
    </row>
    <row r="1565" spans="1:2" x14ac:dyDescent="0.2">
      <c r="A1565" s="117">
        <v>36262</v>
      </c>
      <c r="B1565" s="116">
        <f t="shared" si="24"/>
        <v>43</v>
      </c>
    </row>
    <row r="1566" spans="1:2" x14ac:dyDescent="0.2">
      <c r="A1566" s="117">
        <v>36263</v>
      </c>
      <c r="B1566" s="116">
        <f t="shared" si="24"/>
        <v>43</v>
      </c>
    </row>
    <row r="1567" spans="1:2" x14ac:dyDescent="0.2">
      <c r="A1567" s="117">
        <v>36264</v>
      </c>
      <c r="B1567" s="116">
        <f t="shared" si="24"/>
        <v>43</v>
      </c>
    </row>
    <row r="1568" spans="1:2" x14ac:dyDescent="0.2">
      <c r="A1568" s="117">
        <v>36265</v>
      </c>
      <c r="B1568" s="116">
        <f t="shared" si="24"/>
        <v>43</v>
      </c>
    </row>
    <row r="1569" spans="1:2" x14ac:dyDescent="0.2">
      <c r="A1569" s="117">
        <v>36266</v>
      </c>
      <c r="B1569" s="116">
        <f t="shared" si="24"/>
        <v>43</v>
      </c>
    </row>
    <row r="1570" spans="1:2" x14ac:dyDescent="0.2">
      <c r="A1570" s="117">
        <v>36267</v>
      </c>
      <c r="B1570" s="116">
        <f t="shared" si="24"/>
        <v>43</v>
      </c>
    </row>
    <row r="1571" spans="1:2" x14ac:dyDescent="0.2">
      <c r="A1571" s="117">
        <v>36268</v>
      </c>
      <c r="B1571" s="116">
        <f t="shared" si="24"/>
        <v>44</v>
      </c>
    </row>
    <row r="1572" spans="1:2" x14ac:dyDescent="0.2">
      <c r="A1572" s="117">
        <v>36269</v>
      </c>
      <c r="B1572" s="116">
        <f t="shared" si="24"/>
        <v>44</v>
      </c>
    </row>
    <row r="1573" spans="1:2" x14ac:dyDescent="0.2">
      <c r="A1573" s="117">
        <v>36270</v>
      </c>
      <c r="B1573" s="116">
        <f t="shared" si="24"/>
        <v>44</v>
      </c>
    </row>
    <row r="1574" spans="1:2" x14ac:dyDescent="0.2">
      <c r="A1574" s="117">
        <v>36271</v>
      </c>
      <c r="B1574" s="116">
        <f t="shared" si="24"/>
        <v>44</v>
      </c>
    </row>
    <row r="1575" spans="1:2" x14ac:dyDescent="0.2">
      <c r="A1575" s="117">
        <v>36272</v>
      </c>
      <c r="B1575" s="116">
        <f t="shared" si="24"/>
        <v>44</v>
      </c>
    </row>
    <row r="1576" spans="1:2" x14ac:dyDescent="0.2">
      <c r="A1576" s="117">
        <v>36273</v>
      </c>
      <c r="B1576" s="116">
        <f t="shared" si="24"/>
        <v>44</v>
      </c>
    </row>
    <row r="1577" spans="1:2" x14ac:dyDescent="0.2">
      <c r="A1577" s="117">
        <v>36274</v>
      </c>
      <c r="B1577" s="116">
        <f t="shared" si="24"/>
        <v>44</v>
      </c>
    </row>
    <row r="1578" spans="1:2" x14ac:dyDescent="0.2">
      <c r="A1578" s="117">
        <v>36275</v>
      </c>
      <c r="B1578" s="116">
        <f t="shared" si="24"/>
        <v>45</v>
      </c>
    </row>
    <row r="1579" spans="1:2" x14ac:dyDescent="0.2">
      <c r="A1579" s="117">
        <v>36276</v>
      </c>
      <c r="B1579" s="116">
        <f t="shared" si="24"/>
        <v>45</v>
      </c>
    </row>
    <row r="1580" spans="1:2" x14ac:dyDescent="0.2">
      <c r="A1580" s="117">
        <v>36277</v>
      </c>
      <c r="B1580" s="116">
        <f t="shared" si="24"/>
        <v>45</v>
      </c>
    </row>
    <row r="1581" spans="1:2" x14ac:dyDescent="0.2">
      <c r="A1581" s="117">
        <v>36278</v>
      </c>
      <c r="B1581" s="116">
        <f t="shared" si="24"/>
        <v>45</v>
      </c>
    </row>
    <row r="1582" spans="1:2" x14ac:dyDescent="0.2">
      <c r="A1582" s="117">
        <v>36279</v>
      </c>
      <c r="B1582" s="116">
        <f t="shared" si="24"/>
        <v>45</v>
      </c>
    </row>
    <row r="1583" spans="1:2" x14ac:dyDescent="0.2">
      <c r="A1583" s="117">
        <v>36280</v>
      </c>
      <c r="B1583" s="116">
        <f t="shared" si="24"/>
        <v>45</v>
      </c>
    </row>
    <row r="1584" spans="1:2" x14ac:dyDescent="0.2">
      <c r="A1584" s="117">
        <v>36281</v>
      </c>
      <c r="B1584" s="116">
        <f t="shared" si="24"/>
        <v>45</v>
      </c>
    </row>
    <row r="1585" spans="1:2" x14ac:dyDescent="0.2">
      <c r="A1585" s="117">
        <v>36282</v>
      </c>
      <c r="B1585" s="116">
        <f t="shared" si="24"/>
        <v>51</v>
      </c>
    </row>
    <row r="1586" spans="1:2" x14ac:dyDescent="0.2">
      <c r="A1586" s="117">
        <v>36283</v>
      </c>
      <c r="B1586" s="116">
        <f t="shared" si="24"/>
        <v>51</v>
      </c>
    </row>
    <row r="1587" spans="1:2" x14ac:dyDescent="0.2">
      <c r="A1587" s="117">
        <v>36284</v>
      </c>
      <c r="B1587" s="116">
        <f t="shared" si="24"/>
        <v>51</v>
      </c>
    </row>
    <row r="1588" spans="1:2" x14ac:dyDescent="0.2">
      <c r="A1588" s="117">
        <v>36285</v>
      </c>
      <c r="B1588" s="116">
        <f t="shared" si="24"/>
        <v>51</v>
      </c>
    </row>
    <row r="1589" spans="1:2" x14ac:dyDescent="0.2">
      <c r="A1589" s="117">
        <v>36286</v>
      </c>
      <c r="B1589" s="116">
        <f t="shared" si="24"/>
        <v>51</v>
      </c>
    </row>
    <row r="1590" spans="1:2" x14ac:dyDescent="0.2">
      <c r="A1590" s="117">
        <v>36287</v>
      </c>
      <c r="B1590" s="116">
        <f t="shared" si="24"/>
        <v>51</v>
      </c>
    </row>
    <row r="1591" spans="1:2" x14ac:dyDescent="0.2">
      <c r="A1591" s="117">
        <v>36288</v>
      </c>
      <c r="B1591" s="116">
        <f t="shared" si="24"/>
        <v>51</v>
      </c>
    </row>
    <row r="1592" spans="1:2" x14ac:dyDescent="0.2">
      <c r="A1592" s="117">
        <v>36289</v>
      </c>
      <c r="B1592" s="116">
        <f t="shared" si="24"/>
        <v>52</v>
      </c>
    </row>
    <row r="1593" spans="1:2" x14ac:dyDescent="0.2">
      <c r="A1593" s="117">
        <v>36290</v>
      </c>
      <c r="B1593" s="116">
        <f t="shared" si="24"/>
        <v>52</v>
      </c>
    </row>
    <row r="1594" spans="1:2" x14ac:dyDescent="0.2">
      <c r="A1594" s="117">
        <v>36291</v>
      </c>
      <c r="B1594" s="116">
        <f t="shared" si="24"/>
        <v>52</v>
      </c>
    </row>
    <row r="1595" spans="1:2" x14ac:dyDescent="0.2">
      <c r="A1595" s="117">
        <v>36292</v>
      </c>
      <c r="B1595" s="116">
        <f t="shared" si="24"/>
        <v>52</v>
      </c>
    </row>
    <row r="1596" spans="1:2" x14ac:dyDescent="0.2">
      <c r="A1596" s="117">
        <v>36293</v>
      </c>
      <c r="B1596" s="116">
        <f t="shared" si="24"/>
        <v>52</v>
      </c>
    </row>
    <row r="1597" spans="1:2" x14ac:dyDescent="0.2">
      <c r="A1597" s="117">
        <v>36294</v>
      </c>
      <c r="B1597" s="116">
        <f t="shared" si="24"/>
        <v>52</v>
      </c>
    </row>
    <row r="1598" spans="1:2" x14ac:dyDescent="0.2">
      <c r="A1598" s="117">
        <v>36295</v>
      </c>
      <c r="B1598" s="116">
        <f t="shared" si="24"/>
        <v>52</v>
      </c>
    </row>
    <row r="1599" spans="1:2" x14ac:dyDescent="0.2">
      <c r="A1599" s="117">
        <v>36296</v>
      </c>
      <c r="B1599" s="116">
        <f t="shared" si="24"/>
        <v>53</v>
      </c>
    </row>
    <row r="1600" spans="1:2" x14ac:dyDescent="0.2">
      <c r="A1600" s="117">
        <v>36297</v>
      </c>
      <c r="B1600" s="116">
        <f t="shared" si="24"/>
        <v>53</v>
      </c>
    </row>
    <row r="1601" spans="1:2" x14ac:dyDescent="0.2">
      <c r="A1601" s="117">
        <v>36298</v>
      </c>
      <c r="B1601" s="116">
        <f t="shared" si="24"/>
        <v>53</v>
      </c>
    </row>
    <row r="1602" spans="1:2" x14ac:dyDescent="0.2">
      <c r="A1602" s="117">
        <v>36299</v>
      </c>
      <c r="B1602" s="116">
        <f t="shared" si="24"/>
        <v>53</v>
      </c>
    </row>
    <row r="1603" spans="1:2" x14ac:dyDescent="0.2">
      <c r="A1603" s="117">
        <v>36300</v>
      </c>
      <c r="B1603" s="116">
        <f t="shared" si="24"/>
        <v>53</v>
      </c>
    </row>
    <row r="1604" spans="1:2" x14ac:dyDescent="0.2">
      <c r="A1604" s="117">
        <v>36301</v>
      </c>
      <c r="B1604" s="116">
        <f t="shared" ref="B1604:B1667" si="25">VLOOKUP(WEEKNUM(A1604),$D$4:$E$59,2)</f>
        <v>53</v>
      </c>
    </row>
    <row r="1605" spans="1:2" x14ac:dyDescent="0.2">
      <c r="A1605" s="117">
        <v>36302</v>
      </c>
      <c r="B1605" s="116">
        <f t="shared" si="25"/>
        <v>53</v>
      </c>
    </row>
    <row r="1606" spans="1:2" x14ac:dyDescent="0.2">
      <c r="A1606" s="117">
        <v>36303</v>
      </c>
      <c r="B1606" s="116">
        <f t="shared" si="25"/>
        <v>54</v>
      </c>
    </row>
    <row r="1607" spans="1:2" x14ac:dyDescent="0.2">
      <c r="A1607" s="117">
        <v>36304</v>
      </c>
      <c r="B1607" s="116">
        <f t="shared" si="25"/>
        <v>54</v>
      </c>
    </row>
    <row r="1608" spans="1:2" x14ac:dyDescent="0.2">
      <c r="A1608" s="117">
        <v>36305</v>
      </c>
      <c r="B1608" s="116">
        <f t="shared" si="25"/>
        <v>54</v>
      </c>
    </row>
    <row r="1609" spans="1:2" x14ac:dyDescent="0.2">
      <c r="A1609" s="117">
        <v>36306</v>
      </c>
      <c r="B1609" s="116">
        <f t="shared" si="25"/>
        <v>54</v>
      </c>
    </row>
    <row r="1610" spans="1:2" x14ac:dyDescent="0.2">
      <c r="A1610" s="117">
        <v>36307</v>
      </c>
      <c r="B1610" s="116">
        <f t="shared" si="25"/>
        <v>54</v>
      </c>
    </row>
    <row r="1611" spans="1:2" x14ac:dyDescent="0.2">
      <c r="A1611" s="117">
        <v>36308</v>
      </c>
      <c r="B1611" s="116">
        <f t="shared" si="25"/>
        <v>54</v>
      </c>
    </row>
    <row r="1612" spans="1:2" x14ac:dyDescent="0.2">
      <c r="A1612" s="117">
        <v>36309</v>
      </c>
      <c r="B1612" s="116">
        <f t="shared" si="25"/>
        <v>54</v>
      </c>
    </row>
    <row r="1613" spans="1:2" x14ac:dyDescent="0.2">
      <c r="A1613" s="117">
        <v>36310</v>
      </c>
      <c r="B1613" s="116">
        <f t="shared" si="25"/>
        <v>61</v>
      </c>
    </row>
    <row r="1614" spans="1:2" x14ac:dyDescent="0.2">
      <c r="A1614" s="117">
        <v>36311</v>
      </c>
      <c r="B1614" s="116">
        <f t="shared" si="25"/>
        <v>61</v>
      </c>
    </row>
    <row r="1615" spans="1:2" x14ac:dyDescent="0.2">
      <c r="A1615" s="117">
        <v>36312</v>
      </c>
      <c r="B1615" s="116">
        <f t="shared" si="25"/>
        <v>61</v>
      </c>
    </row>
    <row r="1616" spans="1:2" x14ac:dyDescent="0.2">
      <c r="A1616" s="117">
        <v>36313</v>
      </c>
      <c r="B1616" s="116">
        <f t="shared" si="25"/>
        <v>61</v>
      </c>
    </row>
    <row r="1617" spans="1:2" x14ac:dyDescent="0.2">
      <c r="A1617" s="117">
        <v>36314</v>
      </c>
      <c r="B1617" s="116">
        <f t="shared" si="25"/>
        <v>61</v>
      </c>
    </row>
    <row r="1618" spans="1:2" x14ac:dyDescent="0.2">
      <c r="A1618" s="117">
        <v>36315</v>
      </c>
      <c r="B1618" s="116">
        <f t="shared" si="25"/>
        <v>61</v>
      </c>
    </row>
    <row r="1619" spans="1:2" x14ac:dyDescent="0.2">
      <c r="A1619" s="117">
        <v>36316</v>
      </c>
      <c r="B1619" s="116">
        <f t="shared" si="25"/>
        <v>61</v>
      </c>
    </row>
    <row r="1620" spans="1:2" x14ac:dyDescent="0.2">
      <c r="A1620" s="117">
        <v>36317</v>
      </c>
      <c r="B1620" s="116">
        <f t="shared" si="25"/>
        <v>62</v>
      </c>
    </row>
    <row r="1621" spans="1:2" x14ac:dyDescent="0.2">
      <c r="A1621" s="117">
        <v>36318</v>
      </c>
      <c r="B1621" s="116">
        <f t="shared" si="25"/>
        <v>62</v>
      </c>
    </row>
    <row r="1622" spans="1:2" x14ac:dyDescent="0.2">
      <c r="A1622" s="117">
        <v>36319</v>
      </c>
      <c r="B1622" s="116">
        <f t="shared" si="25"/>
        <v>62</v>
      </c>
    </row>
    <row r="1623" spans="1:2" x14ac:dyDescent="0.2">
      <c r="A1623" s="117">
        <v>36320</v>
      </c>
      <c r="B1623" s="116">
        <f t="shared" si="25"/>
        <v>62</v>
      </c>
    </row>
    <row r="1624" spans="1:2" x14ac:dyDescent="0.2">
      <c r="A1624" s="117">
        <v>36321</v>
      </c>
      <c r="B1624" s="116">
        <f t="shared" si="25"/>
        <v>62</v>
      </c>
    </row>
    <row r="1625" spans="1:2" x14ac:dyDescent="0.2">
      <c r="A1625" s="117">
        <v>36322</v>
      </c>
      <c r="B1625" s="116">
        <f t="shared" si="25"/>
        <v>62</v>
      </c>
    </row>
    <row r="1626" spans="1:2" x14ac:dyDescent="0.2">
      <c r="A1626" s="117">
        <v>36323</v>
      </c>
      <c r="B1626" s="116">
        <f t="shared" si="25"/>
        <v>62</v>
      </c>
    </row>
    <row r="1627" spans="1:2" x14ac:dyDescent="0.2">
      <c r="A1627" s="117">
        <v>36324</v>
      </c>
      <c r="B1627" s="116">
        <f t="shared" si="25"/>
        <v>63</v>
      </c>
    </row>
    <row r="1628" spans="1:2" x14ac:dyDescent="0.2">
      <c r="A1628" s="117">
        <v>36325</v>
      </c>
      <c r="B1628" s="116">
        <f t="shared" si="25"/>
        <v>63</v>
      </c>
    </row>
    <row r="1629" spans="1:2" x14ac:dyDescent="0.2">
      <c r="A1629" s="117">
        <v>36326</v>
      </c>
      <c r="B1629" s="116">
        <f t="shared" si="25"/>
        <v>63</v>
      </c>
    </row>
    <row r="1630" spans="1:2" x14ac:dyDescent="0.2">
      <c r="A1630" s="117">
        <v>36327</v>
      </c>
      <c r="B1630" s="116">
        <f t="shared" si="25"/>
        <v>63</v>
      </c>
    </row>
    <row r="1631" spans="1:2" x14ac:dyDescent="0.2">
      <c r="A1631" s="117">
        <v>36328</v>
      </c>
      <c r="B1631" s="116">
        <f t="shared" si="25"/>
        <v>63</v>
      </c>
    </row>
    <row r="1632" spans="1:2" x14ac:dyDescent="0.2">
      <c r="A1632" s="117">
        <v>36329</v>
      </c>
      <c r="B1632" s="116">
        <f t="shared" si="25"/>
        <v>63</v>
      </c>
    </row>
    <row r="1633" spans="1:2" x14ac:dyDescent="0.2">
      <c r="A1633" s="117">
        <v>36330</v>
      </c>
      <c r="B1633" s="116">
        <f t="shared" si="25"/>
        <v>63</v>
      </c>
    </row>
    <row r="1634" spans="1:2" x14ac:dyDescent="0.2">
      <c r="A1634" s="117">
        <v>36331</v>
      </c>
      <c r="B1634" s="116">
        <f t="shared" si="25"/>
        <v>64</v>
      </c>
    </row>
    <row r="1635" spans="1:2" x14ac:dyDescent="0.2">
      <c r="A1635" s="117">
        <v>36332</v>
      </c>
      <c r="B1635" s="116">
        <f t="shared" si="25"/>
        <v>64</v>
      </c>
    </row>
    <row r="1636" spans="1:2" x14ac:dyDescent="0.2">
      <c r="A1636" s="117">
        <v>36333</v>
      </c>
      <c r="B1636" s="116">
        <f t="shared" si="25"/>
        <v>64</v>
      </c>
    </row>
    <row r="1637" spans="1:2" x14ac:dyDescent="0.2">
      <c r="A1637" s="117">
        <v>36334</v>
      </c>
      <c r="B1637" s="116">
        <f t="shared" si="25"/>
        <v>64</v>
      </c>
    </row>
    <row r="1638" spans="1:2" x14ac:dyDescent="0.2">
      <c r="A1638" s="117">
        <v>36335</v>
      </c>
      <c r="B1638" s="116">
        <f t="shared" si="25"/>
        <v>64</v>
      </c>
    </row>
    <row r="1639" spans="1:2" x14ac:dyDescent="0.2">
      <c r="A1639" s="117">
        <v>36336</v>
      </c>
      <c r="B1639" s="116">
        <f t="shared" si="25"/>
        <v>64</v>
      </c>
    </row>
    <row r="1640" spans="1:2" x14ac:dyDescent="0.2">
      <c r="A1640" s="117">
        <v>36337</v>
      </c>
      <c r="B1640" s="116">
        <f t="shared" si="25"/>
        <v>64</v>
      </c>
    </row>
    <row r="1641" spans="1:2" x14ac:dyDescent="0.2">
      <c r="A1641" s="117">
        <v>36338</v>
      </c>
      <c r="B1641" s="116">
        <f t="shared" si="25"/>
        <v>71</v>
      </c>
    </row>
    <row r="1642" spans="1:2" x14ac:dyDescent="0.2">
      <c r="A1642" s="117">
        <v>36339</v>
      </c>
      <c r="B1642" s="116">
        <f t="shared" si="25"/>
        <v>71</v>
      </c>
    </row>
    <row r="1643" spans="1:2" x14ac:dyDescent="0.2">
      <c r="A1643" s="117">
        <v>36340</v>
      </c>
      <c r="B1643" s="116">
        <f t="shared" si="25"/>
        <v>71</v>
      </c>
    </row>
    <row r="1644" spans="1:2" x14ac:dyDescent="0.2">
      <c r="A1644" s="117">
        <v>36341</v>
      </c>
      <c r="B1644" s="116">
        <f t="shared" si="25"/>
        <v>71</v>
      </c>
    </row>
    <row r="1645" spans="1:2" x14ac:dyDescent="0.2">
      <c r="A1645" s="117">
        <v>36342</v>
      </c>
      <c r="B1645" s="116">
        <f t="shared" si="25"/>
        <v>71</v>
      </c>
    </row>
    <row r="1646" spans="1:2" x14ac:dyDescent="0.2">
      <c r="A1646" s="117">
        <v>36343</v>
      </c>
      <c r="B1646" s="116">
        <f t="shared" si="25"/>
        <v>71</v>
      </c>
    </row>
    <row r="1647" spans="1:2" x14ac:dyDescent="0.2">
      <c r="A1647" s="117">
        <v>36344</v>
      </c>
      <c r="B1647" s="116">
        <f t="shared" si="25"/>
        <v>71</v>
      </c>
    </row>
    <row r="1648" spans="1:2" x14ac:dyDescent="0.2">
      <c r="A1648" s="117">
        <v>36345</v>
      </c>
      <c r="B1648" s="116">
        <f t="shared" si="25"/>
        <v>72</v>
      </c>
    </row>
    <row r="1649" spans="1:2" x14ac:dyDescent="0.2">
      <c r="A1649" s="117">
        <v>36346</v>
      </c>
      <c r="B1649" s="116">
        <f t="shared" si="25"/>
        <v>72</v>
      </c>
    </row>
    <row r="1650" spans="1:2" x14ac:dyDescent="0.2">
      <c r="A1650" s="117">
        <v>36347</v>
      </c>
      <c r="B1650" s="116">
        <f t="shared" si="25"/>
        <v>72</v>
      </c>
    </row>
    <row r="1651" spans="1:2" x14ac:dyDescent="0.2">
      <c r="A1651" s="117">
        <v>36348</v>
      </c>
      <c r="B1651" s="116">
        <f t="shared" si="25"/>
        <v>72</v>
      </c>
    </row>
    <row r="1652" spans="1:2" x14ac:dyDescent="0.2">
      <c r="A1652" s="117">
        <v>36349</v>
      </c>
      <c r="B1652" s="116">
        <f t="shared" si="25"/>
        <v>72</v>
      </c>
    </row>
    <row r="1653" spans="1:2" x14ac:dyDescent="0.2">
      <c r="A1653" s="117">
        <v>36350</v>
      </c>
      <c r="B1653" s="116">
        <f t="shared" si="25"/>
        <v>72</v>
      </c>
    </row>
    <row r="1654" spans="1:2" x14ac:dyDescent="0.2">
      <c r="A1654" s="117">
        <v>36351</v>
      </c>
      <c r="B1654" s="116">
        <f t="shared" si="25"/>
        <v>72</v>
      </c>
    </row>
    <row r="1655" spans="1:2" x14ac:dyDescent="0.2">
      <c r="A1655" s="117">
        <v>36352</v>
      </c>
      <c r="B1655" s="116">
        <f t="shared" si="25"/>
        <v>73</v>
      </c>
    </row>
    <row r="1656" spans="1:2" x14ac:dyDescent="0.2">
      <c r="A1656" s="117">
        <v>36353</v>
      </c>
      <c r="B1656" s="116">
        <f t="shared" si="25"/>
        <v>73</v>
      </c>
    </row>
    <row r="1657" spans="1:2" x14ac:dyDescent="0.2">
      <c r="A1657" s="117">
        <v>36354</v>
      </c>
      <c r="B1657" s="116">
        <f t="shared" si="25"/>
        <v>73</v>
      </c>
    </row>
    <row r="1658" spans="1:2" x14ac:dyDescent="0.2">
      <c r="A1658" s="117">
        <v>36355</v>
      </c>
      <c r="B1658" s="116">
        <f t="shared" si="25"/>
        <v>73</v>
      </c>
    </row>
    <row r="1659" spans="1:2" x14ac:dyDescent="0.2">
      <c r="A1659" s="117">
        <v>36356</v>
      </c>
      <c r="B1659" s="116">
        <f t="shared" si="25"/>
        <v>73</v>
      </c>
    </row>
    <row r="1660" spans="1:2" x14ac:dyDescent="0.2">
      <c r="A1660" s="117">
        <v>36357</v>
      </c>
      <c r="B1660" s="116">
        <f t="shared" si="25"/>
        <v>73</v>
      </c>
    </row>
    <row r="1661" spans="1:2" x14ac:dyDescent="0.2">
      <c r="A1661" s="117">
        <v>36358</v>
      </c>
      <c r="B1661" s="116">
        <f t="shared" si="25"/>
        <v>73</v>
      </c>
    </row>
    <row r="1662" spans="1:2" x14ac:dyDescent="0.2">
      <c r="A1662" s="117">
        <v>36359</v>
      </c>
      <c r="B1662" s="116">
        <f t="shared" si="25"/>
        <v>74</v>
      </c>
    </row>
    <row r="1663" spans="1:2" x14ac:dyDescent="0.2">
      <c r="A1663" s="117">
        <v>36360</v>
      </c>
      <c r="B1663" s="116">
        <f t="shared" si="25"/>
        <v>74</v>
      </c>
    </row>
    <row r="1664" spans="1:2" x14ac:dyDescent="0.2">
      <c r="A1664" s="117">
        <v>36361</v>
      </c>
      <c r="B1664" s="116">
        <f t="shared" si="25"/>
        <v>74</v>
      </c>
    </row>
    <row r="1665" spans="1:2" x14ac:dyDescent="0.2">
      <c r="A1665" s="117">
        <v>36362</v>
      </c>
      <c r="B1665" s="116">
        <f t="shared" si="25"/>
        <v>74</v>
      </c>
    </row>
    <row r="1666" spans="1:2" x14ac:dyDescent="0.2">
      <c r="A1666" s="117">
        <v>36363</v>
      </c>
      <c r="B1666" s="116">
        <f t="shared" si="25"/>
        <v>74</v>
      </c>
    </row>
    <row r="1667" spans="1:2" x14ac:dyDescent="0.2">
      <c r="A1667" s="117">
        <v>36364</v>
      </c>
      <c r="B1667" s="116">
        <f t="shared" si="25"/>
        <v>74</v>
      </c>
    </row>
    <row r="1668" spans="1:2" x14ac:dyDescent="0.2">
      <c r="A1668" s="117">
        <v>36365</v>
      </c>
      <c r="B1668" s="116">
        <f t="shared" ref="B1668:B1731" si="26">VLOOKUP(WEEKNUM(A1668),$D$4:$E$59,2)</f>
        <v>74</v>
      </c>
    </row>
    <row r="1669" spans="1:2" x14ac:dyDescent="0.2">
      <c r="A1669" s="117">
        <v>36366</v>
      </c>
      <c r="B1669" s="116">
        <f t="shared" si="26"/>
        <v>75</v>
      </c>
    </row>
    <row r="1670" spans="1:2" x14ac:dyDescent="0.2">
      <c r="A1670" s="117">
        <v>36367</v>
      </c>
      <c r="B1670" s="116">
        <f t="shared" si="26"/>
        <v>75</v>
      </c>
    </row>
    <row r="1671" spans="1:2" x14ac:dyDescent="0.2">
      <c r="A1671" s="117">
        <v>36368</v>
      </c>
      <c r="B1671" s="116">
        <f t="shared" si="26"/>
        <v>75</v>
      </c>
    </row>
    <row r="1672" spans="1:2" x14ac:dyDescent="0.2">
      <c r="A1672" s="117">
        <v>36369</v>
      </c>
      <c r="B1672" s="116">
        <f t="shared" si="26"/>
        <v>75</v>
      </c>
    </row>
    <row r="1673" spans="1:2" x14ac:dyDescent="0.2">
      <c r="A1673" s="117">
        <v>36370</v>
      </c>
      <c r="B1673" s="116">
        <f t="shared" si="26"/>
        <v>75</v>
      </c>
    </row>
    <row r="1674" spans="1:2" x14ac:dyDescent="0.2">
      <c r="A1674" s="117">
        <v>36371</v>
      </c>
      <c r="B1674" s="116">
        <f t="shared" si="26"/>
        <v>75</v>
      </c>
    </row>
    <row r="1675" spans="1:2" x14ac:dyDescent="0.2">
      <c r="A1675" s="117">
        <v>36372</v>
      </c>
      <c r="B1675" s="116">
        <f t="shared" si="26"/>
        <v>75</v>
      </c>
    </row>
    <row r="1676" spans="1:2" x14ac:dyDescent="0.2">
      <c r="A1676" s="117">
        <v>36373</v>
      </c>
      <c r="B1676" s="116">
        <f t="shared" si="26"/>
        <v>81</v>
      </c>
    </row>
    <row r="1677" spans="1:2" x14ac:dyDescent="0.2">
      <c r="A1677" s="117">
        <v>36374</v>
      </c>
      <c r="B1677" s="116">
        <f t="shared" si="26"/>
        <v>81</v>
      </c>
    </row>
    <row r="1678" spans="1:2" x14ac:dyDescent="0.2">
      <c r="A1678" s="117">
        <v>36375</v>
      </c>
      <c r="B1678" s="116">
        <f t="shared" si="26"/>
        <v>81</v>
      </c>
    </row>
    <row r="1679" spans="1:2" x14ac:dyDescent="0.2">
      <c r="A1679" s="117">
        <v>36376</v>
      </c>
      <c r="B1679" s="116">
        <f t="shared" si="26"/>
        <v>81</v>
      </c>
    </row>
    <row r="1680" spans="1:2" x14ac:dyDescent="0.2">
      <c r="A1680" s="117">
        <v>36377</v>
      </c>
      <c r="B1680" s="116">
        <f t="shared" si="26"/>
        <v>81</v>
      </c>
    </row>
    <row r="1681" spans="1:2" x14ac:dyDescent="0.2">
      <c r="A1681" s="117">
        <v>36378</v>
      </c>
      <c r="B1681" s="116">
        <f t="shared" si="26"/>
        <v>81</v>
      </c>
    </row>
    <row r="1682" spans="1:2" x14ac:dyDescent="0.2">
      <c r="A1682" s="117">
        <v>36379</v>
      </c>
      <c r="B1682" s="116">
        <f t="shared" si="26"/>
        <v>81</v>
      </c>
    </row>
    <row r="1683" spans="1:2" x14ac:dyDescent="0.2">
      <c r="A1683" s="117">
        <v>36380</v>
      </c>
      <c r="B1683" s="116">
        <f t="shared" si="26"/>
        <v>82</v>
      </c>
    </row>
    <row r="1684" spans="1:2" x14ac:dyDescent="0.2">
      <c r="A1684" s="117">
        <v>36381</v>
      </c>
      <c r="B1684" s="116">
        <f t="shared" si="26"/>
        <v>82</v>
      </c>
    </row>
    <row r="1685" spans="1:2" x14ac:dyDescent="0.2">
      <c r="A1685" s="117">
        <v>36382</v>
      </c>
      <c r="B1685" s="116">
        <f t="shared" si="26"/>
        <v>82</v>
      </c>
    </row>
    <row r="1686" spans="1:2" x14ac:dyDescent="0.2">
      <c r="A1686" s="117">
        <v>36383</v>
      </c>
      <c r="B1686" s="116">
        <f t="shared" si="26"/>
        <v>82</v>
      </c>
    </row>
    <row r="1687" spans="1:2" x14ac:dyDescent="0.2">
      <c r="A1687" s="117">
        <v>36384</v>
      </c>
      <c r="B1687" s="116">
        <f t="shared" si="26"/>
        <v>82</v>
      </c>
    </row>
    <row r="1688" spans="1:2" x14ac:dyDescent="0.2">
      <c r="A1688" s="117">
        <v>36385</v>
      </c>
      <c r="B1688" s="116">
        <f t="shared" si="26"/>
        <v>82</v>
      </c>
    </row>
    <row r="1689" spans="1:2" x14ac:dyDescent="0.2">
      <c r="A1689" s="117">
        <v>36386</v>
      </c>
      <c r="B1689" s="116">
        <f t="shared" si="26"/>
        <v>82</v>
      </c>
    </row>
    <row r="1690" spans="1:2" x14ac:dyDescent="0.2">
      <c r="A1690" s="117">
        <v>36387</v>
      </c>
      <c r="B1690" s="116">
        <f t="shared" si="26"/>
        <v>83</v>
      </c>
    </row>
    <row r="1691" spans="1:2" x14ac:dyDescent="0.2">
      <c r="A1691" s="117">
        <v>36388</v>
      </c>
      <c r="B1691" s="116">
        <f t="shared" si="26"/>
        <v>83</v>
      </c>
    </row>
    <row r="1692" spans="1:2" x14ac:dyDescent="0.2">
      <c r="A1692" s="117">
        <v>36389</v>
      </c>
      <c r="B1692" s="116">
        <f t="shared" si="26"/>
        <v>83</v>
      </c>
    </row>
    <row r="1693" spans="1:2" x14ac:dyDescent="0.2">
      <c r="A1693" s="117">
        <v>36390</v>
      </c>
      <c r="B1693" s="116">
        <f t="shared" si="26"/>
        <v>83</v>
      </c>
    </row>
    <row r="1694" spans="1:2" x14ac:dyDescent="0.2">
      <c r="A1694" s="117">
        <v>36391</v>
      </c>
      <c r="B1694" s="116">
        <f t="shared" si="26"/>
        <v>83</v>
      </c>
    </row>
    <row r="1695" spans="1:2" x14ac:dyDescent="0.2">
      <c r="A1695" s="117">
        <v>36392</v>
      </c>
      <c r="B1695" s="116">
        <f t="shared" si="26"/>
        <v>83</v>
      </c>
    </row>
    <row r="1696" spans="1:2" x14ac:dyDescent="0.2">
      <c r="A1696" s="117">
        <v>36393</v>
      </c>
      <c r="B1696" s="116">
        <f t="shared" si="26"/>
        <v>83</v>
      </c>
    </row>
    <row r="1697" spans="1:2" x14ac:dyDescent="0.2">
      <c r="A1697" s="117">
        <v>36394</v>
      </c>
      <c r="B1697" s="116">
        <f t="shared" si="26"/>
        <v>84</v>
      </c>
    </row>
    <row r="1698" spans="1:2" x14ac:dyDescent="0.2">
      <c r="A1698" s="117">
        <v>36395</v>
      </c>
      <c r="B1698" s="116">
        <f t="shared" si="26"/>
        <v>84</v>
      </c>
    </row>
    <row r="1699" spans="1:2" x14ac:dyDescent="0.2">
      <c r="A1699" s="117">
        <v>36396</v>
      </c>
      <c r="B1699" s="116">
        <f t="shared" si="26"/>
        <v>84</v>
      </c>
    </row>
    <row r="1700" spans="1:2" x14ac:dyDescent="0.2">
      <c r="A1700" s="117">
        <v>36397</v>
      </c>
      <c r="B1700" s="116">
        <f t="shared" si="26"/>
        <v>84</v>
      </c>
    </row>
    <row r="1701" spans="1:2" x14ac:dyDescent="0.2">
      <c r="A1701" s="117">
        <v>36398</v>
      </c>
      <c r="B1701" s="116">
        <f t="shared" si="26"/>
        <v>84</v>
      </c>
    </row>
    <row r="1702" spans="1:2" x14ac:dyDescent="0.2">
      <c r="A1702" s="117">
        <v>36399</v>
      </c>
      <c r="B1702" s="116">
        <f t="shared" si="26"/>
        <v>84</v>
      </c>
    </row>
    <row r="1703" spans="1:2" x14ac:dyDescent="0.2">
      <c r="A1703" s="117">
        <v>36400</v>
      </c>
      <c r="B1703" s="116">
        <f t="shared" si="26"/>
        <v>84</v>
      </c>
    </row>
    <row r="1704" spans="1:2" x14ac:dyDescent="0.2">
      <c r="A1704" s="117">
        <v>36401</v>
      </c>
      <c r="B1704" s="116">
        <f t="shared" si="26"/>
        <v>91</v>
      </c>
    </row>
    <row r="1705" spans="1:2" x14ac:dyDescent="0.2">
      <c r="A1705" s="117">
        <v>36402</v>
      </c>
      <c r="B1705" s="116">
        <f t="shared" si="26"/>
        <v>91</v>
      </c>
    </row>
    <row r="1706" spans="1:2" x14ac:dyDescent="0.2">
      <c r="A1706" s="117">
        <v>36403</v>
      </c>
      <c r="B1706" s="116">
        <f t="shared" si="26"/>
        <v>91</v>
      </c>
    </row>
    <row r="1707" spans="1:2" x14ac:dyDescent="0.2">
      <c r="A1707" s="117">
        <v>36404</v>
      </c>
      <c r="B1707" s="116">
        <f t="shared" si="26"/>
        <v>91</v>
      </c>
    </row>
    <row r="1708" spans="1:2" x14ac:dyDescent="0.2">
      <c r="A1708" s="117">
        <v>36405</v>
      </c>
      <c r="B1708" s="116">
        <f t="shared" si="26"/>
        <v>91</v>
      </c>
    </row>
    <row r="1709" spans="1:2" x14ac:dyDescent="0.2">
      <c r="A1709" s="117">
        <v>36406</v>
      </c>
      <c r="B1709" s="116">
        <f t="shared" si="26"/>
        <v>91</v>
      </c>
    </row>
    <row r="1710" spans="1:2" x14ac:dyDescent="0.2">
      <c r="A1710" s="117">
        <v>36407</v>
      </c>
      <c r="B1710" s="116">
        <f t="shared" si="26"/>
        <v>91</v>
      </c>
    </row>
    <row r="1711" spans="1:2" x14ac:dyDescent="0.2">
      <c r="A1711" s="117">
        <v>36408</v>
      </c>
      <c r="B1711" s="116">
        <f t="shared" si="26"/>
        <v>92</v>
      </c>
    </row>
    <row r="1712" spans="1:2" x14ac:dyDescent="0.2">
      <c r="A1712" s="117">
        <v>36409</v>
      </c>
      <c r="B1712" s="116">
        <f t="shared" si="26"/>
        <v>92</v>
      </c>
    </row>
    <row r="1713" spans="1:2" x14ac:dyDescent="0.2">
      <c r="A1713" s="117">
        <v>36410</v>
      </c>
      <c r="B1713" s="116">
        <f t="shared" si="26"/>
        <v>92</v>
      </c>
    </row>
    <row r="1714" spans="1:2" x14ac:dyDescent="0.2">
      <c r="A1714" s="117">
        <v>36411</v>
      </c>
      <c r="B1714" s="116">
        <f t="shared" si="26"/>
        <v>92</v>
      </c>
    </row>
    <row r="1715" spans="1:2" x14ac:dyDescent="0.2">
      <c r="A1715" s="117">
        <v>36412</v>
      </c>
      <c r="B1715" s="116">
        <f t="shared" si="26"/>
        <v>92</v>
      </c>
    </row>
    <row r="1716" spans="1:2" x14ac:dyDescent="0.2">
      <c r="A1716" s="117">
        <v>36413</v>
      </c>
      <c r="B1716" s="116">
        <f t="shared" si="26"/>
        <v>92</v>
      </c>
    </row>
    <row r="1717" spans="1:2" x14ac:dyDescent="0.2">
      <c r="A1717" s="117">
        <v>36414</v>
      </c>
      <c r="B1717" s="116">
        <f t="shared" si="26"/>
        <v>92</v>
      </c>
    </row>
    <row r="1718" spans="1:2" x14ac:dyDescent="0.2">
      <c r="A1718" s="117">
        <v>36415</v>
      </c>
      <c r="B1718" s="116">
        <f t="shared" si="26"/>
        <v>93</v>
      </c>
    </row>
    <row r="1719" spans="1:2" x14ac:dyDescent="0.2">
      <c r="A1719" s="117">
        <v>36416</v>
      </c>
      <c r="B1719" s="116">
        <f t="shared" si="26"/>
        <v>93</v>
      </c>
    </row>
    <row r="1720" spans="1:2" x14ac:dyDescent="0.2">
      <c r="A1720" s="117">
        <v>36417</v>
      </c>
      <c r="B1720" s="116">
        <f t="shared" si="26"/>
        <v>93</v>
      </c>
    </row>
    <row r="1721" spans="1:2" x14ac:dyDescent="0.2">
      <c r="A1721" s="117">
        <v>36418</v>
      </c>
      <c r="B1721" s="116">
        <f t="shared" si="26"/>
        <v>93</v>
      </c>
    </row>
    <row r="1722" spans="1:2" x14ac:dyDescent="0.2">
      <c r="A1722" s="117">
        <v>36419</v>
      </c>
      <c r="B1722" s="116">
        <f t="shared" si="26"/>
        <v>93</v>
      </c>
    </row>
    <row r="1723" spans="1:2" x14ac:dyDescent="0.2">
      <c r="A1723" s="117">
        <v>36420</v>
      </c>
      <c r="B1723" s="116">
        <f t="shared" si="26"/>
        <v>93</v>
      </c>
    </row>
    <row r="1724" spans="1:2" x14ac:dyDescent="0.2">
      <c r="A1724" s="117">
        <v>36421</v>
      </c>
      <c r="B1724" s="116">
        <f t="shared" si="26"/>
        <v>93</v>
      </c>
    </row>
    <row r="1725" spans="1:2" x14ac:dyDescent="0.2">
      <c r="A1725" s="117">
        <v>36422</v>
      </c>
      <c r="B1725" s="116">
        <f t="shared" si="26"/>
        <v>94</v>
      </c>
    </row>
    <row r="1726" spans="1:2" x14ac:dyDescent="0.2">
      <c r="A1726" s="117">
        <v>36423</v>
      </c>
      <c r="B1726" s="116">
        <f t="shared" si="26"/>
        <v>94</v>
      </c>
    </row>
    <row r="1727" spans="1:2" x14ac:dyDescent="0.2">
      <c r="A1727" s="117">
        <v>36424</v>
      </c>
      <c r="B1727" s="116">
        <f t="shared" si="26"/>
        <v>94</v>
      </c>
    </row>
    <row r="1728" spans="1:2" x14ac:dyDescent="0.2">
      <c r="A1728" s="117">
        <v>36425</v>
      </c>
      <c r="B1728" s="116">
        <f t="shared" si="26"/>
        <v>94</v>
      </c>
    </row>
    <row r="1729" spans="1:2" x14ac:dyDescent="0.2">
      <c r="A1729" s="117">
        <v>36426</v>
      </c>
      <c r="B1729" s="116">
        <f t="shared" si="26"/>
        <v>94</v>
      </c>
    </row>
    <row r="1730" spans="1:2" x14ac:dyDescent="0.2">
      <c r="A1730" s="117">
        <v>36427</v>
      </c>
      <c r="B1730" s="116">
        <f t="shared" si="26"/>
        <v>94</v>
      </c>
    </row>
    <row r="1731" spans="1:2" x14ac:dyDescent="0.2">
      <c r="A1731" s="117">
        <v>36428</v>
      </c>
      <c r="B1731" s="116">
        <f t="shared" si="26"/>
        <v>94</v>
      </c>
    </row>
    <row r="1732" spans="1:2" x14ac:dyDescent="0.2">
      <c r="A1732" s="117">
        <v>36429</v>
      </c>
      <c r="B1732" s="116">
        <f t="shared" ref="B1732:B1795" si="27">VLOOKUP(WEEKNUM(A1732),$D$4:$E$59,2)</f>
        <v>101</v>
      </c>
    </row>
    <row r="1733" spans="1:2" x14ac:dyDescent="0.2">
      <c r="A1733" s="117">
        <v>36430</v>
      </c>
      <c r="B1733" s="116">
        <f t="shared" si="27"/>
        <v>101</v>
      </c>
    </row>
    <row r="1734" spans="1:2" x14ac:dyDescent="0.2">
      <c r="A1734" s="117">
        <v>36431</v>
      </c>
      <c r="B1734" s="116">
        <f t="shared" si="27"/>
        <v>101</v>
      </c>
    </row>
    <row r="1735" spans="1:2" x14ac:dyDescent="0.2">
      <c r="A1735" s="117">
        <v>36432</v>
      </c>
      <c r="B1735" s="116">
        <f t="shared" si="27"/>
        <v>101</v>
      </c>
    </row>
    <row r="1736" spans="1:2" x14ac:dyDescent="0.2">
      <c r="A1736" s="117">
        <v>36433</v>
      </c>
      <c r="B1736" s="116">
        <f t="shared" si="27"/>
        <v>101</v>
      </c>
    </row>
    <row r="1737" spans="1:2" x14ac:dyDescent="0.2">
      <c r="A1737" s="117">
        <v>36434</v>
      </c>
      <c r="B1737" s="116">
        <f t="shared" si="27"/>
        <v>101</v>
      </c>
    </row>
    <row r="1738" spans="1:2" x14ac:dyDescent="0.2">
      <c r="A1738" s="117">
        <v>36435</v>
      </c>
      <c r="B1738" s="116">
        <f t="shared" si="27"/>
        <v>101</v>
      </c>
    </row>
    <row r="1739" spans="1:2" x14ac:dyDescent="0.2">
      <c r="A1739" s="117">
        <v>36436</v>
      </c>
      <c r="B1739" s="116">
        <f t="shared" si="27"/>
        <v>102</v>
      </c>
    </row>
    <row r="1740" spans="1:2" x14ac:dyDescent="0.2">
      <c r="A1740" s="117">
        <v>36437</v>
      </c>
      <c r="B1740" s="116">
        <f t="shared" si="27"/>
        <v>102</v>
      </c>
    </row>
    <row r="1741" spans="1:2" x14ac:dyDescent="0.2">
      <c r="A1741" s="117">
        <v>36438</v>
      </c>
      <c r="B1741" s="116">
        <f t="shared" si="27"/>
        <v>102</v>
      </c>
    </row>
    <row r="1742" spans="1:2" x14ac:dyDescent="0.2">
      <c r="A1742" s="117">
        <v>36439</v>
      </c>
      <c r="B1742" s="116">
        <f t="shared" si="27"/>
        <v>102</v>
      </c>
    </row>
    <row r="1743" spans="1:2" x14ac:dyDescent="0.2">
      <c r="A1743" s="117">
        <v>36440</v>
      </c>
      <c r="B1743" s="116">
        <f t="shared" si="27"/>
        <v>102</v>
      </c>
    </row>
    <row r="1744" spans="1:2" x14ac:dyDescent="0.2">
      <c r="A1744" s="117">
        <v>36441</v>
      </c>
      <c r="B1744" s="116">
        <f t="shared" si="27"/>
        <v>102</v>
      </c>
    </row>
    <row r="1745" spans="1:2" x14ac:dyDescent="0.2">
      <c r="A1745" s="117">
        <v>36442</v>
      </c>
      <c r="B1745" s="116">
        <f t="shared" si="27"/>
        <v>102</v>
      </c>
    </row>
    <row r="1746" spans="1:2" x14ac:dyDescent="0.2">
      <c r="A1746" s="117">
        <v>36443</v>
      </c>
      <c r="B1746" s="116">
        <f t="shared" si="27"/>
        <v>103</v>
      </c>
    </row>
    <row r="1747" spans="1:2" x14ac:dyDescent="0.2">
      <c r="A1747" s="117">
        <v>36444</v>
      </c>
      <c r="B1747" s="116">
        <f t="shared" si="27"/>
        <v>103</v>
      </c>
    </row>
    <row r="1748" spans="1:2" x14ac:dyDescent="0.2">
      <c r="A1748" s="117">
        <v>36445</v>
      </c>
      <c r="B1748" s="116">
        <f t="shared" si="27"/>
        <v>103</v>
      </c>
    </row>
    <row r="1749" spans="1:2" x14ac:dyDescent="0.2">
      <c r="A1749" s="117">
        <v>36446</v>
      </c>
      <c r="B1749" s="116">
        <f t="shared" si="27"/>
        <v>103</v>
      </c>
    </row>
    <row r="1750" spans="1:2" x14ac:dyDescent="0.2">
      <c r="A1750" s="117">
        <v>36447</v>
      </c>
      <c r="B1750" s="116">
        <f t="shared" si="27"/>
        <v>103</v>
      </c>
    </row>
    <row r="1751" spans="1:2" x14ac:dyDescent="0.2">
      <c r="A1751" s="117">
        <v>36448</v>
      </c>
      <c r="B1751" s="116">
        <f t="shared" si="27"/>
        <v>103</v>
      </c>
    </row>
    <row r="1752" spans="1:2" x14ac:dyDescent="0.2">
      <c r="A1752" s="117">
        <v>36449</v>
      </c>
      <c r="B1752" s="116">
        <f t="shared" si="27"/>
        <v>103</v>
      </c>
    </row>
    <row r="1753" spans="1:2" x14ac:dyDescent="0.2">
      <c r="A1753" s="117">
        <v>36450</v>
      </c>
      <c r="B1753" s="116">
        <f t="shared" si="27"/>
        <v>104</v>
      </c>
    </row>
    <row r="1754" spans="1:2" x14ac:dyDescent="0.2">
      <c r="A1754" s="117">
        <v>36451</v>
      </c>
      <c r="B1754" s="116">
        <f t="shared" si="27"/>
        <v>104</v>
      </c>
    </row>
    <row r="1755" spans="1:2" x14ac:dyDescent="0.2">
      <c r="A1755" s="117">
        <v>36452</v>
      </c>
      <c r="B1755" s="116">
        <f t="shared" si="27"/>
        <v>104</v>
      </c>
    </row>
    <row r="1756" spans="1:2" x14ac:dyDescent="0.2">
      <c r="A1756" s="117">
        <v>36453</v>
      </c>
      <c r="B1756" s="116">
        <f t="shared" si="27"/>
        <v>104</v>
      </c>
    </row>
    <row r="1757" spans="1:2" x14ac:dyDescent="0.2">
      <c r="A1757" s="117">
        <v>36454</v>
      </c>
      <c r="B1757" s="116">
        <f t="shared" si="27"/>
        <v>104</v>
      </c>
    </row>
    <row r="1758" spans="1:2" x14ac:dyDescent="0.2">
      <c r="A1758" s="117">
        <v>36455</v>
      </c>
      <c r="B1758" s="116">
        <f t="shared" si="27"/>
        <v>104</v>
      </c>
    </row>
    <row r="1759" spans="1:2" x14ac:dyDescent="0.2">
      <c r="A1759" s="117">
        <v>36456</v>
      </c>
      <c r="B1759" s="116">
        <f t="shared" si="27"/>
        <v>104</v>
      </c>
    </row>
    <row r="1760" spans="1:2" x14ac:dyDescent="0.2">
      <c r="A1760" s="117">
        <v>36457</v>
      </c>
      <c r="B1760" s="116">
        <f t="shared" si="27"/>
        <v>105</v>
      </c>
    </row>
    <row r="1761" spans="1:2" x14ac:dyDescent="0.2">
      <c r="A1761" s="117">
        <v>36458</v>
      </c>
      <c r="B1761" s="116">
        <f t="shared" si="27"/>
        <v>105</v>
      </c>
    </row>
    <row r="1762" spans="1:2" x14ac:dyDescent="0.2">
      <c r="A1762" s="117">
        <v>36459</v>
      </c>
      <c r="B1762" s="116">
        <f t="shared" si="27"/>
        <v>105</v>
      </c>
    </row>
    <row r="1763" spans="1:2" x14ac:dyDescent="0.2">
      <c r="A1763" s="117">
        <v>36460</v>
      </c>
      <c r="B1763" s="116">
        <f t="shared" si="27"/>
        <v>105</v>
      </c>
    </row>
    <row r="1764" spans="1:2" x14ac:dyDescent="0.2">
      <c r="A1764" s="117">
        <v>36461</v>
      </c>
      <c r="B1764" s="116">
        <f t="shared" si="27"/>
        <v>105</v>
      </c>
    </row>
    <row r="1765" spans="1:2" x14ac:dyDescent="0.2">
      <c r="A1765" s="117">
        <v>36462</v>
      </c>
      <c r="B1765" s="116">
        <f t="shared" si="27"/>
        <v>105</v>
      </c>
    </row>
    <row r="1766" spans="1:2" x14ac:dyDescent="0.2">
      <c r="A1766" s="117">
        <v>36463</v>
      </c>
      <c r="B1766" s="116">
        <f t="shared" si="27"/>
        <v>105</v>
      </c>
    </row>
    <row r="1767" spans="1:2" x14ac:dyDescent="0.2">
      <c r="A1767" s="117">
        <v>36464</v>
      </c>
      <c r="B1767" s="116">
        <f t="shared" si="27"/>
        <v>111</v>
      </c>
    </row>
    <row r="1768" spans="1:2" x14ac:dyDescent="0.2">
      <c r="A1768" s="117">
        <v>36465</v>
      </c>
      <c r="B1768" s="116">
        <f t="shared" si="27"/>
        <v>111</v>
      </c>
    </row>
    <row r="1769" spans="1:2" x14ac:dyDescent="0.2">
      <c r="A1769" s="117">
        <v>36466</v>
      </c>
      <c r="B1769" s="116">
        <f t="shared" si="27"/>
        <v>111</v>
      </c>
    </row>
    <row r="1770" spans="1:2" x14ac:dyDescent="0.2">
      <c r="A1770" s="117">
        <v>36467</v>
      </c>
      <c r="B1770" s="116">
        <f t="shared" si="27"/>
        <v>111</v>
      </c>
    </row>
    <row r="1771" spans="1:2" x14ac:dyDescent="0.2">
      <c r="A1771" s="117">
        <v>36468</v>
      </c>
      <c r="B1771" s="116">
        <f t="shared" si="27"/>
        <v>111</v>
      </c>
    </row>
    <row r="1772" spans="1:2" x14ac:dyDescent="0.2">
      <c r="A1772" s="117">
        <v>36469</v>
      </c>
      <c r="B1772" s="116">
        <f t="shared" si="27"/>
        <v>111</v>
      </c>
    </row>
    <row r="1773" spans="1:2" x14ac:dyDescent="0.2">
      <c r="A1773" s="117">
        <v>36470</v>
      </c>
      <c r="B1773" s="116">
        <f t="shared" si="27"/>
        <v>111</v>
      </c>
    </row>
    <row r="1774" spans="1:2" x14ac:dyDescent="0.2">
      <c r="A1774" s="117">
        <v>36471</v>
      </c>
      <c r="B1774" s="116">
        <f t="shared" si="27"/>
        <v>112</v>
      </c>
    </row>
    <row r="1775" spans="1:2" x14ac:dyDescent="0.2">
      <c r="A1775" s="117">
        <v>36472</v>
      </c>
      <c r="B1775" s="116">
        <f t="shared" si="27"/>
        <v>112</v>
      </c>
    </row>
    <row r="1776" spans="1:2" x14ac:dyDescent="0.2">
      <c r="A1776" s="117">
        <v>36473</v>
      </c>
      <c r="B1776" s="116">
        <f t="shared" si="27"/>
        <v>112</v>
      </c>
    </row>
    <row r="1777" spans="1:2" x14ac:dyDescent="0.2">
      <c r="A1777" s="117">
        <v>36474</v>
      </c>
      <c r="B1777" s="116">
        <f t="shared" si="27"/>
        <v>112</v>
      </c>
    </row>
    <row r="1778" spans="1:2" x14ac:dyDescent="0.2">
      <c r="A1778" s="117">
        <v>36475</v>
      </c>
      <c r="B1778" s="116">
        <f t="shared" si="27"/>
        <v>112</v>
      </c>
    </row>
    <row r="1779" spans="1:2" x14ac:dyDescent="0.2">
      <c r="A1779" s="117">
        <v>36476</v>
      </c>
      <c r="B1779" s="116">
        <f t="shared" si="27"/>
        <v>112</v>
      </c>
    </row>
    <row r="1780" spans="1:2" x14ac:dyDescent="0.2">
      <c r="A1780" s="117">
        <v>36477</v>
      </c>
      <c r="B1780" s="116">
        <f t="shared" si="27"/>
        <v>112</v>
      </c>
    </row>
    <row r="1781" spans="1:2" x14ac:dyDescent="0.2">
      <c r="A1781" s="117">
        <v>36478</v>
      </c>
      <c r="B1781" s="116">
        <f t="shared" si="27"/>
        <v>113</v>
      </c>
    </row>
    <row r="1782" spans="1:2" x14ac:dyDescent="0.2">
      <c r="A1782" s="117">
        <v>36479</v>
      </c>
      <c r="B1782" s="116">
        <f t="shared" si="27"/>
        <v>113</v>
      </c>
    </row>
    <row r="1783" spans="1:2" x14ac:dyDescent="0.2">
      <c r="A1783" s="117">
        <v>36480</v>
      </c>
      <c r="B1783" s="116">
        <f t="shared" si="27"/>
        <v>113</v>
      </c>
    </row>
    <row r="1784" spans="1:2" x14ac:dyDescent="0.2">
      <c r="A1784" s="117">
        <v>36481</v>
      </c>
      <c r="B1784" s="116">
        <f t="shared" si="27"/>
        <v>113</v>
      </c>
    </row>
    <row r="1785" spans="1:2" x14ac:dyDescent="0.2">
      <c r="A1785" s="117">
        <v>36482</v>
      </c>
      <c r="B1785" s="116">
        <f t="shared" si="27"/>
        <v>113</v>
      </c>
    </row>
    <row r="1786" spans="1:2" x14ac:dyDescent="0.2">
      <c r="A1786" s="117">
        <v>36483</v>
      </c>
      <c r="B1786" s="116">
        <f t="shared" si="27"/>
        <v>113</v>
      </c>
    </row>
    <row r="1787" spans="1:2" x14ac:dyDescent="0.2">
      <c r="A1787" s="117">
        <v>36484</v>
      </c>
      <c r="B1787" s="116">
        <f t="shared" si="27"/>
        <v>113</v>
      </c>
    </row>
    <row r="1788" spans="1:2" x14ac:dyDescent="0.2">
      <c r="A1788" s="117">
        <v>36485</v>
      </c>
      <c r="B1788" s="116">
        <f t="shared" si="27"/>
        <v>114</v>
      </c>
    </row>
    <row r="1789" spans="1:2" x14ac:dyDescent="0.2">
      <c r="A1789" s="117">
        <v>36486</v>
      </c>
      <c r="B1789" s="116">
        <f t="shared" si="27"/>
        <v>114</v>
      </c>
    </row>
    <row r="1790" spans="1:2" x14ac:dyDescent="0.2">
      <c r="A1790" s="117">
        <v>36487</v>
      </c>
      <c r="B1790" s="116">
        <f t="shared" si="27"/>
        <v>114</v>
      </c>
    </row>
    <row r="1791" spans="1:2" x14ac:dyDescent="0.2">
      <c r="A1791" s="117">
        <v>36488</v>
      </c>
      <c r="B1791" s="116">
        <f t="shared" si="27"/>
        <v>114</v>
      </c>
    </row>
    <row r="1792" spans="1:2" x14ac:dyDescent="0.2">
      <c r="A1792" s="117">
        <v>36489</v>
      </c>
      <c r="B1792" s="116">
        <f t="shared" si="27"/>
        <v>114</v>
      </c>
    </row>
    <row r="1793" spans="1:2" x14ac:dyDescent="0.2">
      <c r="A1793" s="117">
        <v>36490</v>
      </c>
      <c r="B1793" s="116">
        <f t="shared" si="27"/>
        <v>114</v>
      </c>
    </row>
    <row r="1794" spans="1:2" x14ac:dyDescent="0.2">
      <c r="A1794" s="117">
        <v>36491</v>
      </c>
      <c r="B1794" s="116">
        <f t="shared" si="27"/>
        <v>114</v>
      </c>
    </row>
    <row r="1795" spans="1:2" x14ac:dyDescent="0.2">
      <c r="A1795" s="117">
        <v>36492</v>
      </c>
      <c r="B1795" s="116">
        <f t="shared" si="27"/>
        <v>115</v>
      </c>
    </row>
    <row r="1796" spans="1:2" x14ac:dyDescent="0.2">
      <c r="A1796" s="117">
        <v>36493</v>
      </c>
      <c r="B1796" s="116">
        <f t="shared" ref="B1796:B1859" si="28">VLOOKUP(WEEKNUM(A1796),$D$4:$E$59,2)</f>
        <v>115</v>
      </c>
    </row>
    <row r="1797" spans="1:2" x14ac:dyDescent="0.2">
      <c r="A1797" s="117">
        <v>36494</v>
      </c>
      <c r="B1797" s="116">
        <f t="shared" si="28"/>
        <v>115</v>
      </c>
    </row>
    <row r="1798" spans="1:2" x14ac:dyDescent="0.2">
      <c r="A1798" s="117">
        <v>36495</v>
      </c>
      <c r="B1798" s="116">
        <f t="shared" si="28"/>
        <v>115</v>
      </c>
    </row>
    <row r="1799" spans="1:2" x14ac:dyDescent="0.2">
      <c r="A1799" s="117">
        <v>36496</v>
      </c>
      <c r="B1799" s="116">
        <f t="shared" si="28"/>
        <v>115</v>
      </c>
    </row>
    <row r="1800" spans="1:2" x14ac:dyDescent="0.2">
      <c r="A1800" s="117">
        <v>36497</v>
      </c>
      <c r="B1800" s="116">
        <f t="shared" si="28"/>
        <v>115</v>
      </c>
    </row>
    <row r="1801" spans="1:2" x14ac:dyDescent="0.2">
      <c r="A1801" s="117">
        <v>36498</v>
      </c>
      <c r="B1801" s="116">
        <f t="shared" si="28"/>
        <v>115</v>
      </c>
    </row>
    <row r="1802" spans="1:2" x14ac:dyDescent="0.2">
      <c r="A1802" s="117">
        <v>36499</v>
      </c>
      <c r="B1802" s="116">
        <f t="shared" si="28"/>
        <v>121</v>
      </c>
    </row>
    <row r="1803" spans="1:2" x14ac:dyDescent="0.2">
      <c r="A1803" s="117">
        <v>36500</v>
      </c>
      <c r="B1803" s="116">
        <f t="shared" si="28"/>
        <v>121</v>
      </c>
    </row>
    <row r="1804" spans="1:2" x14ac:dyDescent="0.2">
      <c r="A1804" s="117">
        <v>36501</v>
      </c>
      <c r="B1804" s="116">
        <f t="shared" si="28"/>
        <v>121</v>
      </c>
    </row>
    <row r="1805" spans="1:2" x14ac:dyDescent="0.2">
      <c r="A1805" s="117">
        <v>36502</v>
      </c>
      <c r="B1805" s="116">
        <f t="shared" si="28"/>
        <v>121</v>
      </c>
    </row>
    <row r="1806" spans="1:2" x14ac:dyDescent="0.2">
      <c r="A1806" s="117">
        <v>36503</v>
      </c>
      <c r="B1806" s="116">
        <f t="shared" si="28"/>
        <v>121</v>
      </c>
    </row>
    <row r="1807" spans="1:2" x14ac:dyDescent="0.2">
      <c r="A1807" s="117">
        <v>36504</v>
      </c>
      <c r="B1807" s="116">
        <f t="shared" si="28"/>
        <v>121</v>
      </c>
    </row>
    <row r="1808" spans="1:2" x14ac:dyDescent="0.2">
      <c r="A1808" s="117">
        <v>36505</v>
      </c>
      <c r="B1808" s="116">
        <f t="shared" si="28"/>
        <v>121</v>
      </c>
    </row>
    <row r="1809" spans="1:2" x14ac:dyDescent="0.2">
      <c r="A1809" s="117">
        <v>36506</v>
      </c>
      <c r="B1809" s="116">
        <f t="shared" si="28"/>
        <v>122</v>
      </c>
    </row>
    <row r="1810" spans="1:2" x14ac:dyDescent="0.2">
      <c r="A1810" s="117">
        <v>36507</v>
      </c>
      <c r="B1810" s="116">
        <f t="shared" si="28"/>
        <v>122</v>
      </c>
    </row>
    <row r="1811" spans="1:2" x14ac:dyDescent="0.2">
      <c r="A1811" s="117">
        <v>36508</v>
      </c>
      <c r="B1811" s="116">
        <f t="shared" si="28"/>
        <v>122</v>
      </c>
    </row>
    <row r="1812" spans="1:2" x14ac:dyDescent="0.2">
      <c r="A1812" s="117">
        <v>36509</v>
      </c>
      <c r="B1812" s="116">
        <f t="shared" si="28"/>
        <v>122</v>
      </c>
    </row>
    <row r="1813" spans="1:2" x14ac:dyDescent="0.2">
      <c r="A1813" s="117">
        <v>36510</v>
      </c>
      <c r="B1813" s="116">
        <f t="shared" si="28"/>
        <v>122</v>
      </c>
    </row>
    <row r="1814" spans="1:2" x14ac:dyDescent="0.2">
      <c r="A1814" s="117">
        <v>36511</v>
      </c>
      <c r="B1814" s="116">
        <f t="shared" si="28"/>
        <v>122</v>
      </c>
    </row>
    <row r="1815" spans="1:2" x14ac:dyDescent="0.2">
      <c r="A1815" s="117">
        <v>36512</v>
      </c>
      <c r="B1815" s="116">
        <f t="shared" si="28"/>
        <v>122</v>
      </c>
    </row>
    <row r="1816" spans="1:2" x14ac:dyDescent="0.2">
      <c r="A1816" s="117">
        <v>36513</v>
      </c>
      <c r="B1816" s="116">
        <f t="shared" si="28"/>
        <v>123</v>
      </c>
    </row>
    <row r="1817" spans="1:2" x14ac:dyDescent="0.2">
      <c r="A1817" s="117">
        <v>36514</v>
      </c>
      <c r="B1817" s="116">
        <f t="shared" si="28"/>
        <v>123</v>
      </c>
    </row>
    <row r="1818" spans="1:2" x14ac:dyDescent="0.2">
      <c r="A1818" s="117">
        <v>36515</v>
      </c>
      <c r="B1818" s="116">
        <f t="shared" si="28"/>
        <v>123</v>
      </c>
    </row>
    <row r="1819" spans="1:2" x14ac:dyDescent="0.2">
      <c r="A1819" s="117">
        <v>36516</v>
      </c>
      <c r="B1819" s="116">
        <f t="shared" si="28"/>
        <v>123</v>
      </c>
    </row>
    <row r="1820" spans="1:2" x14ac:dyDescent="0.2">
      <c r="A1820" s="117">
        <v>36517</v>
      </c>
      <c r="B1820" s="116">
        <f t="shared" si="28"/>
        <v>123</v>
      </c>
    </row>
    <row r="1821" spans="1:2" x14ac:dyDescent="0.2">
      <c r="A1821" s="117">
        <v>36518</v>
      </c>
      <c r="B1821" s="116">
        <f t="shared" si="28"/>
        <v>123</v>
      </c>
    </row>
    <row r="1822" spans="1:2" x14ac:dyDescent="0.2">
      <c r="A1822" s="117">
        <v>36519</v>
      </c>
      <c r="B1822" s="116">
        <f t="shared" si="28"/>
        <v>123</v>
      </c>
    </row>
    <row r="1823" spans="1:2" x14ac:dyDescent="0.2">
      <c r="A1823" s="117">
        <v>36520</v>
      </c>
      <c r="B1823" s="116">
        <f t="shared" si="28"/>
        <v>124</v>
      </c>
    </row>
    <row r="1824" spans="1:2" x14ac:dyDescent="0.2">
      <c r="A1824" s="117">
        <v>36521</v>
      </c>
      <c r="B1824" s="116">
        <f t="shared" si="28"/>
        <v>124</v>
      </c>
    </row>
    <row r="1825" spans="1:2" x14ac:dyDescent="0.2">
      <c r="A1825" s="117">
        <v>36522</v>
      </c>
      <c r="B1825" s="116">
        <f t="shared" si="28"/>
        <v>124</v>
      </c>
    </row>
    <row r="1826" spans="1:2" x14ac:dyDescent="0.2">
      <c r="A1826" s="117">
        <v>36523</v>
      </c>
      <c r="B1826" s="116">
        <f t="shared" si="28"/>
        <v>124</v>
      </c>
    </row>
    <row r="1827" spans="1:2" x14ac:dyDescent="0.2">
      <c r="A1827" s="117">
        <v>36524</v>
      </c>
      <c r="B1827" s="116">
        <f t="shared" si="28"/>
        <v>124</v>
      </c>
    </row>
    <row r="1828" spans="1:2" x14ac:dyDescent="0.2">
      <c r="A1828" s="117">
        <v>36525</v>
      </c>
      <c r="B1828" s="116">
        <f t="shared" si="28"/>
        <v>124</v>
      </c>
    </row>
    <row r="1829" spans="1:2" x14ac:dyDescent="0.2">
      <c r="A1829" s="117">
        <v>36526</v>
      </c>
      <c r="B1829" s="116">
        <f t="shared" si="28"/>
        <v>11</v>
      </c>
    </row>
    <row r="1830" spans="1:2" x14ac:dyDescent="0.2">
      <c r="A1830" s="117">
        <v>36527</v>
      </c>
      <c r="B1830" s="116">
        <f t="shared" si="28"/>
        <v>12</v>
      </c>
    </row>
    <row r="1831" spans="1:2" x14ac:dyDescent="0.2">
      <c r="A1831" s="117">
        <v>36528</v>
      </c>
      <c r="B1831" s="116">
        <f t="shared" si="28"/>
        <v>12</v>
      </c>
    </row>
    <row r="1832" spans="1:2" x14ac:dyDescent="0.2">
      <c r="A1832" s="117">
        <v>36529</v>
      </c>
      <c r="B1832" s="116">
        <f t="shared" si="28"/>
        <v>12</v>
      </c>
    </row>
    <row r="1833" spans="1:2" x14ac:dyDescent="0.2">
      <c r="A1833" s="117">
        <v>36530</v>
      </c>
      <c r="B1833" s="116">
        <f t="shared" si="28"/>
        <v>12</v>
      </c>
    </row>
    <row r="1834" spans="1:2" x14ac:dyDescent="0.2">
      <c r="A1834" s="117">
        <v>36531</v>
      </c>
      <c r="B1834" s="116">
        <f t="shared" si="28"/>
        <v>12</v>
      </c>
    </row>
    <row r="1835" spans="1:2" x14ac:dyDescent="0.2">
      <c r="A1835" s="117">
        <v>36532</v>
      </c>
      <c r="B1835" s="116">
        <f t="shared" si="28"/>
        <v>12</v>
      </c>
    </row>
    <row r="1836" spans="1:2" x14ac:dyDescent="0.2">
      <c r="A1836" s="117">
        <v>36533</v>
      </c>
      <c r="B1836" s="116">
        <f t="shared" si="28"/>
        <v>12</v>
      </c>
    </row>
    <row r="1837" spans="1:2" x14ac:dyDescent="0.2">
      <c r="A1837" s="117">
        <v>36534</v>
      </c>
      <c r="B1837" s="116">
        <f t="shared" si="28"/>
        <v>13</v>
      </c>
    </row>
    <row r="1838" spans="1:2" x14ac:dyDescent="0.2">
      <c r="A1838" s="117">
        <v>36535</v>
      </c>
      <c r="B1838" s="116">
        <f t="shared" si="28"/>
        <v>13</v>
      </c>
    </row>
    <row r="1839" spans="1:2" x14ac:dyDescent="0.2">
      <c r="A1839" s="117">
        <v>36536</v>
      </c>
      <c r="B1839" s="116">
        <f t="shared" si="28"/>
        <v>13</v>
      </c>
    </row>
    <row r="1840" spans="1:2" x14ac:dyDescent="0.2">
      <c r="A1840" s="117">
        <v>36537</v>
      </c>
      <c r="B1840" s="116">
        <f t="shared" si="28"/>
        <v>13</v>
      </c>
    </row>
    <row r="1841" spans="1:2" x14ac:dyDescent="0.2">
      <c r="A1841" s="117">
        <v>36538</v>
      </c>
      <c r="B1841" s="116">
        <f t="shared" si="28"/>
        <v>13</v>
      </c>
    </row>
    <row r="1842" spans="1:2" x14ac:dyDescent="0.2">
      <c r="A1842" s="117">
        <v>36539</v>
      </c>
      <c r="B1842" s="116">
        <f t="shared" si="28"/>
        <v>13</v>
      </c>
    </row>
    <row r="1843" spans="1:2" x14ac:dyDescent="0.2">
      <c r="A1843" s="117">
        <v>36540</v>
      </c>
      <c r="B1843" s="116">
        <f t="shared" si="28"/>
        <v>13</v>
      </c>
    </row>
    <row r="1844" spans="1:2" x14ac:dyDescent="0.2">
      <c r="A1844" s="117">
        <v>36541</v>
      </c>
      <c r="B1844" s="116">
        <f t="shared" si="28"/>
        <v>14</v>
      </c>
    </row>
    <row r="1845" spans="1:2" x14ac:dyDescent="0.2">
      <c r="A1845" s="117">
        <v>36542</v>
      </c>
      <c r="B1845" s="116">
        <f t="shared" si="28"/>
        <v>14</v>
      </c>
    </row>
    <row r="1846" spans="1:2" x14ac:dyDescent="0.2">
      <c r="A1846" s="117">
        <v>36543</v>
      </c>
      <c r="B1846" s="116">
        <f t="shared" si="28"/>
        <v>14</v>
      </c>
    </row>
    <row r="1847" spans="1:2" x14ac:dyDescent="0.2">
      <c r="A1847" s="117">
        <v>36544</v>
      </c>
      <c r="B1847" s="116">
        <f t="shared" si="28"/>
        <v>14</v>
      </c>
    </row>
    <row r="1848" spans="1:2" x14ac:dyDescent="0.2">
      <c r="A1848" s="117">
        <v>36545</v>
      </c>
      <c r="B1848" s="116">
        <f t="shared" si="28"/>
        <v>14</v>
      </c>
    </row>
    <row r="1849" spans="1:2" x14ac:dyDescent="0.2">
      <c r="A1849" s="117">
        <v>36546</v>
      </c>
      <c r="B1849" s="116">
        <f t="shared" si="28"/>
        <v>14</v>
      </c>
    </row>
    <row r="1850" spans="1:2" x14ac:dyDescent="0.2">
      <c r="A1850" s="117">
        <v>36547</v>
      </c>
      <c r="B1850" s="116">
        <f t="shared" si="28"/>
        <v>14</v>
      </c>
    </row>
    <row r="1851" spans="1:2" x14ac:dyDescent="0.2">
      <c r="A1851" s="117">
        <v>36548</v>
      </c>
      <c r="B1851" s="116">
        <f t="shared" si="28"/>
        <v>15</v>
      </c>
    </row>
    <row r="1852" spans="1:2" x14ac:dyDescent="0.2">
      <c r="A1852" s="117">
        <v>36549</v>
      </c>
      <c r="B1852" s="116">
        <f t="shared" si="28"/>
        <v>15</v>
      </c>
    </row>
    <row r="1853" spans="1:2" x14ac:dyDescent="0.2">
      <c r="A1853" s="117">
        <v>36550</v>
      </c>
      <c r="B1853" s="116">
        <f t="shared" si="28"/>
        <v>15</v>
      </c>
    </row>
    <row r="1854" spans="1:2" x14ac:dyDescent="0.2">
      <c r="A1854" s="117">
        <v>36551</v>
      </c>
      <c r="B1854" s="116">
        <f t="shared" si="28"/>
        <v>15</v>
      </c>
    </row>
    <row r="1855" spans="1:2" x14ac:dyDescent="0.2">
      <c r="A1855" s="117">
        <v>36552</v>
      </c>
      <c r="B1855" s="116">
        <f t="shared" si="28"/>
        <v>15</v>
      </c>
    </row>
    <row r="1856" spans="1:2" x14ac:dyDescent="0.2">
      <c r="A1856" s="117">
        <v>36553</v>
      </c>
      <c r="B1856" s="116">
        <f t="shared" si="28"/>
        <v>15</v>
      </c>
    </row>
    <row r="1857" spans="1:2" x14ac:dyDescent="0.2">
      <c r="A1857" s="117">
        <v>36554</v>
      </c>
      <c r="B1857" s="116">
        <f t="shared" si="28"/>
        <v>15</v>
      </c>
    </row>
    <row r="1858" spans="1:2" x14ac:dyDescent="0.2">
      <c r="A1858" s="117">
        <v>36555</v>
      </c>
      <c r="B1858" s="116">
        <f t="shared" si="28"/>
        <v>21</v>
      </c>
    </row>
    <row r="1859" spans="1:2" x14ac:dyDescent="0.2">
      <c r="A1859" s="117">
        <v>36556</v>
      </c>
      <c r="B1859" s="116">
        <f t="shared" si="28"/>
        <v>21</v>
      </c>
    </row>
    <row r="1860" spans="1:2" x14ac:dyDescent="0.2">
      <c r="A1860" s="117">
        <v>36557</v>
      </c>
      <c r="B1860" s="116">
        <f t="shared" ref="B1860:B1923" si="29">VLOOKUP(WEEKNUM(A1860),$D$4:$E$59,2)</f>
        <v>21</v>
      </c>
    </row>
    <row r="1861" spans="1:2" x14ac:dyDescent="0.2">
      <c r="A1861" s="117">
        <v>36558</v>
      </c>
      <c r="B1861" s="116">
        <f t="shared" si="29"/>
        <v>21</v>
      </c>
    </row>
    <row r="1862" spans="1:2" x14ac:dyDescent="0.2">
      <c r="A1862" s="117">
        <v>36559</v>
      </c>
      <c r="B1862" s="116">
        <f t="shared" si="29"/>
        <v>21</v>
      </c>
    </row>
    <row r="1863" spans="1:2" x14ac:dyDescent="0.2">
      <c r="A1863" s="117">
        <v>36560</v>
      </c>
      <c r="B1863" s="116">
        <f t="shared" si="29"/>
        <v>21</v>
      </c>
    </row>
    <row r="1864" spans="1:2" x14ac:dyDescent="0.2">
      <c r="A1864" s="117">
        <v>36561</v>
      </c>
      <c r="B1864" s="116">
        <f t="shared" si="29"/>
        <v>21</v>
      </c>
    </row>
    <row r="1865" spans="1:2" x14ac:dyDescent="0.2">
      <c r="A1865" s="117">
        <v>36562</v>
      </c>
      <c r="B1865" s="116">
        <f t="shared" si="29"/>
        <v>22</v>
      </c>
    </row>
    <row r="1866" spans="1:2" x14ac:dyDescent="0.2">
      <c r="A1866" s="117">
        <v>36563</v>
      </c>
      <c r="B1866" s="116">
        <f t="shared" si="29"/>
        <v>22</v>
      </c>
    </row>
    <row r="1867" spans="1:2" x14ac:dyDescent="0.2">
      <c r="A1867" s="117">
        <v>36564</v>
      </c>
      <c r="B1867" s="116">
        <f t="shared" si="29"/>
        <v>22</v>
      </c>
    </row>
    <row r="1868" spans="1:2" x14ac:dyDescent="0.2">
      <c r="A1868" s="117">
        <v>36565</v>
      </c>
      <c r="B1868" s="116">
        <f t="shared" si="29"/>
        <v>22</v>
      </c>
    </row>
    <row r="1869" spans="1:2" x14ac:dyDescent="0.2">
      <c r="A1869" s="117">
        <v>36566</v>
      </c>
      <c r="B1869" s="116">
        <f t="shared" si="29"/>
        <v>22</v>
      </c>
    </row>
    <row r="1870" spans="1:2" x14ac:dyDescent="0.2">
      <c r="A1870" s="117">
        <v>36567</v>
      </c>
      <c r="B1870" s="116">
        <f t="shared" si="29"/>
        <v>22</v>
      </c>
    </row>
    <row r="1871" spans="1:2" x14ac:dyDescent="0.2">
      <c r="A1871" s="117">
        <v>36568</v>
      </c>
      <c r="B1871" s="116">
        <f t="shared" si="29"/>
        <v>22</v>
      </c>
    </row>
    <row r="1872" spans="1:2" x14ac:dyDescent="0.2">
      <c r="A1872" s="117">
        <v>36569</v>
      </c>
      <c r="B1872" s="116">
        <f t="shared" si="29"/>
        <v>23</v>
      </c>
    </row>
    <row r="1873" spans="1:2" x14ac:dyDescent="0.2">
      <c r="A1873" s="117">
        <v>36570</v>
      </c>
      <c r="B1873" s="116">
        <f t="shared" si="29"/>
        <v>23</v>
      </c>
    </row>
    <row r="1874" spans="1:2" x14ac:dyDescent="0.2">
      <c r="A1874" s="117">
        <v>36571</v>
      </c>
      <c r="B1874" s="116">
        <f t="shared" si="29"/>
        <v>23</v>
      </c>
    </row>
    <row r="1875" spans="1:2" x14ac:dyDescent="0.2">
      <c r="A1875" s="117">
        <v>36572</v>
      </c>
      <c r="B1875" s="116">
        <f t="shared" si="29"/>
        <v>23</v>
      </c>
    </row>
    <row r="1876" spans="1:2" x14ac:dyDescent="0.2">
      <c r="A1876" s="117">
        <v>36573</v>
      </c>
      <c r="B1876" s="116">
        <f t="shared" si="29"/>
        <v>23</v>
      </c>
    </row>
    <row r="1877" spans="1:2" x14ac:dyDescent="0.2">
      <c r="A1877" s="117">
        <v>36574</v>
      </c>
      <c r="B1877" s="116">
        <f t="shared" si="29"/>
        <v>23</v>
      </c>
    </row>
    <row r="1878" spans="1:2" x14ac:dyDescent="0.2">
      <c r="A1878" s="117">
        <v>36575</v>
      </c>
      <c r="B1878" s="116">
        <f t="shared" si="29"/>
        <v>23</v>
      </c>
    </row>
    <row r="1879" spans="1:2" x14ac:dyDescent="0.2">
      <c r="A1879" s="117">
        <v>36576</v>
      </c>
      <c r="B1879" s="116">
        <f t="shared" si="29"/>
        <v>24</v>
      </c>
    </row>
    <row r="1880" spans="1:2" x14ac:dyDescent="0.2">
      <c r="A1880" s="117">
        <v>36577</v>
      </c>
      <c r="B1880" s="116">
        <f t="shared" si="29"/>
        <v>24</v>
      </c>
    </row>
    <row r="1881" spans="1:2" x14ac:dyDescent="0.2">
      <c r="A1881" s="117">
        <v>36578</v>
      </c>
      <c r="B1881" s="116">
        <f t="shared" si="29"/>
        <v>24</v>
      </c>
    </row>
    <row r="1882" spans="1:2" x14ac:dyDescent="0.2">
      <c r="A1882" s="117">
        <v>36579</v>
      </c>
      <c r="B1882" s="116">
        <f t="shared" si="29"/>
        <v>24</v>
      </c>
    </row>
    <row r="1883" spans="1:2" x14ac:dyDescent="0.2">
      <c r="A1883" s="117">
        <v>36580</v>
      </c>
      <c r="B1883" s="116">
        <f t="shared" si="29"/>
        <v>24</v>
      </c>
    </row>
    <row r="1884" spans="1:2" x14ac:dyDescent="0.2">
      <c r="A1884" s="117">
        <v>36581</v>
      </c>
      <c r="B1884" s="116">
        <f t="shared" si="29"/>
        <v>24</v>
      </c>
    </row>
    <row r="1885" spans="1:2" x14ac:dyDescent="0.2">
      <c r="A1885" s="117">
        <v>36582</v>
      </c>
      <c r="B1885" s="116">
        <f t="shared" si="29"/>
        <v>24</v>
      </c>
    </row>
    <row r="1886" spans="1:2" x14ac:dyDescent="0.2">
      <c r="A1886" s="117">
        <v>36583</v>
      </c>
      <c r="B1886" s="116">
        <f t="shared" si="29"/>
        <v>31</v>
      </c>
    </row>
    <row r="1887" spans="1:2" x14ac:dyDescent="0.2">
      <c r="A1887" s="117">
        <v>36584</v>
      </c>
      <c r="B1887" s="116">
        <f t="shared" si="29"/>
        <v>31</v>
      </c>
    </row>
    <row r="1888" spans="1:2" x14ac:dyDescent="0.2">
      <c r="A1888" s="117">
        <v>36585</v>
      </c>
      <c r="B1888" s="116">
        <f t="shared" si="29"/>
        <v>31</v>
      </c>
    </row>
    <row r="1889" spans="1:2" x14ac:dyDescent="0.2">
      <c r="A1889" s="117">
        <v>36586</v>
      </c>
      <c r="B1889" s="116">
        <f t="shared" si="29"/>
        <v>31</v>
      </c>
    </row>
    <row r="1890" spans="1:2" x14ac:dyDescent="0.2">
      <c r="A1890" s="117">
        <v>36587</v>
      </c>
      <c r="B1890" s="116">
        <f t="shared" si="29"/>
        <v>31</v>
      </c>
    </row>
    <row r="1891" spans="1:2" x14ac:dyDescent="0.2">
      <c r="A1891" s="117">
        <v>36588</v>
      </c>
      <c r="B1891" s="116">
        <f t="shared" si="29"/>
        <v>31</v>
      </c>
    </row>
    <row r="1892" spans="1:2" x14ac:dyDescent="0.2">
      <c r="A1892" s="117">
        <v>36589</v>
      </c>
      <c r="B1892" s="116">
        <f t="shared" si="29"/>
        <v>31</v>
      </c>
    </row>
    <row r="1893" spans="1:2" x14ac:dyDescent="0.2">
      <c r="A1893" s="117">
        <v>36590</v>
      </c>
      <c r="B1893" s="116">
        <f t="shared" si="29"/>
        <v>32</v>
      </c>
    </row>
    <row r="1894" spans="1:2" x14ac:dyDescent="0.2">
      <c r="A1894" s="117">
        <v>36591</v>
      </c>
      <c r="B1894" s="116">
        <f t="shared" si="29"/>
        <v>32</v>
      </c>
    </row>
    <row r="1895" spans="1:2" x14ac:dyDescent="0.2">
      <c r="A1895" s="117">
        <v>36592</v>
      </c>
      <c r="B1895" s="116">
        <f t="shared" si="29"/>
        <v>32</v>
      </c>
    </row>
    <row r="1896" spans="1:2" x14ac:dyDescent="0.2">
      <c r="A1896" s="117">
        <v>36593</v>
      </c>
      <c r="B1896" s="116">
        <f t="shared" si="29"/>
        <v>32</v>
      </c>
    </row>
    <row r="1897" spans="1:2" x14ac:dyDescent="0.2">
      <c r="A1897" s="117">
        <v>36594</v>
      </c>
      <c r="B1897" s="116">
        <f t="shared" si="29"/>
        <v>32</v>
      </c>
    </row>
    <row r="1898" spans="1:2" x14ac:dyDescent="0.2">
      <c r="A1898" s="117">
        <v>36595</v>
      </c>
      <c r="B1898" s="116">
        <f t="shared" si="29"/>
        <v>32</v>
      </c>
    </row>
    <row r="1899" spans="1:2" x14ac:dyDescent="0.2">
      <c r="A1899" s="117">
        <v>36596</v>
      </c>
      <c r="B1899" s="116">
        <f t="shared" si="29"/>
        <v>32</v>
      </c>
    </row>
    <row r="1900" spans="1:2" x14ac:dyDescent="0.2">
      <c r="A1900" s="117">
        <v>36597</v>
      </c>
      <c r="B1900" s="116">
        <f t="shared" si="29"/>
        <v>33</v>
      </c>
    </row>
    <row r="1901" spans="1:2" x14ac:dyDescent="0.2">
      <c r="A1901" s="117">
        <v>36598</v>
      </c>
      <c r="B1901" s="116">
        <f t="shared" si="29"/>
        <v>33</v>
      </c>
    </row>
    <row r="1902" spans="1:2" x14ac:dyDescent="0.2">
      <c r="A1902" s="117">
        <v>36599</v>
      </c>
      <c r="B1902" s="116">
        <f t="shared" si="29"/>
        <v>33</v>
      </c>
    </row>
    <row r="1903" spans="1:2" x14ac:dyDescent="0.2">
      <c r="A1903" s="117">
        <v>36600</v>
      </c>
      <c r="B1903" s="116">
        <f t="shared" si="29"/>
        <v>33</v>
      </c>
    </row>
    <row r="1904" spans="1:2" x14ac:dyDescent="0.2">
      <c r="A1904" s="117">
        <v>36601</v>
      </c>
      <c r="B1904" s="116">
        <f t="shared" si="29"/>
        <v>33</v>
      </c>
    </row>
    <row r="1905" spans="1:2" x14ac:dyDescent="0.2">
      <c r="A1905" s="117">
        <v>36602</v>
      </c>
      <c r="B1905" s="116">
        <f t="shared" si="29"/>
        <v>33</v>
      </c>
    </row>
    <row r="1906" spans="1:2" x14ac:dyDescent="0.2">
      <c r="A1906" s="117">
        <v>36603</v>
      </c>
      <c r="B1906" s="116">
        <f t="shared" si="29"/>
        <v>33</v>
      </c>
    </row>
    <row r="1907" spans="1:2" x14ac:dyDescent="0.2">
      <c r="A1907" s="117">
        <v>36604</v>
      </c>
      <c r="B1907" s="116">
        <f t="shared" si="29"/>
        <v>34</v>
      </c>
    </row>
    <row r="1908" spans="1:2" x14ac:dyDescent="0.2">
      <c r="A1908" s="117">
        <v>36605</v>
      </c>
      <c r="B1908" s="116">
        <f t="shared" si="29"/>
        <v>34</v>
      </c>
    </row>
    <row r="1909" spans="1:2" x14ac:dyDescent="0.2">
      <c r="A1909" s="117">
        <v>36606</v>
      </c>
      <c r="B1909" s="116">
        <f t="shared" si="29"/>
        <v>34</v>
      </c>
    </row>
    <row r="1910" spans="1:2" x14ac:dyDescent="0.2">
      <c r="A1910" s="117">
        <v>36607</v>
      </c>
      <c r="B1910" s="116">
        <f t="shared" si="29"/>
        <v>34</v>
      </c>
    </row>
    <row r="1911" spans="1:2" x14ac:dyDescent="0.2">
      <c r="A1911" s="117">
        <v>36608</v>
      </c>
      <c r="B1911" s="116">
        <f t="shared" si="29"/>
        <v>34</v>
      </c>
    </row>
    <row r="1912" spans="1:2" x14ac:dyDescent="0.2">
      <c r="A1912" s="117">
        <v>36609</v>
      </c>
      <c r="B1912" s="116">
        <f t="shared" si="29"/>
        <v>34</v>
      </c>
    </row>
    <row r="1913" spans="1:2" x14ac:dyDescent="0.2">
      <c r="A1913" s="117">
        <v>36610</v>
      </c>
      <c r="B1913" s="116">
        <f t="shared" si="29"/>
        <v>34</v>
      </c>
    </row>
    <row r="1914" spans="1:2" x14ac:dyDescent="0.2">
      <c r="A1914" s="117">
        <v>36611</v>
      </c>
      <c r="B1914" s="116">
        <f t="shared" si="29"/>
        <v>41</v>
      </c>
    </row>
    <row r="1915" spans="1:2" x14ac:dyDescent="0.2">
      <c r="A1915" s="117">
        <v>36612</v>
      </c>
      <c r="B1915" s="116">
        <f t="shared" si="29"/>
        <v>41</v>
      </c>
    </row>
    <row r="1916" spans="1:2" x14ac:dyDescent="0.2">
      <c r="A1916" s="117">
        <v>36613</v>
      </c>
      <c r="B1916" s="116">
        <f t="shared" si="29"/>
        <v>41</v>
      </c>
    </row>
    <row r="1917" spans="1:2" x14ac:dyDescent="0.2">
      <c r="A1917" s="117">
        <v>36614</v>
      </c>
      <c r="B1917" s="116">
        <f t="shared" si="29"/>
        <v>41</v>
      </c>
    </row>
    <row r="1918" spans="1:2" x14ac:dyDescent="0.2">
      <c r="A1918" s="117">
        <v>36615</v>
      </c>
      <c r="B1918" s="116">
        <f t="shared" si="29"/>
        <v>41</v>
      </c>
    </row>
    <row r="1919" spans="1:2" x14ac:dyDescent="0.2">
      <c r="A1919" s="117">
        <v>36616</v>
      </c>
      <c r="B1919" s="116">
        <f t="shared" si="29"/>
        <v>41</v>
      </c>
    </row>
    <row r="1920" spans="1:2" x14ac:dyDescent="0.2">
      <c r="A1920" s="117">
        <v>36617</v>
      </c>
      <c r="B1920" s="116">
        <f t="shared" si="29"/>
        <v>41</v>
      </c>
    </row>
    <row r="1921" spans="1:2" x14ac:dyDescent="0.2">
      <c r="A1921" s="117">
        <v>36618</v>
      </c>
      <c r="B1921" s="116">
        <f t="shared" si="29"/>
        <v>42</v>
      </c>
    </row>
    <row r="1922" spans="1:2" x14ac:dyDescent="0.2">
      <c r="A1922" s="117">
        <v>36619</v>
      </c>
      <c r="B1922" s="116">
        <f t="shared" si="29"/>
        <v>42</v>
      </c>
    </row>
    <row r="1923" spans="1:2" x14ac:dyDescent="0.2">
      <c r="A1923" s="117">
        <v>36620</v>
      </c>
      <c r="B1923" s="116">
        <f t="shared" si="29"/>
        <v>42</v>
      </c>
    </row>
    <row r="1924" spans="1:2" x14ac:dyDescent="0.2">
      <c r="A1924" s="117">
        <v>36621</v>
      </c>
      <c r="B1924" s="116">
        <f t="shared" ref="B1924:B1987" si="30">VLOOKUP(WEEKNUM(A1924),$D$4:$E$59,2)</f>
        <v>42</v>
      </c>
    </row>
    <row r="1925" spans="1:2" x14ac:dyDescent="0.2">
      <c r="A1925" s="117">
        <v>36622</v>
      </c>
      <c r="B1925" s="116">
        <f t="shared" si="30"/>
        <v>42</v>
      </c>
    </row>
    <row r="1926" spans="1:2" x14ac:dyDescent="0.2">
      <c r="A1926" s="117">
        <v>36623</v>
      </c>
      <c r="B1926" s="116">
        <f t="shared" si="30"/>
        <v>42</v>
      </c>
    </row>
    <row r="1927" spans="1:2" x14ac:dyDescent="0.2">
      <c r="A1927" s="117">
        <v>36624</v>
      </c>
      <c r="B1927" s="116">
        <f t="shared" si="30"/>
        <v>42</v>
      </c>
    </row>
    <row r="1928" spans="1:2" x14ac:dyDescent="0.2">
      <c r="A1928" s="117">
        <v>36625</v>
      </c>
      <c r="B1928" s="116">
        <f t="shared" si="30"/>
        <v>43</v>
      </c>
    </row>
    <row r="1929" spans="1:2" x14ac:dyDescent="0.2">
      <c r="A1929" s="117">
        <v>36626</v>
      </c>
      <c r="B1929" s="116">
        <f t="shared" si="30"/>
        <v>43</v>
      </c>
    </row>
    <row r="1930" spans="1:2" x14ac:dyDescent="0.2">
      <c r="A1930" s="117">
        <v>36627</v>
      </c>
      <c r="B1930" s="116">
        <f t="shared" si="30"/>
        <v>43</v>
      </c>
    </row>
    <row r="1931" spans="1:2" x14ac:dyDescent="0.2">
      <c r="A1931" s="117">
        <v>36628</v>
      </c>
      <c r="B1931" s="116">
        <f t="shared" si="30"/>
        <v>43</v>
      </c>
    </row>
    <row r="1932" spans="1:2" x14ac:dyDescent="0.2">
      <c r="A1932" s="117">
        <v>36629</v>
      </c>
      <c r="B1932" s="116">
        <f t="shared" si="30"/>
        <v>43</v>
      </c>
    </row>
    <row r="1933" spans="1:2" x14ac:dyDescent="0.2">
      <c r="A1933" s="117">
        <v>36630</v>
      </c>
      <c r="B1933" s="116">
        <f t="shared" si="30"/>
        <v>43</v>
      </c>
    </row>
    <row r="1934" spans="1:2" x14ac:dyDescent="0.2">
      <c r="A1934" s="117">
        <v>36631</v>
      </c>
      <c r="B1934" s="116">
        <f t="shared" si="30"/>
        <v>43</v>
      </c>
    </row>
    <row r="1935" spans="1:2" x14ac:dyDescent="0.2">
      <c r="A1935" s="117">
        <v>36632</v>
      </c>
      <c r="B1935" s="116">
        <f t="shared" si="30"/>
        <v>44</v>
      </c>
    </row>
    <row r="1936" spans="1:2" x14ac:dyDescent="0.2">
      <c r="A1936" s="117">
        <v>36633</v>
      </c>
      <c r="B1936" s="116">
        <f t="shared" si="30"/>
        <v>44</v>
      </c>
    </row>
    <row r="1937" spans="1:2" x14ac:dyDescent="0.2">
      <c r="A1937" s="117">
        <v>36634</v>
      </c>
      <c r="B1937" s="116">
        <f t="shared" si="30"/>
        <v>44</v>
      </c>
    </row>
    <row r="1938" spans="1:2" x14ac:dyDescent="0.2">
      <c r="A1938" s="117">
        <v>36635</v>
      </c>
      <c r="B1938" s="116">
        <f t="shared" si="30"/>
        <v>44</v>
      </c>
    </row>
    <row r="1939" spans="1:2" x14ac:dyDescent="0.2">
      <c r="A1939" s="117">
        <v>36636</v>
      </c>
      <c r="B1939" s="116">
        <f t="shared" si="30"/>
        <v>44</v>
      </c>
    </row>
    <row r="1940" spans="1:2" x14ac:dyDescent="0.2">
      <c r="A1940" s="117">
        <v>36637</v>
      </c>
      <c r="B1940" s="116">
        <f t="shared" si="30"/>
        <v>44</v>
      </c>
    </row>
    <row r="1941" spans="1:2" x14ac:dyDescent="0.2">
      <c r="A1941" s="117">
        <v>36638</v>
      </c>
      <c r="B1941" s="116">
        <f t="shared" si="30"/>
        <v>44</v>
      </c>
    </row>
    <row r="1942" spans="1:2" x14ac:dyDescent="0.2">
      <c r="A1942" s="117">
        <v>36639</v>
      </c>
      <c r="B1942" s="116">
        <f t="shared" si="30"/>
        <v>45</v>
      </c>
    </row>
    <row r="1943" spans="1:2" x14ac:dyDescent="0.2">
      <c r="A1943" s="117">
        <v>36640</v>
      </c>
      <c r="B1943" s="116">
        <f t="shared" si="30"/>
        <v>45</v>
      </c>
    </row>
    <row r="1944" spans="1:2" x14ac:dyDescent="0.2">
      <c r="A1944" s="117">
        <v>36641</v>
      </c>
      <c r="B1944" s="116">
        <f t="shared" si="30"/>
        <v>45</v>
      </c>
    </row>
    <row r="1945" spans="1:2" x14ac:dyDescent="0.2">
      <c r="A1945" s="117">
        <v>36642</v>
      </c>
      <c r="B1945" s="116">
        <f t="shared" si="30"/>
        <v>45</v>
      </c>
    </row>
    <row r="1946" spans="1:2" x14ac:dyDescent="0.2">
      <c r="A1946" s="117">
        <v>36643</v>
      </c>
      <c r="B1946" s="116">
        <f t="shared" si="30"/>
        <v>45</v>
      </c>
    </row>
    <row r="1947" spans="1:2" x14ac:dyDescent="0.2">
      <c r="A1947" s="117">
        <v>36644</v>
      </c>
      <c r="B1947" s="116">
        <f t="shared" si="30"/>
        <v>45</v>
      </c>
    </row>
    <row r="1948" spans="1:2" x14ac:dyDescent="0.2">
      <c r="A1948" s="117">
        <v>36645</v>
      </c>
      <c r="B1948" s="116">
        <f t="shared" si="30"/>
        <v>45</v>
      </c>
    </row>
    <row r="1949" spans="1:2" x14ac:dyDescent="0.2">
      <c r="A1949" s="117">
        <v>36646</v>
      </c>
      <c r="B1949" s="116">
        <f t="shared" si="30"/>
        <v>51</v>
      </c>
    </row>
    <row r="1950" spans="1:2" x14ac:dyDescent="0.2">
      <c r="A1950" s="117">
        <v>36647</v>
      </c>
      <c r="B1950" s="116">
        <f t="shared" si="30"/>
        <v>51</v>
      </c>
    </row>
    <row r="1951" spans="1:2" x14ac:dyDescent="0.2">
      <c r="A1951" s="117">
        <v>36648</v>
      </c>
      <c r="B1951" s="116">
        <f t="shared" si="30"/>
        <v>51</v>
      </c>
    </row>
    <row r="1952" spans="1:2" x14ac:dyDescent="0.2">
      <c r="A1952" s="117">
        <v>36649</v>
      </c>
      <c r="B1952" s="116">
        <f t="shared" si="30"/>
        <v>51</v>
      </c>
    </row>
    <row r="1953" spans="1:2" x14ac:dyDescent="0.2">
      <c r="A1953" s="117">
        <v>36650</v>
      </c>
      <c r="B1953" s="116">
        <f t="shared" si="30"/>
        <v>51</v>
      </c>
    </row>
    <row r="1954" spans="1:2" x14ac:dyDescent="0.2">
      <c r="A1954" s="117">
        <v>36651</v>
      </c>
      <c r="B1954" s="116">
        <f t="shared" si="30"/>
        <v>51</v>
      </c>
    </row>
    <row r="1955" spans="1:2" x14ac:dyDescent="0.2">
      <c r="A1955" s="117">
        <v>36652</v>
      </c>
      <c r="B1955" s="116">
        <f t="shared" si="30"/>
        <v>51</v>
      </c>
    </row>
    <row r="1956" spans="1:2" x14ac:dyDescent="0.2">
      <c r="A1956" s="117">
        <v>36653</v>
      </c>
      <c r="B1956" s="116">
        <f t="shared" si="30"/>
        <v>52</v>
      </c>
    </row>
    <row r="1957" spans="1:2" x14ac:dyDescent="0.2">
      <c r="A1957" s="117">
        <v>36654</v>
      </c>
      <c r="B1957" s="116">
        <f t="shared" si="30"/>
        <v>52</v>
      </c>
    </row>
    <row r="1958" spans="1:2" x14ac:dyDescent="0.2">
      <c r="A1958" s="117">
        <v>36655</v>
      </c>
      <c r="B1958" s="116">
        <f t="shared" si="30"/>
        <v>52</v>
      </c>
    </row>
    <row r="1959" spans="1:2" x14ac:dyDescent="0.2">
      <c r="A1959" s="117">
        <v>36656</v>
      </c>
      <c r="B1959" s="116">
        <f t="shared" si="30"/>
        <v>52</v>
      </c>
    </row>
    <row r="1960" spans="1:2" x14ac:dyDescent="0.2">
      <c r="A1960" s="117">
        <v>36657</v>
      </c>
      <c r="B1960" s="116">
        <f t="shared" si="30"/>
        <v>52</v>
      </c>
    </row>
    <row r="1961" spans="1:2" x14ac:dyDescent="0.2">
      <c r="A1961" s="117">
        <v>36658</v>
      </c>
      <c r="B1961" s="116">
        <f t="shared" si="30"/>
        <v>52</v>
      </c>
    </row>
    <row r="1962" spans="1:2" x14ac:dyDescent="0.2">
      <c r="A1962" s="117">
        <v>36659</v>
      </c>
      <c r="B1962" s="116">
        <f t="shared" si="30"/>
        <v>52</v>
      </c>
    </row>
    <row r="1963" spans="1:2" x14ac:dyDescent="0.2">
      <c r="A1963" s="117">
        <v>36660</v>
      </c>
      <c r="B1963" s="116">
        <f t="shared" si="30"/>
        <v>53</v>
      </c>
    </row>
    <row r="1964" spans="1:2" x14ac:dyDescent="0.2">
      <c r="A1964" s="117">
        <v>36661</v>
      </c>
      <c r="B1964" s="116">
        <f t="shared" si="30"/>
        <v>53</v>
      </c>
    </row>
    <row r="1965" spans="1:2" x14ac:dyDescent="0.2">
      <c r="A1965" s="117">
        <v>36662</v>
      </c>
      <c r="B1965" s="116">
        <f t="shared" si="30"/>
        <v>53</v>
      </c>
    </row>
    <row r="1966" spans="1:2" x14ac:dyDescent="0.2">
      <c r="A1966" s="117">
        <v>36663</v>
      </c>
      <c r="B1966" s="116">
        <f t="shared" si="30"/>
        <v>53</v>
      </c>
    </row>
    <row r="1967" spans="1:2" x14ac:dyDescent="0.2">
      <c r="A1967" s="117">
        <v>36664</v>
      </c>
      <c r="B1967" s="116">
        <f t="shared" si="30"/>
        <v>53</v>
      </c>
    </row>
    <row r="1968" spans="1:2" x14ac:dyDescent="0.2">
      <c r="A1968" s="117">
        <v>36665</v>
      </c>
      <c r="B1968" s="116">
        <f t="shared" si="30"/>
        <v>53</v>
      </c>
    </row>
    <row r="1969" spans="1:2" x14ac:dyDescent="0.2">
      <c r="A1969" s="117">
        <v>36666</v>
      </c>
      <c r="B1969" s="116">
        <f t="shared" si="30"/>
        <v>53</v>
      </c>
    </row>
    <row r="1970" spans="1:2" x14ac:dyDescent="0.2">
      <c r="A1970" s="117">
        <v>36667</v>
      </c>
      <c r="B1970" s="116">
        <f t="shared" si="30"/>
        <v>54</v>
      </c>
    </row>
    <row r="1971" spans="1:2" x14ac:dyDescent="0.2">
      <c r="A1971" s="117">
        <v>36668</v>
      </c>
      <c r="B1971" s="116">
        <f t="shared" si="30"/>
        <v>54</v>
      </c>
    </row>
    <row r="1972" spans="1:2" x14ac:dyDescent="0.2">
      <c r="A1972" s="117">
        <v>36669</v>
      </c>
      <c r="B1972" s="116">
        <f t="shared" si="30"/>
        <v>54</v>
      </c>
    </row>
    <row r="1973" spans="1:2" x14ac:dyDescent="0.2">
      <c r="A1973" s="117">
        <v>36670</v>
      </c>
      <c r="B1973" s="116">
        <f t="shared" si="30"/>
        <v>54</v>
      </c>
    </row>
    <row r="1974" spans="1:2" x14ac:dyDescent="0.2">
      <c r="A1974" s="117">
        <v>36671</v>
      </c>
      <c r="B1974" s="116">
        <f t="shared" si="30"/>
        <v>54</v>
      </c>
    </row>
    <row r="1975" spans="1:2" x14ac:dyDescent="0.2">
      <c r="A1975" s="117">
        <v>36672</v>
      </c>
      <c r="B1975" s="116">
        <f t="shared" si="30"/>
        <v>54</v>
      </c>
    </row>
    <row r="1976" spans="1:2" x14ac:dyDescent="0.2">
      <c r="A1976" s="117">
        <v>36673</v>
      </c>
      <c r="B1976" s="116">
        <f t="shared" si="30"/>
        <v>54</v>
      </c>
    </row>
    <row r="1977" spans="1:2" x14ac:dyDescent="0.2">
      <c r="A1977" s="117">
        <v>36674</v>
      </c>
      <c r="B1977" s="116">
        <f t="shared" si="30"/>
        <v>61</v>
      </c>
    </row>
    <row r="1978" spans="1:2" x14ac:dyDescent="0.2">
      <c r="A1978" s="117">
        <v>36675</v>
      </c>
      <c r="B1978" s="116">
        <f t="shared" si="30"/>
        <v>61</v>
      </c>
    </row>
    <row r="1979" spans="1:2" x14ac:dyDescent="0.2">
      <c r="A1979" s="117">
        <v>36676</v>
      </c>
      <c r="B1979" s="116">
        <f t="shared" si="30"/>
        <v>61</v>
      </c>
    </row>
    <row r="1980" spans="1:2" x14ac:dyDescent="0.2">
      <c r="A1980" s="117">
        <v>36677</v>
      </c>
      <c r="B1980" s="116">
        <f t="shared" si="30"/>
        <v>61</v>
      </c>
    </row>
    <row r="1981" spans="1:2" x14ac:dyDescent="0.2">
      <c r="A1981" s="117">
        <v>36678</v>
      </c>
      <c r="B1981" s="116">
        <f t="shared" si="30"/>
        <v>61</v>
      </c>
    </row>
    <row r="1982" spans="1:2" x14ac:dyDescent="0.2">
      <c r="A1982" s="117">
        <v>36679</v>
      </c>
      <c r="B1982" s="116">
        <f t="shared" si="30"/>
        <v>61</v>
      </c>
    </row>
    <row r="1983" spans="1:2" x14ac:dyDescent="0.2">
      <c r="A1983" s="117">
        <v>36680</v>
      </c>
      <c r="B1983" s="116">
        <f t="shared" si="30"/>
        <v>61</v>
      </c>
    </row>
    <row r="1984" spans="1:2" x14ac:dyDescent="0.2">
      <c r="A1984" s="117">
        <v>36681</v>
      </c>
      <c r="B1984" s="116">
        <f t="shared" si="30"/>
        <v>62</v>
      </c>
    </row>
    <row r="1985" spans="1:2" x14ac:dyDescent="0.2">
      <c r="A1985" s="117">
        <v>36682</v>
      </c>
      <c r="B1985" s="116">
        <f t="shared" si="30"/>
        <v>62</v>
      </c>
    </row>
    <row r="1986" spans="1:2" x14ac:dyDescent="0.2">
      <c r="A1986" s="117">
        <v>36683</v>
      </c>
      <c r="B1986" s="116">
        <f t="shared" si="30"/>
        <v>62</v>
      </c>
    </row>
    <row r="1987" spans="1:2" x14ac:dyDescent="0.2">
      <c r="A1987" s="117">
        <v>36684</v>
      </c>
      <c r="B1987" s="116">
        <f t="shared" si="30"/>
        <v>62</v>
      </c>
    </row>
    <row r="1988" spans="1:2" x14ac:dyDescent="0.2">
      <c r="A1988" s="117">
        <v>36685</v>
      </c>
      <c r="B1988" s="116">
        <f t="shared" ref="B1988:B2051" si="31">VLOOKUP(WEEKNUM(A1988),$D$4:$E$59,2)</f>
        <v>62</v>
      </c>
    </row>
    <row r="1989" spans="1:2" x14ac:dyDescent="0.2">
      <c r="A1989" s="117">
        <v>36686</v>
      </c>
      <c r="B1989" s="116">
        <f t="shared" si="31"/>
        <v>62</v>
      </c>
    </row>
    <row r="1990" spans="1:2" x14ac:dyDescent="0.2">
      <c r="A1990" s="117">
        <v>36687</v>
      </c>
      <c r="B1990" s="116">
        <f t="shared" si="31"/>
        <v>62</v>
      </c>
    </row>
    <row r="1991" spans="1:2" x14ac:dyDescent="0.2">
      <c r="A1991" s="117">
        <v>36688</v>
      </c>
      <c r="B1991" s="116">
        <f t="shared" si="31"/>
        <v>63</v>
      </c>
    </row>
    <row r="1992" spans="1:2" x14ac:dyDescent="0.2">
      <c r="A1992" s="117">
        <v>36689</v>
      </c>
      <c r="B1992" s="116">
        <f t="shared" si="31"/>
        <v>63</v>
      </c>
    </row>
    <row r="1993" spans="1:2" x14ac:dyDescent="0.2">
      <c r="A1993" s="117">
        <v>36690</v>
      </c>
      <c r="B1993" s="116">
        <f t="shared" si="31"/>
        <v>63</v>
      </c>
    </row>
    <row r="1994" spans="1:2" x14ac:dyDescent="0.2">
      <c r="A1994" s="117">
        <v>36691</v>
      </c>
      <c r="B1994" s="116">
        <f t="shared" si="31"/>
        <v>63</v>
      </c>
    </row>
    <row r="1995" spans="1:2" x14ac:dyDescent="0.2">
      <c r="A1995" s="117">
        <v>36692</v>
      </c>
      <c r="B1995" s="116">
        <f t="shared" si="31"/>
        <v>63</v>
      </c>
    </row>
    <row r="1996" spans="1:2" x14ac:dyDescent="0.2">
      <c r="A1996" s="117">
        <v>36693</v>
      </c>
      <c r="B1996" s="116">
        <f t="shared" si="31"/>
        <v>63</v>
      </c>
    </row>
    <row r="1997" spans="1:2" x14ac:dyDescent="0.2">
      <c r="A1997" s="117">
        <v>36694</v>
      </c>
      <c r="B1997" s="116">
        <f t="shared" si="31"/>
        <v>63</v>
      </c>
    </row>
    <row r="1998" spans="1:2" x14ac:dyDescent="0.2">
      <c r="A1998" s="117">
        <v>36695</v>
      </c>
      <c r="B1998" s="116">
        <f t="shared" si="31"/>
        <v>64</v>
      </c>
    </row>
    <row r="1999" spans="1:2" x14ac:dyDescent="0.2">
      <c r="A1999" s="117">
        <v>36696</v>
      </c>
      <c r="B1999" s="116">
        <f t="shared" si="31"/>
        <v>64</v>
      </c>
    </row>
    <row r="2000" spans="1:2" x14ac:dyDescent="0.2">
      <c r="A2000" s="117">
        <v>36697</v>
      </c>
      <c r="B2000" s="116">
        <f t="shared" si="31"/>
        <v>64</v>
      </c>
    </row>
    <row r="2001" spans="1:2" x14ac:dyDescent="0.2">
      <c r="A2001" s="117">
        <v>36698</v>
      </c>
      <c r="B2001" s="116">
        <f t="shared" si="31"/>
        <v>64</v>
      </c>
    </row>
    <row r="2002" spans="1:2" x14ac:dyDescent="0.2">
      <c r="A2002" s="117">
        <v>36699</v>
      </c>
      <c r="B2002" s="116">
        <f t="shared" si="31"/>
        <v>64</v>
      </c>
    </row>
    <row r="2003" spans="1:2" x14ac:dyDescent="0.2">
      <c r="A2003" s="117">
        <v>36700</v>
      </c>
      <c r="B2003" s="116">
        <f t="shared" si="31"/>
        <v>64</v>
      </c>
    </row>
    <row r="2004" spans="1:2" x14ac:dyDescent="0.2">
      <c r="A2004" s="117">
        <v>36701</v>
      </c>
      <c r="B2004" s="116">
        <f t="shared" si="31"/>
        <v>64</v>
      </c>
    </row>
    <row r="2005" spans="1:2" x14ac:dyDescent="0.2">
      <c r="A2005" s="117">
        <v>36702</v>
      </c>
      <c r="B2005" s="116">
        <f t="shared" si="31"/>
        <v>71</v>
      </c>
    </row>
    <row r="2006" spans="1:2" x14ac:dyDescent="0.2">
      <c r="A2006" s="117">
        <v>36703</v>
      </c>
      <c r="B2006" s="116">
        <f t="shared" si="31"/>
        <v>71</v>
      </c>
    </row>
    <row r="2007" spans="1:2" x14ac:dyDescent="0.2">
      <c r="A2007" s="117">
        <v>36704</v>
      </c>
      <c r="B2007" s="116">
        <f t="shared" si="31"/>
        <v>71</v>
      </c>
    </row>
    <row r="2008" spans="1:2" x14ac:dyDescent="0.2">
      <c r="A2008" s="117">
        <v>36705</v>
      </c>
      <c r="B2008" s="116">
        <f t="shared" si="31"/>
        <v>71</v>
      </c>
    </row>
    <row r="2009" spans="1:2" x14ac:dyDescent="0.2">
      <c r="A2009" s="117">
        <v>36706</v>
      </c>
      <c r="B2009" s="116">
        <f t="shared" si="31"/>
        <v>71</v>
      </c>
    </row>
    <row r="2010" spans="1:2" x14ac:dyDescent="0.2">
      <c r="A2010" s="117">
        <v>36707</v>
      </c>
      <c r="B2010" s="116">
        <f t="shared" si="31"/>
        <v>71</v>
      </c>
    </row>
    <row r="2011" spans="1:2" x14ac:dyDescent="0.2">
      <c r="A2011" s="117">
        <v>36708</v>
      </c>
      <c r="B2011" s="116">
        <f t="shared" si="31"/>
        <v>71</v>
      </c>
    </row>
    <row r="2012" spans="1:2" x14ac:dyDescent="0.2">
      <c r="A2012" s="117">
        <v>36709</v>
      </c>
      <c r="B2012" s="116">
        <f t="shared" si="31"/>
        <v>72</v>
      </c>
    </row>
    <row r="2013" spans="1:2" x14ac:dyDescent="0.2">
      <c r="A2013" s="117">
        <v>36710</v>
      </c>
      <c r="B2013" s="116">
        <f t="shared" si="31"/>
        <v>72</v>
      </c>
    </row>
    <row r="2014" spans="1:2" x14ac:dyDescent="0.2">
      <c r="A2014" s="117">
        <v>36711</v>
      </c>
      <c r="B2014" s="116">
        <f t="shared" si="31"/>
        <v>72</v>
      </c>
    </row>
    <row r="2015" spans="1:2" x14ac:dyDescent="0.2">
      <c r="A2015" s="117">
        <v>36712</v>
      </c>
      <c r="B2015" s="116">
        <f t="shared" si="31"/>
        <v>72</v>
      </c>
    </row>
    <row r="2016" spans="1:2" x14ac:dyDescent="0.2">
      <c r="A2016" s="117">
        <v>36713</v>
      </c>
      <c r="B2016" s="116">
        <f t="shared" si="31"/>
        <v>72</v>
      </c>
    </row>
    <row r="2017" spans="1:2" x14ac:dyDescent="0.2">
      <c r="A2017" s="117">
        <v>36714</v>
      </c>
      <c r="B2017" s="116">
        <f t="shared" si="31"/>
        <v>72</v>
      </c>
    </row>
    <row r="2018" spans="1:2" x14ac:dyDescent="0.2">
      <c r="A2018" s="117">
        <v>36715</v>
      </c>
      <c r="B2018" s="116">
        <f t="shared" si="31"/>
        <v>72</v>
      </c>
    </row>
    <row r="2019" spans="1:2" x14ac:dyDescent="0.2">
      <c r="A2019" s="117">
        <v>36716</v>
      </c>
      <c r="B2019" s="116">
        <f t="shared" si="31"/>
        <v>73</v>
      </c>
    </row>
    <row r="2020" spans="1:2" x14ac:dyDescent="0.2">
      <c r="A2020" s="117">
        <v>36717</v>
      </c>
      <c r="B2020" s="116">
        <f t="shared" si="31"/>
        <v>73</v>
      </c>
    </row>
    <row r="2021" spans="1:2" x14ac:dyDescent="0.2">
      <c r="A2021" s="117">
        <v>36718</v>
      </c>
      <c r="B2021" s="116">
        <f t="shared" si="31"/>
        <v>73</v>
      </c>
    </row>
    <row r="2022" spans="1:2" x14ac:dyDescent="0.2">
      <c r="A2022" s="117">
        <v>36719</v>
      </c>
      <c r="B2022" s="116">
        <f t="shared" si="31"/>
        <v>73</v>
      </c>
    </row>
    <row r="2023" spans="1:2" x14ac:dyDescent="0.2">
      <c r="A2023" s="117">
        <v>36720</v>
      </c>
      <c r="B2023" s="116">
        <f t="shared" si="31"/>
        <v>73</v>
      </c>
    </row>
    <row r="2024" spans="1:2" x14ac:dyDescent="0.2">
      <c r="A2024" s="117">
        <v>36721</v>
      </c>
      <c r="B2024" s="116">
        <f t="shared" si="31"/>
        <v>73</v>
      </c>
    </row>
    <row r="2025" spans="1:2" x14ac:dyDescent="0.2">
      <c r="A2025" s="117">
        <v>36722</v>
      </c>
      <c r="B2025" s="116">
        <f t="shared" si="31"/>
        <v>73</v>
      </c>
    </row>
    <row r="2026" spans="1:2" x14ac:dyDescent="0.2">
      <c r="A2026" s="117">
        <v>36723</v>
      </c>
      <c r="B2026" s="116">
        <f t="shared" si="31"/>
        <v>74</v>
      </c>
    </row>
    <row r="2027" spans="1:2" x14ac:dyDescent="0.2">
      <c r="A2027" s="117">
        <v>36724</v>
      </c>
      <c r="B2027" s="116">
        <f t="shared" si="31"/>
        <v>74</v>
      </c>
    </row>
    <row r="2028" spans="1:2" x14ac:dyDescent="0.2">
      <c r="A2028" s="117">
        <v>36725</v>
      </c>
      <c r="B2028" s="116">
        <f t="shared" si="31"/>
        <v>74</v>
      </c>
    </row>
    <row r="2029" spans="1:2" x14ac:dyDescent="0.2">
      <c r="A2029" s="117">
        <v>36726</v>
      </c>
      <c r="B2029" s="116">
        <f t="shared" si="31"/>
        <v>74</v>
      </c>
    </row>
    <row r="2030" spans="1:2" x14ac:dyDescent="0.2">
      <c r="A2030" s="117">
        <v>36727</v>
      </c>
      <c r="B2030" s="116">
        <f t="shared" si="31"/>
        <v>74</v>
      </c>
    </row>
    <row r="2031" spans="1:2" x14ac:dyDescent="0.2">
      <c r="A2031" s="117">
        <v>36728</v>
      </c>
      <c r="B2031" s="116">
        <f t="shared" si="31"/>
        <v>74</v>
      </c>
    </row>
    <row r="2032" spans="1:2" x14ac:dyDescent="0.2">
      <c r="A2032" s="117">
        <v>36729</v>
      </c>
      <c r="B2032" s="116">
        <f t="shared" si="31"/>
        <v>74</v>
      </c>
    </row>
    <row r="2033" spans="1:2" x14ac:dyDescent="0.2">
      <c r="A2033" s="117">
        <v>36730</v>
      </c>
      <c r="B2033" s="116">
        <f t="shared" si="31"/>
        <v>75</v>
      </c>
    </row>
    <row r="2034" spans="1:2" x14ac:dyDescent="0.2">
      <c r="A2034" s="117">
        <v>36731</v>
      </c>
      <c r="B2034" s="116">
        <f t="shared" si="31"/>
        <v>75</v>
      </c>
    </row>
    <row r="2035" spans="1:2" x14ac:dyDescent="0.2">
      <c r="A2035" s="117">
        <v>36732</v>
      </c>
      <c r="B2035" s="116">
        <f t="shared" si="31"/>
        <v>75</v>
      </c>
    </row>
    <row r="2036" spans="1:2" x14ac:dyDescent="0.2">
      <c r="A2036" s="117">
        <v>36733</v>
      </c>
      <c r="B2036" s="116">
        <f t="shared" si="31"/>
        <v>75</v>
      </c>
    </row>
    <row r="2037" spans="1:2" x14ac:dyDescent="0.2">
      <c r="A2037" s="117">
        <v>36734</v>
      </c>
      <c r="B2037" s="116">
        <f t="shared" si="31"/>
        <v>75</v>
      </c>
    </row>
    <row r="2038" spans="1:2" x14ac:dyDescent="0.2">
      <c r="A2038" s="117">
        <v>36735</v>
      </c>
      <c r="B2038" s="116">
        <f t="shared" si="31"/>
        <v>75</v>
      </c>
    </row>
    <row r="2039" spans="1:2" x14ac:dyDescent="0.2">
      <c r="A2039" s="117">
        <v>36736</v>
      </c>
      <c r="B2039" s="116">
        <f t="shared" si="31"/>
        <v>75</v>
      </c>
    </row>
    <row r="2040" spans="1:2" x14ac:dyDescent="0.2">
      <c r="A2040" s="117">
        <v>36737</v>
      </c>
      <c r="B2040" s="116">
        <f t="shared" si="31"/>
        <v>81</v>
      </c>
    </row>
    <row r="2041" spans="1:2" x14ac:dyDescent="0.2">
      <c r="A2041" s="117">
        <v>36738</v>
      </c>
      <c r="B2041" s="116">
        <f t="shared" si="31"/>
        <v>81</v>
      </c>
    </row>
    <row r="2042" spans="1:2" x14ac:dyDescent="0.2">
      <c r="A2042" s="117">
        <v>36739</v>
      </c>
      <c r="B2042" s="116">
        <f t="shared" si="31"/>
        <v>81</v>
      </c>
    </row>
    <row r="2043" spans="1:2" x14ac:dyDescent="0.2">
      <c r="A2043" s="117">
        <v>36740</v>
      </c>
      <c r="B2043" s="116">
        <f t="shared" si="31"/>
        <v>81</v>
      </c>
    </row>
    <row r="2044" spans="1:2" x14ac:dyDescent="0.2">
      <c r="A2044" s="117">
        <v>36741</v>
      </c>
      <c r="B2044" s="116">
        <f t="shared" si="31"/>
        <v>81</v>
      </c>
    </row>
    <row r="2045" spans="1:2" x14ac:dyDescent="0.2">
      <c r="A2045" s="117">
        <v>36742</v>
      </c>
      <c r="B2045" s="116">
        <f t="shared" si="31"/>
        <v>81</v>
      </c>
    </row>
    <row r="2046" spans="1:2" x14ac:dyDescent="0.2">
      <c r="A2046" s="117">
        <v>36743</v>
      </c>
      <c r="B2046" s="116">
        <f t="shared" si="31"/>
        <v>81</v>
      </c>
    </row>
    <row r="2047" spans="1:2" x14ac:dyDescent="0.2">
      <c r="A2047" s="117">
        <v>36744</v>
      </c>
      <c r="B2047" s="116">
        <f t="shared" si="31"/>
        <v>82</v>
      </c>
    </row>
    <row r="2048" spans="1:2" x14ac:dyDescent="0.2">
      <c r="A2048" s="117">
        <v>36745</v>
      </c>
      <c r="B2048" s="116">
        <f t="shared" si="31"/>
        <v>82</v>
      </c>
    </row>
    <row r="2049" spans="1:2" x14ac:dyDescent="0.2">
      <c r="A2049" s="117">
        <v>36746</v>
      </c>
      <c r="B2049" s="116">
        <f t="shared" si="31"/>
        <v>82</v>
      </c>
    </row>
    <row r="2050" spans="1:2" x14ac:dyDescent="0.2">
      <c r="A2050" s="117">
        <v>36747</v>
      </c>
      <c r="B2050" s="116">
        <f t="shared" si="31"/>
        <v>82</v>
      </c>
    </row>
    <row r="2051" spans="1:2" x14ac:dyDescent="0.2">
      <c r="A2051" s="117">
        <v>36748</v>
      </c>
      <c r="B2051" s="116">
        <f t="shared" si="31"/>
        <v>82</v>
      </c>
    </row>
    <row r="2052" spans="1:2" x14ac:dyDescent="0.2">
      <c r="A2052" s="117">
        <v>36749</v>
      </c>
      <c r="B2052" s="116">
        <f t="shared" ref="B2052:B2115" si="32">VLOOKUP(WEEKNUM(A2052),$D$4:$E$59,2)</f>
        <v>82</v>
      </c>
    </row>
    <row r="2053" spans="1:2" x14ac:dyDescent="0.2">
      <c r="A2053" s="117">
        <v>36750</v>
      </c>
      <c r="B2053" s="116">
        <f t="shared" si="32"/>
        <v>82</v>
      </c>
    </row>
    <row r="2054" spans="1:2" x14ac:dyDescent="0.2">
      <c r="A2054" s="117">
        <v>36751</v>
      </c>
      <c r="B2054" s="116">
        <f t="shared" si="32"/>
        <v>83</v>
      </c>
    </row>
    <row r="2055" spans="1:2" x14ac:dyDescent="0.2">
      <c r="A2055" s="117">
        <v>36752</v>
      </c>
      <c r="B2055" s="116">
        <f t="shared" si="32"/>
        <v>83</v>
      </c>
    </row>
    <row r="2056" spans="1:2" x14ac:dyDescent="0.2">
      <c r="A2056" s="117">
        <v>36753</v>
      </c>
      <c r="B2056" s="116">
        <f t="shared" si="32"/>
        <v>83</v>
      </c>
    </row>
    <row r="2057" spans="1:2" x14ac:dyDescent="0.2">
      <c r="A2057" s="117">
        <v>36754</v>
      </c>
      <c r="B2057" s="116">
        <f t="shared" si="32"/>
        <v>83</v>
      </c>
    </row>
    <row r="2058" spans="1:2" x14ac:dyDescent="0.2">
      <c r="A2058" s="117">
        <v>36755</v>
      </c>
      <c r="B2058" s="116">
        <f t="shared" si="32"/>
        <v>83</v>
      </c>
    </row>
    <row r="2059" spans="1:2" x14ac:dyDescent="0.2">
      <c r="A2059" s="117">
        <v>36756</v>
      </c>
      <c r="B2059" s="116">
        <f t="shared" si="32"/>
        <v>83</v>
      </c>
    </row>
    <row r="2060" spans="1:2" x14ac:dyDescent="0.2">
      <c r="A2060" s="117">
        <v>36757</v>
      </c>
      <c r="B2060" s="116">
        <f t="shared" si="32"/>
        <v>83</v>
      </c>
    </row>
    <row r="2061" spans="1:2" x14ac:dyDescent="0.2">
      <c r="A2061" s="117">
        <v>36758</v>
      </c>
      <c r="B2061" s="116">
        <f t="shared" si="32"/>
        <v>84</v>
      </c>
    </row>
    <row r="2062" spans="1:2" x14ac:dyDescent="0.2">
      <c r="A2062" s="117">
        <v>36759</v>
      </c>
      <c r="B2062" s="116">
        <f t="shared" si="32"/>
        <v>84</v>
      </c>
    </row>
    <row r="2063" spans="1:2" x14ac:dyDescent="0.2">
      <c r="A2063" s="117">
        <v>36760</v>
      </c>
      <c r="B2063" s="116">
        <f t="shared" si="32"/>
        <v>84</v>
      </c>
    </row>
    <row r="2064" spans="1:2" x14ac:dyDescent="0.2">
      <c r="A2064" s="117">
        <v>36761</v>
      </c>
      <c r="B2064" s="116">
        <f t="shared" si="32"/>
        <v>84</v>
      </c>
    </row>
    <row r="2065" spans="1:2" x14ac:dyDescent="0.2">
      <c r="A2065" s="117">
        <v>36762</v>
      </c>
      <c r="B2065" s="116">
        <f t="shared" si="32"/>
        <v>84</v>
      </c>
    </row>
    <row r="2066" spans="1:2" x14ac:dyDescent="0.2">
      <c r="A2066" s="117">
        <v>36763</v>
      </c>
      <c r="B2066" s="116">
        <f t="shared" si="32"/>
        <v>84</v>
      </c>
    </row>
    <row r="2067" spans="1:2" x14ac:dyDescent="0.2">
      <c r="A2067" s="117">
        <v>36764</v>
      </c>
      <c r="B2067" s="116">
        <f t="shared" si="32"/>
        <v>84</v>
      </c>
    </row>
    <row r="2068" spans="1:2" x14ac:dyDescent="0.2">
      <c r="A2068" s="117">
        <v>36765</v>
      </c>
      <c r="B2068" s="116">
        <f t="shared" si="32"/>
        <v>91</v>
      </c>
    </row>
    <row r="2069" spans="1:2" x14ac:dyDescent="0.2">
      <c r="A2069" s="117">
        <v>36766</v>
      </c>
      <c r="B2069" s="116">
        <f t="shared" si="32"/>
        <v>91</v>
      </c>
    </row>
    <row r="2070" spans="1:2" x14ac:dyDescent="0.2">
      <c r="A2070" s="117">
        <v>36767</v>
      </c>
      <c r="B2070" s="116">
        <f t="shared" si="32"/>
        <v>91</v>
      </c>
    </row>
    <row r="2071" spans="1:2" x14ac:dyDescent="0.2">
      <c r="A2071" s="117">
        <v>36768</v>
      </c>
      <c r="B2071" s="116">
        <f t="shared" si="32"/>
        <v>91</v>
      </c>
    </row>
    <row r="2072" spans="1:2" x14ac:dyDescent="0.2">
      <c r="A2072" s="117">
        <v>36769</v>
      </c>
      <c r="B2072" s="116">
        <f t="shared" si="32"/>
        <v>91</v>
      </c>
    </row>
    <row r="2073" spans="1:2" x14ac:dyDescent="0.2">
      <c r="A2073" s="117">
        <v>36770</v>
      </c>
      <c r="B2073" s="116">
        <f t="shared" si="32"/>
        <v>91</v>
      </c>
    </row>
    <row r="2074" spans="1:2" x14ac:dyDescent="0.2">
      <c r="A2074" s="117">
        <v>36771</v>
      </c>
      <c r="B2074" s="116">
        <f t="shared" si="32"/>
        <v>91</v>
      </c>
    </row>
    <row r="2075" spans="1:2" x14ac:dyDescent="0.2">
      <c r="A2075" s="117">
        <v>36772</v>
      </c>
      <c r="B2075" s="116">
        <f t="shared" si="32"/>
        <v>92</v>
      </c>
    </row>
    <row r="2076" spans="1:2" x14ac:dyDescent="0.2">
      <c r="A2076" s="117">
        <v>36773</v>
      </c>
      <c r="B2076" s="116">
        <f t="shared" si="32"/>
        <v>92</v>
      </c>
    </row>
    <row r="2077" spans="1:2" x14ac:dyDescent="0.2">
      <c r="A2077" s="117">
        <v>36774</v>
      </c>
      <c r="B2077" s="116">
        <f t="shared" si="32"/>
        <v>92</v>
      </c>
    </row>
    <row r="2078" spans="1:2" x14ac:dyDescent="0.2">
      <c r="A2078" s="117">
        <v>36775</v>
      </c>
      <c r="B2078" s="116">
        <f t="shared" si="32"/>
        <v>92</v>
      </c>
    </row>
    <row r="2079" spans="1:2" x14ac:dyDescent="0.2">
      <c r="A2079" s="117">
        <v>36776</v>
      </c>
      <c r="B2079" s="116">
        <f t="shared" si="32"/>
        <v>92</v>
      </c>
    </row>
    <row r="2080" spans="1:2" x14ac:dyDescent="0.2">
      <c r="A2080" s="117">
        <v>36777</v>
      </c>
      <c r="B2080" s="116">
        <f t="shared" si="32"/>
        <v>92</v>
      </c>
    </row>
    <row r="2081" spans="1:2" x14ac:dyDescent="0.2">
      <c r="A2081" s="117">
        <v>36778</v>
      </c>
      <c r="B2081" s="116">
        <f t="shared" si="32"/>
        <v>92</v>
      </c>
    </row>
    <row r="2082" spans="1:2" x14ac:dyDescent="0.2">
      <c r="A2082" s="117">
        <v>36779</v>
      </c>
      <c r="B2082" s="116">
        <f t="shared" si="32"/>
        <v>93</v>
      </c>
    </row>
    <row r="2083" spans="1:2" x14ac:dyDescent="0.2">
      <c r="A2083" s="117">
        <v>36780</v>
      </c>
      <c r="B2083" s="116">
        <f t="shared" si="32"/>
        <v>93</v>
      </c>
    </row>
    <row r="2084" spans="1:2" x14ac:dyDescent="0.2">
      <c r="A2084" s="117">
        <v>36781</v>
      </c>
      <c r="B2084" s="116">
        <f t="shared" si="32"/>
        <v>93</v>
      </c>
    </row>
    <row r="2085" spans="1:2" x14ac:dyDescent="0.2">
      <c r="A2085" s="117">
        <v>36782</v>
      </c>
      <c r="B2085" s="116">
        <f t="shared" si="32"/>
        <v>93</v>
      </c>
    </row>
    <row r="2086" spans="1:2" x14ac:dyDescent="0.2">
      <c r="A2086" s="117">
        <v>36783</v>
      </c>
      <c r="B2086" s="116">
        <f t="shared" si="32"/>
        <v>93</v>
      </c>
    </row>
    <row r="2087" spans="1:2" x14ac:dyDescent="0.2">
      <c r="A2087" s="117">
        <v>36784</v>
      </c>
      <c r="B2087" s="116">
        <f t="shared" si="32"/>
        <v>93</v>
      </c>
    </row>
    <row r="2088" spans="1:2" x14ac:dyDescent="0.2">
      <c r="A2088" s="117">
        <v>36785</v>
      </c>
      <c r="B2088" s="116">
        <f t="shared" si="32"/>
        <v>93</v>
      </c>
    </row>
    <row r="2089" spans="1:2" x14ac:dyDescent="0.2">
      <c r="A2089" s="117">
        <v>36786</v>
      </c>
      <c r="B2089" s="116">
        <f t="shared" si="32"/>
        <v>94</v>
      </c>
    </row>
    <row r="2090" spans="1:2" x14ac:dyDescent="0.2">
      <c r="A2090" s="117">
        <v>36787</v>
      </c>
      <c r="B2090" s="116">
        <f t="shared" si="32"/>
        <v>94</v>
      </c>
    </row>
    <row r="2091" spans="1:2" x14ac:dyDescent="0.2">
      <c r="A2091" s="117">
        <v>36788</v>
      </c>
      <c r="B2091" s="116">
        <f t="shared" si="32"/>
        <v>94</v>
      </c>
    </row>
    <row r="2092" spans="1:2" x14ac:dyDescent="0.2">
      <c r="A2092" s="117">
        <v>36789</v>
      </c>
      <c r="B2092" s="116">
        <f t="shared" si="32"/>
        <v>94</v>
      </c>
    </row>
    <row r="2093" spans="1:2" x14ac:dyDescent="0.2">
      <c r="A2093" s="117">
        <v>36790</v>
      </c>
      <c r="B2093" s="116">
        <f t="shared" si="32"/>
        <v>94</v>
      </c>
    </row>
    <row r="2094" spans="1:2" x14ac:dyDescent="0.2">
      <c r="A2094" s="117">
        <v>36791</v>
      </c>
      <c r="B2094" s="116">
        <f t="shared" si="32"/>
        <v>94</v>
      </c>
    </row>
    <row r="2095" spans="1:2" x14ac:dyDescent="0.2">
      <c r="A2095" s="117">
        <v>36792</v>
      </c>
      <c r="B2095" s="116">
        <f t="shared" si="32"/>
        <v>94</v>
      </c>
    </row>
    <row r="2096" spans="1:2" x14ac:dyDescent="0.2">
      <c r="A2096" s="117">
        <v>36793</v>
      </c>
      <c r="B2096" s="116">
        <f t="shared" si="32"/>
        <v>101</v>
      </c>
    </row>
    <row r="2097" spans="1:2" x14ac:dyDescent="0.2">
      <c r="A2097" s="117">
        <v>36794</v>
      </c>
      <c r="B2097" s="116">
        <f t="shared" si="32"/>
        <v>101</v>
      </c>
    </row>
    <row r="2098" spans="1:2" x14ac:dyDescent="0.2">
      <c r="A2098" s="117">
        <v>36795</v>
      </c>
      <c r="B2098" s="116">
        <f t="shared" si="32"/>
        <v>101</v>
      </c>
    </row>
    <row r="2099" spans="1:2" x14ac:dyDescent="0.2">
      <c r="A2099" s="117">
        <v>36796</v>
      </c>
      <c r="B2099" s="116">
        <f t="shared" si="32"/>
        <v>101</v>
      </c>
    </row>
    <row r="2100" spans="1:2" x14ac:dyDescent="0.2">
      <c r="A2100" s="117">
        <v>36797</v>
      </c>
      <c r="B2100" s="116">
        <f t="shared" si="32"/>
        <v>101</v>
      </c>
    </row>
    <row r="2101" spans="1:2" x14ac:dyDescent="0.2">
      <c r="A2101" s="117">
        <v>36798</v>
      </c>
      <c r="B2101" s="116">
        <f t="shared" si="32"/>
        <v>101</v>
      </c>
    </row>
    <row r="2102" spans="1:2" x14ac:dyDescent="0.2">
      <c r="A2102" s="117">
        <v>36799</v>
      </c>
      <c r="B2102" s="116">
        <f t="shared" si="32"/>
        <v>101</v>
      </c>
    </row>
    <row r="2103" spans="1:2" x14ac:dyDescent="0.2">
      <c r="A2103" s="117">
        <v>36800</v>
      </c>
      <c r="B2103" s="116">
        <f t="shared" si="32"/>
        <v>102</v>
      </c>
    </row>
    <row r="2104" spans="1:2" x14ac:dyDescent="0.2">
      <c r="A2104" s="117">
        <v>36801</v>
      </c>
      <c r="B2104" s="116">
        <f t="shared" si="32"/>
        <v>102</v>
      </c>
    </row>
    <row r="2105" spans="1:2" x14ac:dyDescent="0.2">
      <c r="A2105" s="117">
        <v>36802</v>
      </c>
      <c r="B2105" s="116">
        <f t="shared" si="32"/>
        <v>102</v>
      </c>
    </row>
    <row r="2106" spans="1:2" x14ac:dyDescent="0.2">
      <c r="A2106" s="117">
        <v>36803</v>
      </c>
      <c r="B2106" s="116">
        <f t="shared" si="32"/>
        <v>102</v>
      </c>
    </row>
    <row r="2107" spans="1:2" x14ac:dyDescent="0.2">
      <c r="A2107" s="117">
        <v>36804</v>
      </c>
      <c r="B2107" s="116">
        <f t="shared" si="32"/>
        <v>102</v>
      </c>
    </row>
    <row r="2108" spans="1:2" x14ac:dyDescent="0.2">
      <c r="A2108" s="117">
        <v>36805</v>
      </c>
      <c r="B2108" s="116">
        <f t="shared" si="32"/>
        <v>102</v>
      </c>
    </row>
    <row r="2109" spans="1:2" x14ac:dyDescent="0.2">
      <c r="A2109" s="117">
        <v>36806</v>
      </c>
      <c r="B2109" s="116">
        <f t="shared" si="32"/>
        <v>102</v>
      </c>
    </row>
    <row r="2110" spans="1:2" x14ac:dyDescent="0.2">
      <c r="A2110" s="117">
        <v>36807</v>
      </c>
      <c r="B2110" s="116">
        <f t="shared" si="32"/>
        <v>103</v>
      </c>
    </row>
    <row r="2111" spans="1:2" x14ac:dyDescent="0.2">
      <c r="A2111" s="117">
        <v>36808</v>
      </c>
      <c r="B2111" s="116">
        <f t="shared" si="32"/>
        <v>103</v>
      </c>
    </row>
    <row r="2112" spans="1:2" x14ac:dyDescent="0.2">
      <c r="A2112" s="117">
        <v>36809</v>
      </c>
      <c r="B2112" s="116">
        <f t="shared" si="32"/>
        <v>103</v>
      </c>
    </row>
    <row r="2113" spans="1:2" x14ac:dyDescent="0.2">
      <c r="A2113" s="117">
        <v>36810</v>
      </c>
      <c r="B2113" s="116">
        <f t="shared" si="32"/>
        <v>103</v>
      </c>
    </row>
    <row r="2114" spans="1:2" x14ac:dyDescent="0.2">
      <c r="A2114" s="117">
        <v>36811</v>
      </c>
      <c r="B2114" s="116">
        <f t="shared" si="32"/>
        <v>103</v>
      </c>
    </row>
    <row r="2115" spans="1:2" x14ac:dyDescent="0.2">
      <c r="A2115" s="117">
        <v>36812</v>
      </c>
      <c r="B2115" s="116">
        <f t="shared" si="32"/>
        <v>103</v>
      </c>
    </row>
    <row r="2116" spans="1:2" x14ac:dyDescent="0.2">
      <c r="A2116" s="117">
        <v>36813</v>
      </c>
      <c r="B2116" s="116">
        <f t="shared" ref="B2116:B2179" si="33">VLOOKUP(WEEKNUM(A2116),$D$4:$E$59,2)</f>
        <v>103</v>
      </c>
    </row>
    <row r="2117" spans="1:2" x14ac:dyDescent="0.2">
      <c r="A2117" s="117">
        <v>36814</v>
      </c>
      <c r="B2117" s="116">
        <f t="shared" si="33"/>
        <v>104</v>
      </c>
    </row>
    <row r="2118" spans="1:2" x14ac:dyDescent="0.2">
      <c r="A2118" s="117">
        <v>36815</v>
      </c>
      <c r="B2118" s="116">
        <f t="shared" si="33"/>
        <v>104</v>
      </c>
    </row>
    <row r="2119" spans="1:2" x14ac:dyDescent="0.2">
      <c r="A2119" s="117">
        <v>36816</v>
      </c>
      <c r="B2119" s="116">
        <f t="shared" si="33"/>
        <v>104</v>
      </c>
    </row>
    <row r="2120" spans="1:2" x14ac:dyDescent="0.2">
      <c r="A2120" s="117">
        <v>36817</v>
      </c>
      <c r="B2120" s="116">
        <f t="shared" si="33"/>
        <v>104</v>
      </c>
    </row>
    <row r="2121" spans="1:2" x14ac:dyDescent="0.2">
      <c r="A2121" s="117">
        <v>36818</v>
      </c>
      <c r="B2121" s="116">
        <f t="shared" si="33"/>
        <v>104</v>
      </c>
    </row>
    <row r="2122" spans="1:2" x14ac:dyDescent="0.2">
      <c r="A2122" s="117">
        <v>36819</v>
      </c>
      <c r="B2122" s="116">
        <f t="shared" si="33"/>
        <v>104</v>
      </c>
    </row>
    <row r="2123" spans="1:2" x14ac:dyDescent="0.2">
      <c r="A2123" s="117">
        <v>36820</v>
      </c>
      <c r="B2123" s="116">
        <f t="shared" si="33"/>
        <v>104</v>
      </c>
    </row>
    <row r="2124" spans="1:2" x14ac:dyDescent="0.2">
      <c r="A2124" s="117">
        <v>36821</v>
      </c>
      <c r="B2124" s="116">
        <f t="shared" si="33"/>
        <v>105</v>
      </c>
    </row>
    <row r="2125" spans="1:2" x14ac:dyDescent="0.2">
      <c r="A2125" s="117">
        <v>36822</v>
      </c>
      <c r="B2125" s="116">
        <f t="shared" si="33"/>
        <v>105</v>
      </c>
    </row>
    <row r="2126" spans="1:2" x14ac:dyDescent="0.2">
      <c r="A2126" s="117">
        <v>36823</v>
      </c>
      <c r="B2126" s="116">
        <f t="shared" si="33"/>
        <v>105</v>
      </c>
    </row>
    <row r="2127" spans="1:2" x14ac:dyDescent="0.2">
      <c r="A2127" s="117">
        <v>36824</v>
      </c>
      <c r="B2127" s="116">
        <f t="shared" si="33"/>
        <v>105</v>
      </c>
    </row>
    <row r="2128" spans="1:2" x14ac:dyDescent="0.2">
      <c r="A2128" s="117">
        <v>36825</v>
      </c>
      <c r="B2128" s="116">
        <f t="shared" si="33"/>
        <v>105</v>
      </c>
    </row>
    <row r="2129" spans="1:2" x14ac:dyDescent="0.2">
      <c r="A2129" s="117">
        <v>36826</v>
      </c>
      <c r="B2129" s="116">
        <f t="shared" si="33"/>
        <v>105</v>
      </c>
    </row>
    <row r="2130" spans="1:2" x14ac:dyDescent="0.2">
      <c r="A2130" s="117">
        <v>36827</v>
      </c>
      <c r="B2130" s="116">
        <f t="shared" si="33"/>
        <v>105</v>
      </c>
    </row>
    <row r="2131" spans="1:2" x14ac:dyDescent="0.2">
      <c r="A2131" s="117">
        <v>36828</v>
      </c>
      <c r="B2131" s="116">
        <f t="shared" si="33"/>
        <v>111</v>
      </c>
    </row>
    <row r="2132" spans="1:2" x14ac:dyDescent="0.2">
      <c r="A2132" s="117">
        <v>36829</v>
      </c>
      <c r="B2132" s="116">
        <f t="shared" si="33"/>
        <v>111</v>
      </c>
    </row>
    <row r="2133" spans="1:2" x14ac:dyDescent="0.2">
      <c r="A2133" s="117">
        <v>36830</v>
      </c>
      <c r="B2133" s="116">
        <f t="shared" si="33"/>
        <v>111</v>
      </c>
    </row>
    <row r="2134" spans="1:2" x14ac:dyDescent="0.2">
      <c r="A2134" s="117">
        <v>36831</v>
      </c>
      <c r="B2134" s="116">
        <f t="shared" si="33"/>
        <v>111</v>
      </c>
    </row>
    <row r="2135" spans="1:2" x14ac:dyDescent="0.2">
      <c r="A2135" s="117">
        <v>36832</v>
      </c>
      <c r="B2135" s="116">
        <f t="shared" si="33"/>
        <v>111</v>
      </c>
    </row>
    <row r="2136" spans="1:2" x14ac:dyDescent="0.2">
      <c r="A2136" s="117">
        <v>36833</v>
      </c>
      <c r="B2136" s="116">
        <f t="shared" si="33"/>
        <v>111</v>
      </c>
    </row>
    <row r="2137" spans="1:2" x14ac:dyDescent="0.2">
      <c r="A2137" s="117">
        <v>36834</v>
      </c>
      <c r="B2137" s="116">
        <f t="shared" si="33"/>
        <v>111</v>
      </c>
    </row>
    <row r="2138" spans="1:2" x14ac:dyDescent="0.2">
      <c r="A2138" s="117">
        <v>36835</v>
      </c>
      <c r="B2138" s="116">
        <f t="shared" si="33"/>
        <v>112</v>
      </c>
    </row>
    <row r="2139" spans="1:2" x14ac:dyDescent="0.2">
      <c r="A2139" s="117">
        <v>36836</v>
      </c>
      <c r="B2139" s="116">
        <f t="shared" si="33"/>
        <v>112</v>
      </c>
    </row>
    <row r="2140" spans="1:2" x14ac:dyDescent="0.2">
      <c r="A2140" s="117">
        <v>36837</v>
      </c>
      <c r="B2140" s="116">
        <f t="shared" si="33"/>
        <v>112</v>
      </c>
    </row>
    <row r="2141" spans="1:2" x14ac:dyDescent="0.2">
      <c r="A2141" s="117">
        <v>36838</v>
      </c>
      <c r="B2141" s="116">
        <f t="shared" si="33"/>
        <v>112</v>
      </c>
    </row>
    <row r="2142" spans="1:2" x14ac:dyDescent="0.2">
      <c r="A2142" s="117">
        <v>36839</v>
      </c>
      <c r="B2142" s="116">
        <f t="shared" si="33"/>
        <v>112</v>
      </c>
    </row>
    <row r="2143" spans="1:2" x14ac:dyDescent="0.2">
      <c r="A2143" s="117">
        <v>36840</v>
      </c>
      <c r="B2143" s="116">
        <f t="shared" si="33"/>
        <v>112</v>
      </c>
    </row>
    <row r="2144" spans="1:2" x14ac:dyDescent="0.2">
      <c r="A2144" s="117">
        <v>36841</v>
      </c>
      <c r="B2144" s="116">
        <f t="shared" si="33"/>
        <v>112</v>
      </c>
    </row>
    <row r="2145" spans="1:2" x14ac:dyDescent="0.2">
      <c r="A2145" s="117">
        <v>36842</v>
      </c>
      <c r="B2145" s="116">
        <f t="shared" si="33"/>
        <v>113</v>
      </c>
    </row>
    <row r="2146" spans="1:2" x14ac:dyDescent="0.2">
      <c r="A2146" s="117">
        <v>36843</v>
      </c>
      <c r="B2146" s="116">
        <f t="shared" si="33"/>
        <v>113</v>
      </c>
    </row>
    <row r="2147" spans="1:2" x14ac:dyDescent="0.2">
      <c r="A2147" s="117">
        <v>36844</v>
      </c>
      <c r="B2147" s="116">
        <f t="shared" si="33"/>
        <v>113</v>
      </c>
    </row>
    <row r="2148" spans="1:2" x14ac:dyDescent="0.2">
      <c r="A2148" s="117">
        <v>36845</v>
      </c>
      <c r="B2148" s="116">
        <f t="shared" si="33"/>
        <v>113</v>
      </c>
    </row>
    <row r="2149" spans="1:2" x14ac:dyDescent="0.2">
      <c r="A2149" s="117">
        <v>36846</v>
      </c>
      <c r="B2149" s="116">
        <f t="shared" si="33"/>
        <v>113</v>
      </c>
    </row>
    <row r="2150" spans="1:2" x14ac:dyDescent="0.2">
      <c r="A2150" s="117">
        <v>36847</v>
      </c>
      <c r="B2150" s="116">
        <f t="shared" si="33"/>
        <v>113</v>
      </c>
    </row>
    <row r="2151" spans="1:2" x14ac:dyDescent="0.2">
      <c r="A2151" s="117">
        <v>36848</v>
      </c>
      <c r="B2151" s="116">
        <f t="shared" si="33"/>
        <v>113</v>
      </c>
    </row>
    <row r="2152" spans="1:2" x14ac:dyDescent="0.2">
      <c r="A2152" s="117">
        <v>36849</v>
      </c>
      <c r="B2152" s="116">
        <f t="shared" si="33"/>
        <v>114</v>
      </c>
    </row>
    <row r="2153" spans="1:2" x14ac:dyDescent="0.2">
      <c r="A2153" s="117">
        <v>36850</v>
      </c>
      <c r="B2153" s="116">
        <f t="shared" si="33"/>
        <v>114</v>
      </c>
    </row>
    <row r="2154" spans="1:2" x14ac:dyDescent="0.2">
      <c r="A2154" s="117">
        <v>36851</v>
      </c>
      <c r="B2154" s="116">
        <f t="shared" si="33"/>
        <v>114</v>
      </c>
    </row>
    <row r="2155" spans="1:2" x14ac:dyDescent="0.2">
      <c r="A2155" s="117">
        <v>36852</v>
      </c>
      <c r="B2155" s="116">
        <f t="shared" si="33"/>
        <v>114</v>
      </c>
    </row>
    <row r="2156" spans="1:2" x14ac:dyDescent="0.2">
      <c r="A2156" s="117">
        <v>36853</v>
      </c>
      <c r="B2156" s="116">
        <f t="shared" si="33"/>
        <v>114</v>
      </c>
    </row>
    <row r="2157" spans="1:2" x14ac:dyDescent="0.2">
      <c r="A2157" s="117">
        <v>36854</v>
      </c>
      <c r="B2157" s="116">
        <f t="shared" si="33"/>
        <v>114</v>
      </c>
    </row>
    <row r="2158" spans="1:2" x14ac:dyDescent="0.2">
      <c r="A2158" s="117">
        <v>36855</v>
      </c>
      <c r="B2158" s="116">
        <f t="shared" si="33"/>
        <v>114</v>
      </c>
    </row>
    <row r="2159" spans="1:2" x14ac:dyDescent="0.2">
      <c r="A2159" s="117">
        <v>36856</v>
      </c>
      <c r="B2159" s="116">
        <f t="shared" si="33"/>
        <v>115</v>
      </c>
    </row>
    <row r="2160" spans="1:2" x14ac:dyDescent="0.2">
      <c r="A2160" s="117">
        <v>36857</v>
      </c>
      <c r="B2160" s="116">
        <f t="shared" si="33"/>
        <v>115</v>
      </c>
    </row>
    <row r="2161" spans="1:2" x14ac:dyDescent="0.2">
      <c r="A2161" s="117">
        <v>36858</v>
      </c>
      <c r="B2161" s="116">
        <f t="shared" si="33"/>
        <v>115</v>
      </c>
    </row>
    <row r="2162" spans="1:2" x14ac:dyDescent="0.2">
      <c r="A2162" s="117">
        <v>36859</v>
      </c>
      <c r="B2162" s="116">
        <f t="shared" si="33"/>
        <v>115</v>
      </c>
    </row>
    <row r="2163" spans="1:2" x14ac:dyDescent="0.2">
      <c r="A2163" s="117">
        <v>36860</v>
      </c>
      <c r="B2163" s="116">
        <f t="shared" si="33"/>
        <v>115</v>
      </c>
    </row>
    <row r="2164" spans="1:2" x14ac:dyDescent="0.2">
      <c r="A2164" s="117">
        <v>36861</v>
      </c>
      <c r="B2164" s="116">
        <f t="shared" si="33"/>
        <v>115</v>
      </c>
    </row>
    <row r="2165" spans="1:2" x14ac:dyDescent="0.2">
      <c r="A2165" s="117">
        <v>36862</v>
      </c>
      <c r="B2165" s="116">
        <f t="shared" si="33"/>
        <v>115</v>
      </c>
    </row>
    <row r="2166" spans="1:2" x14ac:dyDescent="0.2">
      <c r="A2166" s="117">
        <v>36863</v>
      </c>
      <c r="B2166" s="116">
        <f t="shared" si="33"/>
        <v>121</v>
      </c>
    </row>
    <row r="2167" spans="1:2" x14ac:dyDescent="0.2">
      <c r="A2167" s="117">
        <v>36864</v>
      </c>
      <c r="B2167" s="116">
        <f t="shared" si="33"/>
        <v>121</v>
      </c>
    </row>
    <row r="2168" spans="1:2" x14ac:dyDescent="0.2">
      <c r="A2168" s="117">
        <v>36865</v>
      </c>
      <c r="B2168" s="116">
        <f t="shared" si="33"/>
        <v>121</v>
      </c>
    </row>
    <row r="2169" spans="1:2" x14ac:dyDescent="0.2">
      <c r="A2169" s="117">
        <v>36866</v>
      </c>
      <c r="B2169" s="116">
        <f t="shared" si="33"/>
        <v>121</v>
      </c>
    </row>
    <row r="2170" spans="1:2" x14ac:dyDescent="0.2">
      <c r="A2170" s="117">
        <v>36867</v>
      </c>
      <c r="B2170" s="116">
        <f t="shared" si="33"/>
        <v>121</v>
      </c>
    </row>
    <row r="2171" spans="1:2" x14ac:dyDescent="0.2">
      <c r="A2171" s="117">
        <v>36868</v>
      </c>
      <c r="B2171" s="116">
        <f t="shared" si="33"/>
        <v>121</v>
      </c>
    </row>
    <row r="2172" spans="1:2" x14ac:dyDescent="0.2">
      <c r="A2172" s="117">
        <v>36869</v>
      </c>
      <c r="B2172" s="116">
        <f t="shared" si="33"/>
        <v>121</v>
      </c>
    </row>
    <row r="2173" spans="1:2" x14ac:dyDescent="0.2">
      <c r="A2173" s="117">
        <v>36870</v>
      </c>
      <c r="B2173" s="116">
        <f t="shared" si="33"/>
        <v>122</v>
      </c>
    </row>
    <row r="2174" spans="1:2" x14ac:dyDescent="0.2">
      <c r="A2174" s="117">
        <v>36871</v>
      </c>
      <c r="B2174" s="116">
        <f t="shared" si="33"/>
        <v>122</v>
      </c>
    </row>
    <row r="2175" spans="1:2" x14ac:dyDescent="0.2">
      <c r="A2175" s="117">
        <v>36872</v>
      </c>
      <c r="B2175" s="116">
        <f t="shared" si="33"/>
        <v>122</v>
      </c>
    </row>
    <row r="2176" spans="1:2" x14ac:dyDescent="0.2">
      <c r="A2176" s="117">
        <v>36873</v>
      </c>
      <c r="B2176" s="116">
        <f t="shared" si="33"/>
        <v>122</v>
      </c>
    </row>
    <row r="2177" spans="1:2" x14ac:dyDescent="0.2">
      <c r="A2177" s="117">
        <v>36874</v>
      </c>
      <c r="B2177" s="116">
        <f t="shared" si="33"/>
        <v>122</v>
      </c>
    </row>
    <row r="2178" spans="1:2" x14ac:dyDescent="0.2">
      <c r="A2178" s="117">
        <v>36875</v>
      </c>
      <c r="B2178" s="116">
        <f t="shared" si="33"/>
        <v>122</v>
      </c>
    </row>
    <row r="2179" spans="1:2" x14ac:dyDescent="0.2">
      <c r="A2179" s="117">
        <v>36876</v>
      </c>
      <c r="B2179" s="116">
        <f t="shared" si="33"/>
        <v>122</v>
      </c>
    </row>
    <row r="2180" spans="1:2" x14ac:dyDescent="0.2">
      <c r="A2180" s="117">
        <v>36877</v>
      </c>
      <c r="B2180" s="116">
        <f t="shared" ref="B2180:B2243" si="34">VLOOKUP(WEEKNUM(A2180),$D$4:$E$59,2)</f>
        <v>123</v>
      </c>
    </row>
    <row r="2181" spans="1:2" x14ac:dyDescent="0.2">
      <c r="A2181" s="117">
        <v>36878</v>
      </c>
      <c r="B2181" s="116">
        <f t="shared" si="34"/>
        <v>123</v>
      </c>
    </row>
    <row r="2182" spans="1:2" x14ac:dyDescent="0.2">
      <c r="A2182" s="117">
        <v>36879</v>
      </c>
      <c r="B2182" s="116">
        <f t="shared" si="34"/>
        <v>123</v>
      </c>
    </row>
    <row r="2183" spans="1:2" x14ac:dyDescent="0.2">
      <c r="A2183" s="117">
        <v>36880</v>
      </c>
      <c r="B2183" s="116">
        <f t="shared" si="34"/>
        <v>123</v>
      </c>
    </row>
    <row r="2184" spans="1:2" x14ac:dyDescent="0.2">
      <c r="A2184" s="117">
        <v>36881</v>
      </c>
      <c r="B2184" s="116">
        <f t="shared" si="34"/>
        <v>123</v>
      </c>
    </row>
    <row r="2185" spans="1:2" x14ac:dyDescent="0.2">
      <c r="A2185" s="117">
        <v>36882</v>
      </c>
      <c r="B2185" s="116">
        <f t="shared" si="34"/>
        <v>123</v>
      </c>
    </row>
    <row r="2186" spans="1:2" x14ac:dyDescent="0.2">
      <c r="A2186" s="117">
        <v>36883</v>
      </c>
      <c r="B2186" s="116">
        <f t="shared" si="34"/>
        <v>123</v>
      </c>
    </row>
    <row r="2187" spans="1:2" x14ac:dyDescent="0.2">
      <c r="A2187" s="117">
        <v>36884</v>
      </c>
      <c r="B2187" s="116">
        <f t="shared" si="34"/>
        <v>124</v>
      </c>
    </row>
    <row r="2188" spans="1:2" x14ac:dyDescent="0.2">
      <c r="A2188" s="117">
        <v>36885</v>
      </c>
      <c r="B2188" s="116">
        <f t="shared" si="34"/>
        <v>124</v>
      </c>
    </row>
    <row r="2189" spans="1:2" x14ac:dyDescent="0.2">
      <c r="A2189" s="117">
        <v>36886</v>
      </c>
      <c r="B2189" s="116">
        <f t="shared" si="34"/>
        <v>124</v>
      </c>
    </row>
    <row r="2190" spans="1:2" x14ac:dyDescent="0.2">
      <c r="A2190" s="117">
        <v>36887</v>
      </c>
      <c r="B2190" s="116">
        <f t="shared" si="34"/>
        <v>124</v>
      </c>
    </row>
    <row r="2191" spans="1:2" x14ac:dyDescent="0.2">
      <c r="A2191" s="117">
        <v>36888</v>
      </c>
      <c r="B2191" s="116">
        <f t="shared" si="34"/>
        <v>124</v>
      </c>
    </row>
    <row r="2192" spans="1:2" x14ac:dyDescent="0.2">
      <c r="A2192" s="117">
        <v>36889</v>
      </c>
      <c r="B2192" s="116">
        <f t="shared" si="34"/>
        <v>124</v>
      </c>
    </row>
    <row r="2193" spans="1:2" x14ac:dyDescent="0.2">
      <c r="A2193" s="117">
        <v>36890</v>
      </c>
      <c r="B2193" s="116">
        <f t="shared" si="34"/>
        <v>124</v>
      </c>
    </row>
    <row r="2194" spans="1:2" x14ac:dyDescent="0.2">
      <c r="A2194" s="117">
        <v>36891</v>
      </c>
      <c r="B2194" s="116">
        <f t="shared" si="34"/>
        <v>125</v>
      </c>
    </row>
    <row r="2195" spans="1:2" x14ac:dyDescent="0.2">
      <c r="A2195" s="117">
        <v>36892</v>
      </c>
      <c r="B2195" s="116">
        <f t="shared" si="34"/>
        <v>11</v>
      </c>
    </row>
    <row r="2196" spans="1:2" x14ac:dyDescent="0.2">
      <c r="A2196" s="117">
        <v>36893</v>
      </c>
      <c r="B2196" s="116">
        <f t="shared" si="34"/>
        <v>11</v>
      </c>
    </row>
    <row r="2197" spans="1:2" x14ac:dyDescent="0.2">
      <c r="A2197" s="117">
        <v>36894</v>
      </c>
      <c r="B2197" s="116">
        <f t="shared" si="34"/>
        <v>11</v>
      </c>
    </row>
    <row r="2198" spans="1:2" x14ac:dyDescent="0.2">
      <c r="A2198" s="117">
        <v>36895</v>
      </c>
      <c r="B2198" s="116">
        <f t="shared" si="34"/>
        <v>11</v>
      </c>
    </row>
    <row r="2199" spans="1:2" x14ac:dyDescent="0.2">
      <c r="A2199" s="117">
        <v>36896</v>
      </c>
      <c r="B2199" s="116">
        <f t="shared" si="34"/>
        <v>11</v>
      </c>
    </row>
    <row r="2200" spans="1:2" x14ac:dyDescent="0.2">
      <c r="A2200" s="117">
        <v>36897</v>
      </c>
      <c r="B2200" s="116">
        <f t="shared" si="34"/>
        <v>11</v>
      </c>
    </row>
    <row r="2201" spans="1:2" x14ac:dyDescent="0.2">
      <c r="A2201" s="117">
        <v>36898</v>
      </c>
      <c r="B2201" s="116">
        <f t="shared" si="34"/>
        <v>12</v>
      </c>
    </row>
    <row r="2202" spans="1:2" x14ac:dyDescent="0.2">
      <c r="A2202" s="117">
        <v>36899</v>
      </c>
      <c r="B2202" s="116">
        <f t="shared" si="34"/>
        <v>12</v>
      </c>
    </row>
    <row r="2203" spans="1:2" x14ac:dyDescent="0.2">
      <c r="A2203" s="117">
        <v>36900</v>
      </c>
      <c r="B2203" s="116">
        <f t="shared" si="34"/>
        <v>12</v>
      </c>
    </row>
    <row r="2204" spans="1:2" x14ac:dyDescent="0.2">
      <c r="A2204" s="117">
        <v>36901</v>
      </c>
      <c r="B2204" s="116">
        <f t="shared" si="34"/>
        <v>12</v>
      </c>
    </row>
    <row r="2205" spans="1:2" x14ac:dyDescent="0.2">
      <c r="A2205" s="117">
        <v>36902</v>
      </c>
      <c r="B2205" s="116">
        <f t="shared" si="34"/>
        <v>12</v>
      </c>
    </row>
    <row r="2206" spans="1:2" x14ac:dyDescent="0.2">
      <c r="A2206" s="117">
        <v>36903</v>
      </c>
      <c r="B2206" s="116">
        <f t="shared" si="34"/>
        <v>12</v>
      </c>
    </row>
    <row r="2207" spans="1:2" x14ac:dyDescent="0.2">
      <c r="A2207" s="117">
        <v>36904</v>
      </c>
      <c r="B2207" s="116">
        <f t="shared" si="34"/>
        <v>12</v>
      </c>
    </row>
    <row r="2208" spans="1:2" x14ac:dyDescent="0.2">
      <c r="A2208" s="117">
        <v>36905</v>
      </c>
      <c r="B2208" s="116">
        <f t="shared" si="34"/>
        <v>13</v>
      </c>
    </row>
    <row r="2209" spans="1:2" x14ac:dyDescent="0.2">
      <c r="A2209" s="117">
        <v>36906</v>
      </c>
      <c r="B2209" s="116">
        <f t="shared" si="34"/>
        <v>13</v>
      </c>
    </row>
    <row r="2210" spans="1:2" x14ac:dyDescent="0.2">
      <c r="A2210" s="117">
        <v>36907</v>
      </c>
      <c r="B2210" s="116">
        <f t="shared" si="34"/>
        <v>13</v>
      </c>
    </row>
    <row r="2211" spans="1:2" x14ac:dyDescent="0.2">
      <c r="A2211" s="117">
        <v>36908</v>
      </c>
      <c r="B2211" s="116">
        <f t="shared" si="34"/>
        <v>13</v>
      </c>
    </row>
    <row r="2212" spans="1:2" x14ac:dyDescent="0.2">
      <c r="A2212" s="117">
        <v>36909</v>
      </c>
      <c r="B2212" s="116">
        <f t="shared" si="34"/>
        <v>13</v>
      </c>
    </row>
    <row r="2213" spans="1:2" x14ac:dyDescent="0.2">
      <c r="A2213" s="117">
        <v>36910</v>
      </c>
      <c r="B2213" s="116">
        <f t="shared" si="34"/>
        <v>13</v>
      </c>
    </row>
    <row r="2214" spans="1:2" x14ac:dyDescent="0.2">
      <c r="A2214" s="117">
        <v>36911</v>
      </c>
      <c r="B2214" s="116">
        <f t="shared" si="34"/>
        <v>13</v>
      </c>
    </row>
    <row r="2215" spans="1:2" x14ac:dyDescent="0.2">
      <c r="A2215" s="117">
        <v>36912</v>
      </c>
      <c r="B2215" s="116">
        <f t="shared" si="34"/>
        <v>14</v>
      </c>
    </row>
    <row r="2216" spans="1:2" x14ac:dyDescent="0.2">
      <c r="A2216" s="117">
        <v>36913</v>
      </c>
      <c r="B2216" s="116">
        <f t="shared" si="34"/>
        <v>14</v>
      </c>
    </row>
    <row r="2217" spans="1:2" x14ac:dyDescent="0.2">
      <c r="A2217" s="117">
        <v>36914</v>
      </c>
      <c r="B2217" s="116">
        <f t="shared" si="34"/>
        <v>14</v>
      </c>
    </row>
    <row r="2218" spans="1:2" x14ac:dyDescent="0.2">
      <c r="A2218" s="117">
        <v>36915</v>
      </c>
      <c r="B2218" s="116">
        <f t="shared" si="34"/>
        <v>14</v>
      </c>
    </row>
    <row r="2219" spans="1:2" x14ac:dyDescent="0.2">
      <c r="A2219" s="117">
        <v>36916</v>
      </c>
      <c r="B2219" s="116">
        <f t="shared" si="34"/>
        <v>14</v>
      </c>
    </row>
    <row r="2220" spans="1:2" x14ac:dyDescent="0.2">
      <c r="A2220" s="117">
        <v>36917</v>
      </c>
      <c r="B2220" s="116">
        <f t="shared" si="34"/>
        <v>14</v>
      </c>
    </row>
    <row r="2221" spans="1:2" x14ac:dyDescent="0.2">
      <c r="A2221" s="117">
        <v>36918</v>
      </c>
      <c r="B2221" s="116">
        <f t="shared" si="34"/>
        <v>14</v>
      </c>
    </row>
    <row r="2222" spans="1:2" x14ac:dyDescent="0.2">
      <c r="A2222" s="117">
        <v>36919</v>
      </c>
      <c r="B2222" s="116">
        <f t="shared" si="34"/>
        <v>15</v>
      </c>
    </row>
    <row r="2223" spans="1:2" x14ac:dyDescent="0.2">
      <c r="A2223" s="117">
        <v>36920</v>
      </c>
      <c r="B2223" s="116">
        <f t="shared" si="34"/>
        <v>15</v>
      </c>
    </row>
    <row r="2224" spans="1:2" x14ac:dyDescent="0.2">
      <c r="A2224" s="117">
        <v>36921</v>
      </c>
      <c r="B2224" s="116">
        <f t="shared" si="34"/>
        <v>15</v>
      </c>
    </row>
    <row r="2225" spans="1:2" x14ac:dyDescent="0.2">
      <c r="A2225" s="117">
        <v>36922</v>
      </c>
      <c r="B2225" s="116">
        <f t="shared" si="34"/>
        <v>15</v>
      </c>
    </row>
    <row r="2226" spans="1:2" x14ac:dyDescent="0.2">
      <c r="A2226" s="117">
        <v>36923</v>
      </c>
      <c r="B2226" s="116">
        <f t="shared" si="34"/>
        <v>15</v>
      </c>
    </row>
    <row r="2227" spans="1:2" x14ac:dyDescent="0.2">
      <c r="A2227" s="117">
        <v>36924</v>
      </c>
      <c r="B2227" s="116">
        <f t="shared" si="34"/>
        <v>15</v>
      </c>
    </row>
    <row r="2228" spans="1:2" x14ac:dyDescent="0.2">
      <c r="A2228" s="117">
        <v>36925</v>
      </c>
      <c r="B2228" s="116">
        <f t="shared" si="34"/>
        <v>15</v>
      </c>
    </row>
    <row r="2229" spans="1:2" x14ac:dyDescent="0.2">
      <c r="A2229" s="117">
        <v>36926</v>
      </c>
      <c r="B2229" s="116">
        <f t="shared" si="34"/>
        <v>21</v>
      </c>
    </row>
    <row r="2230" spans="1:2" x14ac:dyDescent="0.2">
      <c r="A2230" s="117">
        <v>36927</v>
      </c>
      <c r="B2230" s="116">
        <f t="shared" si="34"/>
        <v>21</v>
      </c>
    </row>
    <row r="2231" spans="1:2" x14ac:dyDescent="0.2">
      <c r="A2231" s="117">
        <v>36928</v>
      </c>
      <c r="B2231" s="116">
        <f t="shared" si="34"/>
        <v>21</v>
      </c>
    </row>
    <row r="2232" spans="1:2" x14ac:dyDescent="0.2">
      <c r="A2232" s="117">
        <v>36929</v>
      </c>
      <c r="B2232" s="116">
        <f t="shared" si="34"/>
        <v>21</v>
      </c>
    </row>
    <row r="2233" spans="1:2" x14ac:dyDescent="0.2">
      <c r="A2233" s="117">
        <v>36930</v>
      </c>
      <c r="B2233" s="116">
        <f t="shared" si="34"/>
        <v>21</v>
      </c>
    </row>
    <row r="2234" spans="1:2" x14ac:dyDescent="0.2">
      <c r="A2234" s="117">
        <v>36931</v>
      </c>
      <c r="B2234" s="116">
        <f t="shared" si="34"/>
        <v>21</v>
      </c>
    </row>
    <row r="2235" spans="1:2" x14ac:dyDescent="0.2">
      <c r="A2235" s="117">
        <v>36932</v>
      </c>
      <c r="B2235" s="116">
        <f t="shared" si="34"/>
        <v>21</v>
      </c>
    </row>
    <row r="2236" spans="1:2" x14ac:dyDescent="0.2">
      <c r="A2236" s="117">
        <v>36933</v>
      </c>
      <c r="B2236" s="116">
        <f t="shared" si="34"/>
        <v>22</v>
      </c>
    </row>
    <row r="2237" spans="1:2" x14ac:dyDescent="0.2">
      <c r="A2237" s="117">
        <v>36934</v>
      </c>
      <c r="B2237" s="116">
        <f t="shared" si="34"/>
        <v>22</v>
      </c>
    </row>
    <row r="2238" spans="1:2" x14ac:dyDescent="0.2">
      <c r="A2238" s="117">
        <v>36935</v>
      </c>
      <c r="B2238" s="116">
        <f t="shared" si="34"/>
        <v>22</v>
      </c>
    </row>
    <row r="2239" spans="1:2" x14ac:dyDescent="0.2">
      <c r="A2239" s="117">
        <v>36936</v>
      </c>
      <c r="B2239" s="116">
        <f t="shared" si="34"/>
        <v>22</v>
      </c>
    </row>
    <row r="2240" spans="1:2" x14ac:dyDescent="0.2">
      <c r="A2240" s="117">
        <v>36937</v>
      </c>
      <c r="B2240" s="116">
        <f t="shared" si="34"/>
        <v>22</v>
      </c>
    </row>
    <row r="2241" spans="1:2" x14ac:dyDescent="0.2">
      <c r="A2241" s="117">
        <v>36938</v>
      </c>
      <c r="B2241" s="116">
        <f t="shared" si="34"/>
        <v>22</v>
      </c>
    </row>
    <row r="2242" spans="1:2" x14ac:dyDescent="0.2">
      <c r="A2242" s="117">
        <v>36939</v>
      </c>
      <c r="B2242" s="116">
        <f t="shared" si="34"/>
        <v>22</v>
      </c>
    </row>
    <row r="2243" spans="1:2" x14ac:dyDescent="0.2">
      <c r="A2243" s="117">
        <v>36940</v>
      </c>
      <c r="B2243" s="116">
        <f t="shared" si="34"/>
        <v>23</v>
      </c>
    </row>
    <row r="2244" spans="1:2" x14ac:dyDescent="0.2">
      <c r="A2244" s="117">
        <v>36941</v>
      </c>
      <c r="B2244" s="116">
        <f t="shared" ref="B2244:B2307" si="35">VLOOKUP(WEEKNUM(A2244),$D$4:$E$59,2)</f>
        <v>23</v>
      </c>
    </row>
    <row r="2245" spans="1:2" x14ac:dyDescent="0.2">
      <c r="A2245" s="117">
        <v>36942</v>
      </c>
      <c r="B2245" s="116">
        <f t="shared" si="35"/>
        <v>23</v>
      </c>
    </row>
    <row r="2246" spans="1:2" x14ac:dyDescent="0.2">
      <c r="A2246" s="117">
        <v>36943</v>
      </c>
      <c r="B2246" s="116">
        <f t="shared" si="35"/>
        <v>23</v>
      </c>
    </row>
    <row r="2247" spans="1:2" x14ac:dyDescent="0.2">
      <c r="A2247" s="117">
        <v>36944</v>
      </c>
      <c r="B2247" s="116">
        <f t="shared" si="35"/>
        <v>23</v>
      </c>
    </row>
    <row r="2248" spans="1:2" x14ac:dyDescent="0.2">
      <c r="A2248" s="117">
        <v>36945</v>
      </c>
      <c r="B2248" s="116">
        <f t="shared" si="35"/>
        <v>23</v>
      </c>
    </row>
    <row r="2249" spans="1:2" x14ac:dyDescent="0.2">
      <c r="A2249" s="117">
        <v>36946</v>
      </c>
      <c r="B2249" s="116">
        <f t="shared" si="35"/>
        <v>23</v>
      </c>
    </row>
    <row r="2250" spans="1:2" x14ac:dyDescent="0.2">
      <c r="A2250" s="117">
        <v>36947</v>
      </c>
      <c r="B2250" s="116">
        <f t="shared" si="35"/>
        <v>24</v>
      </c>
    </row>
    <row r="2251" spans="1:2" x14ac:dyDescent="0.2">
      <c r="A2251" s="117">
        <v>36948</v>
      </c>
      <c r="B2251" s="116">
        <f t="shared" si="35"/>
        <v>24</v>
      </c>
    </row>
    <row r="2252" spans="1:2" x14ac:dyDescent="0.2">
      <c r="A2252" s="117">
        <v>36949</v>
      </c>
      <c r="B2252" s="116">
        <f t="shared" si="35"/>
        <v>24</v>
      </c>
    </row>
    <row r="2253" spans="1:2" x14ac:dyDescent="0.2">
      <c r="A2253" s="117">
        <v>36950</v>
      </c>
      <c r="B2253" s="116">
        <f t="shared" si="35"/>
        <v>24</v>
      </c>
    </row>
    <row r="2254" spans="1:2" x14ac:dyDescent="0.2">
      <c r="A2254" s="117">
        <v>36951</v>
      </c>
      <c r="B2254" s="116">
        <f t="shared" si="35"/>
        <v>24</v>
      </c>
    </row>
    <row r="2255" spans="1:2" x14ac:dyDescent="0.2">
      <c r="A2255" s="117">
        <v>36952</v>
      </c>
      <c r="B2255" s="116">
        <f t="shared" si="35"/>
        <v>24</v>
      </c>
    </row>
    <row r="2256" spans="1:2" x14ac:dyDescent="0.2">
      <c r="A2256" s="117">
        <v>36953</v>
      </c>
      <c r="B2256" s="116">
        <f t="shared" si="35"/>
        <v>24</v>
      </c>
    </row>
    <row r="2257" spans="1:2" x14ac:dyDescent="0.2">
      <c r="A2257" s="117">
        <v>36954</v>
      </c>
      <c r="B2257" s="116">
        <f t="shared" si="35"/>
        <v>31</v>
      </c>
    </row>
    <row r="2258" spans="1:2" x14ac:dyDescent="0.2">
      <c r="A2258" s="117">
        <v>36955</v>
      </c>
      <c r="B2258" s="116">
        <f t="shared" si="35"/>
        <v>31</v>
      </c>
    </row>
    <row r="2259" spans="1:2" x14ac:dyDescent="0.2">
      <c r="A2259" s="117">
        <v>36956</v>
      </c>
      <c r="B2259" s="116">
        <f t="shared" si="35"/>
        <v>31</v>
      </c>
    </row>
    <row r="2260" spans="1:2" x14ac:dyDescent="0.2">
      <c r="A2260" s="117">
        <v>36957</v>
      </c>
      <c r="B2260" s="116">
        <f t="shared" si="35"/>
        <v>31</v>
      </c>
    </row>
    <row r="2261" spans="1:2" x14ac:dyDescent="0.2">
      <c r="A2261" s="117">
        <v>36958</v>
      </c>
      <c r="B2261" s="116">
        <f t="shared" si="35"/>
        <v>31</v>
      </c>
    </row>
    <row r="2262" spans="1:2" x14ac:dyDescent="0.2">
      <c r="A2262" s="117">
        <v>36959</v>
      </c>
      <c r="B2262" s="116">
        <f t="shared" si="35"/>
        <v>31</v>
      </c>
    </row>
    <row r="2263" spans="1:2" x14ac:dyDescent="0.2">
      <c r="A2263" s="117">
        <v>36960</v>
      </c>
      <c r="B2263" s="116">
        <f t="shared" si="35"/>
        <v>31</v>
      </c>
    </row>
    <row r="2264" spans="1:2" x14ac:dyDescent="0.2">
      <c r="A2264" s="117">
        <v>36961</v>
      </c>
      <c r="B2264" s="116">
        <f t="shared" si="35"/>
        <v>32</v>
      </c>
    </row>
    <row r="2265" spans="1:2" x14ac:dyDescent="0.2">
      <c r="A2265" s="117">
        <v>36962</v>
      </c>
      <c r="B2265" s="116">
        <f t="shared" si="35"/>
        <v>32</v>
      </c>
    </row>
    <row r="2266" spans="1:2" x14ac:dyDescent="0.2">
      <c r="A2266" s="117">
        <v>36963</v>
      </c>
      <c r="B2266" s="116">
        <f t="shared" si="35"/>
        <v>32</v>
      </c>
    </row>
    <row r="2267" spans="1:2" x14ac:dyDescent="0.2">
      <c r="A2267" s="117">
        <v>36964</v>
      </c>
      <c r="B2267" s="116">
        <f t="shared" si="35"/>
        <v>32</v>
      </c>
    </row>
    <row r="2268" spans="1:2" x14ac:dyDescent="0.2">
      <c r="A2268" s="117">
        <v>36965</v>
      </c>
      <c r="B2268" s="116">
        <f t="shared" si="35"/>
        <v>32</v>
      </c>
    </row>
    <row r="2269" spans="1:2" x14ac:dyDescent="0.2">
      <c r="A2269" s="117">
        <v>36966</v>
      </c>
      <c r="B2269" s="116">
        <f t="shared" si="35"/>
        <v>32</v>
      </c>
    </row>
    <row r="2270" spans="1:2" x14ac:dyDescent="0.2">
      <c r="A2270" s="117">
        <v>36967</v>
      </c>
      <c r="B2270" s="116">
        <f t="shared" si="35"/>
        <v>32</v>
      </c>
    </row>
    <row r="2271" spans="1:2" x14ac:dyDescent="0.2">
      <c r="A2271" s="117">
        <v>36968</v>
      </c>
      <c r="B2271" s="116">
        <f t="shared" si="35"/>
        <v>33</v>
      </c>
    </row>
    <row r="2272" spans="1:2" x14ac:dyDescent="0.2">
      <c r="A2272" s="117">
        <v>36969</v>
      </c>
      <c r="B2272" s="116">
        <f t="shared" si="35"/>
        <v>33</v>
      </c>
    </row>
    <row r="2273" spans="1:2" x14ac:dyDescent="0.2">
      <c r="A2273" s="117">
        <v>36970</v>
      </c>
      <c r="B2273" s="116">
        <f t="shared" si="35"/>
        <v>33</v>
      </c>
    </row>
    <row r="2274" spans="1:2" x14ac:dyDescent="0.2">
      <c r="A2274" s="117">
        <v>36971</v>
      </c>
      <c r="B2274" s="116">
        <f t="shared" si="35"/>
        <v>33</v>
      </c>
    </row>
    <row r="2275" spans="1:2" x14ac:dyDescent="0.2">
      <c r="A2275" s="117">
        <v>36972</v>
      </c>
      <c r="B2275" s="116">
        <f t="shared" si="35"/>
        <v>33</v>
      </c>
    </row>
    <row r="2276" spans="1:2" x14ac:dyDescent="0.2">
      <c r="A2276" s="117">
        <v>36973</v>
      </c>
      <c r="B2276" s="116">
        <f t="shared" si="35"/>
        <v>33</v>
      </c>
    </row>
    <row r="2277" spans="1:2" x14ac:dyDescent="0.2">
      <c r="A2277" s="117">
        <v>36974</v>
      </c>
      <c r="B2277" s="116">
        <f t="shared" si="35"/>
        <v>33</v>
      </c>
    </row>
    <row r="2278" spans="1:2" x14ac:dyDescent="0.2">
      <c r="A2278" s="117">
        <v>36975</v>
      </c>
      <c r="B2278" s="116">
        <f t="shared" si="35"/>
        <v>34</v>
      </c>
    </row>
    <row r="2279" spans="1:2" x14ac:dyDescent="0.2">
      <c r="A2279" s="117">
        <v>36976</v>
      </c>
      <c r="B2279" s="116">
        <f t="shared" si="35"/>
        <v>34</v>
      </c>
    </row>
    <row r="2280" spans="1:2" x14ac:dyDescent="0.2">
      <c r="A2280" s="117">
        <v>36977</v>
      </c>
      <c r="B2280" s="116">
        <f t="shared" si="35"/>
        <v>34</v>
      </c>
    </row>
    <row r="2281" spans="1:2" x14ac:dyDescent="0.2">
      <c r="A2281" s="117">
        <v>36978</v>
      </c>
      <c r="B2281" s="116">
        <f t="shared" si="35"/>
        <v>34</v>
      </c>
    </row>
    <row r="2282" spans="1:2" x14ac:dyDescent="0.2">
      <c r="A2282" s="117">
        <v>36979</v>
      </c>
      <c r="B2282" s="116">
        <f t="shared" si="35"/>
        <v>34</v>
      </c>
    </row>
    <row r="2283" spans="1:2" x14ac:dyDescent="0.2">
      <c r="A2283" s="117">
        <v>36980</v>
      </c>
      <c r="B2283" s="116">
        <f t="shared" si="35"/>
        <v>34</v>
      </c>
    </row>
    <row r="2284" spans="1:2" x14ac:dyDescent="0.2">
      <c r="A2284" s="117">
        <v>36981</v>
      </c>
      <c r="B2284" s="116">
        <f t="shared" si="35"/>
        <v>34</v>
      </c>
    </row>
    <row r="2285" spans="1:2" x14ac:dyDescent="0.2">
      <c r="A2285" s="117">
        <v>36982</v>
      </c>
      <c r="B2285" s="116">
        <f t="shared" si="35"/>
        <v>41</v>
      </c>
    </row>
    <row r="2286" spans="1:2" x14ac:dyDescent="0.2">
      <c r="A2286" s="117">
        <v>36983</v>
      </c>
      <c r="B2286" s="116">
        <f t="shared" si="35"/>
        <v>41</v>
      </c>
    </row>
    <row r="2287" spans="1:2" x14ac:dyDescent="0.2">
      <c r="A2287" s="117">
        <v>36984</v>
      </c>
      <c r="B2287" s="116">
        <f t="shared" si="35"/>
        <v>41</v>
      </c>
    </row>
    <row r="2288" spans="1:2" x14ac:dyDescent="0.2">
      <c r="A2288" s="117">
        <v>36985</v>
      </c>
      <c r="B2288" s="116">
        <f t="shared" si="35"/>
        <v>41</v>
      </c>
    </row>
    <row r="2289" spans="1:2" x14ac:dyDescent="0.2">
      <c r="A2289" s="117">
        <v>36986</v>
      </c>
      <c r="B2289" s="116">
        <f t="shared" si="35"/>
        <v>41</v>
      </c>
    </row>
    <row r="2290" spans="1:2" x14ac:dyDescent="0.2">
      <c r="A2290" s="117">
        <v>36987</v>
      </c>
      <c r="B2290" s="116">
        <f t="shared" si="35"/>
        <v>41</v>
      </c>
    </row>
    <row r="2291" spans="1:2" x14ac:dyDescent="0.2">
      <c r="A2291" s="117">
        <v>36988</v>
      </c>
      <c r="B2291" s="116">
        <f t="shared" si="35"/>
        <v>41</v>
      </c>
    </row>
    <row r="2292" spans="1:2" x14ac:dyDescent="0.2">
      <c r="A2292" s="117">
        <v>36989</v>
      </c>
      <c r="B2292" s="116">
        <f t="shared" si="35"/>
        <v>42</v>
      </c>
    </row>
    <row r="2293" spans="1:2" x14ac:dyDescent="0.2">
      <c r="A2293" s="117">
        <v>36990</v>
      </c>
      <c r="B2293" s="116">
        <f t="shared" si="35"/>
        <v>42</v>
      </c>
    </row>
    <row r="2294" spans="1:2" x14ac:dyDescent="0.2">
      <c r="A2294" s="117">
        <v>36991</v>
      </c>
      <c r="B2294" s="116">
        <f t="shared" si="35"/>
        <v>42</v>
      </c>
    </row>
    <row r="2295" spans="1:2" x14ac:dyDescent="0.2">
      <c r="A2295" s="117">
        <v>36992</v>
      </c>
      <c r="B2295" s="116">
        <f t="shared" si="35"/>
        <v>42</v>
      </c>
    </row>
    <row r="2296" spans="1:2" x14ac:dyDescent="0.2">
      <c r="A2296" s="117">
        <v>36993</v>
      </c>
      <c r="B2296" s="116">
        <f t="shared" si="35"/>
        <v>42</v>
      </c>
    </row>
    <row r="2297" spans="1:2" x14ac:dyDescent="0.2">
      <c r="A2297" s="117">
        <v>36994</v>
      </c>
      <c r="B2297" s="116">
        <f t="shared" si="35"/>
        <v>42</v>
      </c>
    </row>
    <row r="2298" spans="1:2" x14ac:dyDescent="0.2">
      <c r="A2298" s="117">
        <v>36995</v>
      </c>
      <c r="B2298" s="116">
        <f t="shared" si="35"/>
        <v>42</v>
      </c>
    </row>
    <row r="2299" spans="1:2" x14ac:dyDescent="0.2">
      <c r="A2299" s="117">
        <v>36996</v>
      </c>
      <c r="B2299" s="116">
        <f t="shared" si="35"/>
        <v>43</v>
      </c>
    </row>
    <row r="2300" spans="1:2" x14ac:dyDescent="0.2">
      <c r="A2300" s="117">
        <v>36997</v>
      </c>
      <c r="B2300" s="116">
        <f t="shared" si="35"/>
        <v>43</v>
      </c>
    </row>
    <row r="2301" spans="1:2" x14ac:dyDescent="0.2">
      <c r="A2301" s="117">
        <v>36998</v>
      </c>
      <c r="B2301" s="116">
        <f t="shared" si="35"/>
        <v>43</v>
      </c>
    </row>
    <row r="2302" spans="1:2" x14ac:dyDescent="0.2">
      <c r="A2302" s="117">
        <v>36999</v>
      </c>
      <c r="B2302" s="116">
        <f t="shared" si="35"/>
        <v>43</v>
      </c>
    </row>
    <row r="2303" spans="1:2" x14ac:dyDescent="0.2">
      <c r="A2303" s="117">
        <v>37000</v>
      </c>
      <c r="B2303" s="116">
        <f t="shared" si="35"/>
        <v>43</v>
      </c>
    </row>
    <row r="2304" spans="1:2" x14ac:dyDescent="0.2">
      <c r="A2304" s="117">
        <v>37001</v>
      </c>
      <c r="B2304" s="116">
        <f t="shared" si="35"/>
        <v>43</v>
      </c>
    </row>
    <row r="2305" spans="1:2" x14ac:dyDescent="0.2">
      <c r="A2305" s="117">
        <v>37002</v>
      </c>
      <c r="B2305" s="116">
        <f t="shared" si="35"/>
        <v>43</v>
      </c>
    </row>
    <row r="2306" spans="1:2" x14ac:dyDescent="0.2">
      <c r="A2306" s="117">
        <v>37003</v>
      </c>
      <c r="B2306" s="116">
        <f t="shared" si="35"/>
        <v>44</v>
      </c>
    </row>
    <row r="2307" spans="1:2" x14ac:dyDescent="0.2">
      <c r="A2307" s="117">
        <v>37004</v>
      </c>
      <c r="B2307" s="116">
        <f t="shared" si="35"/>
        <v>44</v>
      </c>
    </row>
    <row r="2308" spans="1:2" x14ac:dyDescent="0.2">
      <c r="A2308" s="117">
        <v>37005</v>
      </c>
      <c r="B2308" s="116">
        <f t="shared" ref="B2308:B2371" si="36">VLOOKUP(WEEKNUM(A2308),$D$4:$E$59,2)</f>
        <v>44</v>
      </c>
    </row>
    <row r="2309" spans="1:2" x14ac:dyDescent="0.2">
      <c r="A2309" s="117">
        <v>37006</v>
      </c>
      <c r="B2309" s="116">
        <f t="shared" si="36"/>
        <v>44</v>
      </c>
    </row>
    <row r="2310" spans="1:2" x14ac:dyDescent="0.2">
      <c r="A2310" s="117">
        <v>37007</v>
      </c>
      <c r="B2310" s="116">
        <f t="shared" si="36"/>
        <v>44</v>
      </c>
    </row>
    <row r="2311" spans="1:2" x14ac:dyDescent="0.2">
      <c r="A2311" s="117">
        <v>37008</v>
      </c>
      <c r="B2311" s="116">
        <f t="shared" si="36"/>
        <v>44</v>
      </c>
    </row>
    <row r="2312" spans="1:2" x14ac:dyDescent="0.2">
      <c r="A2312" s="117">
        <v>37009</v>
      </c>
      <c r="B2312" s="116">
        <f t="shared" si="36"/>
        <v>44</v>
      </c>
    </row>
    <row r="2313" spans="1:2" x14ac:dyDescent="0.2">
      <c r="A2313" s="117">
        <v>37010</v>
      </c>
      <c r="B2313" s="116">
        <f t="shared" si="36"/>
        <v>45</v>
      </c>
    </row>
    <row r="2314" spans="1:2" x14ac:dyDescent="0.2">
      <c r="A2314" s="117">
        <v>37011</v>
      </c>
      <c r="B2314" s="116">
        <f t="shared" si="36"/>
        <v>45</v>
      </c>
    </row>
    <row r="2315" spans="1:2" x14ac:dyDescent="0.2">
      <c r="A2315" s="117">
        <v>37012</v>
      </c>
      <c r="B2315" s="116">
        <f t="shared" si="36"/>
        <v>45</v>
      </c>
    </row>
    <row r="2316" spans="1:2" x14ac:dyDescent="0.2">
      <c r="A2316" s="117">
        <v>37013</v>
      </c>
      <c r="B2316" s="116">
        <f t="shared" si="36"/>
        <v>45</v>
      </c>
    </row>
    <row r="2317" spans="1:2" x14ac:dyDescent="0.2">
      <c r="A2317" s="117">
        <v>37014</v>
      </c>
      <c r="B2317" s="116">
        <f t="shared" si="36"/>
        <v>45</v>
      </c>
    </row>
    <row r="2318" spans="1:2" x14ac:dyDescent="0.2">
      <c r="A2318" s="117">
        <v>37015</v>
      </c>
      <c r="B2318" s="116">
        <f t="shared" si="36"/>
        <v>45</v>
      </c>
    </row>
    <row r="2319" spans="1:2" x14ac:dyDescent="0.2">
      <c r="A2319" s="117">
        <v>37016</v>
      </c>
      <c r="B2319" s="116">
        <f t="shared" si="36"/>
        <v>45</v>
      </c>
    </row>
    <row r="2320" spans="1:2" x14ac:dyDescent="0.2">
      <c r="A2320" s="117">
        <v>37017</v>
      </c>
      <c r="B2320" s="116">
        <f t="shared" si="36"/>
        <v>51</v>
      </c>
    </row>
    <row r="2321" spans="1:2" x14ac:dyDescent="0.2">
      <c r="A2321" s="117">
        <v>37018</v>
      </c>
      <c r="B2321" s="116">
        <f t="shared" si="36"/>
        <v>51</v>
      </c>
    </row>
    <row r="2322" spans="1:2" x14ac:dyDescent="0.2">
      <c r="A2322" s="117">
        <v>37019</v>
      </c>
      <c r="B2322" s="116">
        <f t="shared" si="36"/>
        <v>51</v>
      </c>
    </row>
    <row r="2323" spans="1:2" x14ac:dyDescent="0.2">
      <c r="A2323" s="117">
        <v>37020</v>
      </c>
      <c r="B2323" s="116">
        <f t="shared" si="36"/>
        <v>51</v>
      </c>
    </row>
    <row r="2324" spans="1:2" x14ac:dyDescent="0.2">
      <c r="A2324" s="117">
        <v>37021</v>
      </c>
      <c r="B2324" s="116">
        <f t="shared" si="36"/>
        <v>51</v>
      </c>
    </row>
    <row r="2325" spans="1:2" x14ac:dyDescent="0.2">
      <c r="A2325" s="117">
        <v>37022</v>
      </c>
      <c r="B2325" s="116">
        <f t="shared" si="36"/>
        <v>51</v>
      </c>
    </row>
    <row r="2326" spans="1:2" x14ac:dyDescent="0.2">
      <c r="A2326" s="117">
        <v>37023</v>
      </c>
      <c r="B2326" s="116">
        <f t="shared" si="36"/>
        <v>51</v>
      </c>
    </row>
    <row r="2327" spans="1:2" x14ac:dyDescent="0.2">
      <c r="A2327" s="117">
        <v>37024</v>
      </c>
      <c r="B2327" s="116">
        <f t="shared" si="36"/>
        <v>52</v>
      </c>
    </row>
    <row r="2328" spans="1:2" x14ac:dyDescent="0.2">
      <c r="A2328" s="117">
        <v>37025</v>
      </c>
      <c r="B2328" s="116">
        <f t="shared" si="36"/>
        <v>52</v>
      </c>
    </row>
    <row r="2329" spans="1:2" x14ac:dyDescent="0.2">
      <c r="A2329" s="117">
        <v>37026</v>
      </c>
      <c r="B2329" s="116">
        <f t="shared" si="36"/>
        <v>52</v>
      </c>
    </row>
    <row r="2330" spans="1:2" x14ac:dyDescent="0.2">
      <c r="A2330" s="117">
        <v>37027</v>
      </c>
      <c r="B2330" s="116">
        <f t="shared" si="36"/>
        <v>52</v>
      </c>
    </row>
    <row r="2331" spans="1:2" x14ac:dyDescent="0.2">
      <c r="A2331" s="117">
        <v>37028</v>
      </c>
      <c r="B2331" s="116">
        <f t="shared" si="36"/>
        <v>52</v>
      </c>
    </row>
    <row r="2332" spans="1:2" x14ac:dyDescent="0.2">
      <c r="A2332" s="117">
        <v>37029</v>
      </c>
      <c r="B2332" s="116">
        <f t="shared" si="36"/>
        <v>52</v>
      </c>
    </row>
    <row r="2333" spans="1:2" x14ac:dyDescent="0.2">
      <c r="A2333" s="117">
        <v>37030</v>
      </c>
      <c r="B2333" s="116">
        <f t="shared" si="36"/>
        <v>52</v>
      </c>
    </row>
    <row r="2334" spans="1:2" x14ac:dyDescent="0.2">
      <c r="A2334" s="117">
        <v>37031</v>
      </c>
      <c r="B2334" s="116">
        <f t="shared" si="36"/>
        <v>53</v>
      </c>
    </row>
    <row r="2335" spans="1:2" x14ac:dyDescent="0.2">
      <c r="A2335" s="117">
        <v>37032</v>
      </c>
      <c r="B2335" s="116">
        <f t="shared" si="36"/>
        <v>53</v>
      </c>
    </row>
    <row r="2336" spans="1:2" x14ac:dyDescent="0.2">
      <c r="A2336" s="117">
        <v>37033</v>
      </c>
      <c r="B2336" s="116">
        <f t="shared" si="36"/>
        <v>53</v>
      </c>
    </row>
    <row r="2337" spans="1:2" x14ac:dyDescent="0.2">
      <c r="A2337" s="117">
        <v>37034</v>
      </c>
      <c r="B2337" s="116">
        <f t="shared" si="36"/>
        <v>53</v>
      </c>
    </row>
    <row r="2338" spans="1:2" x14ac:dyDescent="0.2">
      <c r="A2338" s="117">
        <v>37035</v>
      </c>
      <c r="B2338" s="116">
        <f t="shared" si="36"/>
        <v>53</v>
      </c>
    </row>
    <row r="2339" spans="1:2" x14ac:dyDescent="0.2">
      <c r="A2339" s="117">
        <v>37036</v>
      </c>
      <c r="B2339" s="116">
        <f t="shared" si="36"/>
        <v>53</v>
      </c>
    </row>
    <row r="2340" spans="1:2" x14ac:dyDescent="0.2">
      <c r="A2340" s="117">
        <v>37037</v>
      </c>
      <c r="B2340" s="116">
        <f t="shared" si="36"/>
        <v>53</v>
      </c>
    </row>
    <row r="2341" spans="1:2" x14ac:dyDescent="0.2">
      <c r="A2341" s="117">
        <v>37038</v>
      </c>
      <c r="B2341" s="116">
        <f t="shared" si="36"/>
        <v>54</v>
      </c>
    </row>
    <row r="2342" spans="1:2" x14ac:dyDescent="0.2">
      <c r="A2342" s="117">
        <v>37039</v>
      </c>
      <c r="B2342" s="116">
        <f t="shared" si="36"/>
        <v>54</v>
      </c>
    </row>
    <row r="2343" spans="1:2" x14ac:dyDescent="0.2">
      <c r="A2343" s="117">
        <v>37040</v>
      </c>
      <c r="B2343" s="116">
        <f t="shared" si="36"/>
        <v>54</v>
      </c>
    </row>
    <row r="2344" spans="1:2" x14ac:dyDescent="0.2">
      <c r="A2344" s="117">
        <v>37041</v>
      </c>
      <c r="B2344" s="116">
        <f t="shared" si="36"/>
        <v>54</v>
      </c>
    </row>
    <row r="2345" spans="1:2" x14ac:dyDescent="0.2">
      <c r="A2345" s="117">
        <v>37042</v>
      </c>
      <c r="B2345" s="116">
        <f t="shared" si="36"/>
        <v>54</v>
      </c>
    </row>
    <row r="2346" spans="1:2" x14ac:dyDescent="0.2">
      <c r="A2346" s="117">
        <v>37043</v>
      </c>
      <c r="B2346" s="116">
        <f t="shared" si="36"/>
        <v>54</v>
      </c>
    </row>
    <row r="2347" spans="1:2" x14ac:dyDescent="0.2">
      <c r="A2347" s="117">
        <v>37044</v>
      </c>
      <c r="B2347" s="116">
        <f t="shared" si="36"/>
        <v>54</v>
      </c>
    </row>
    <row r="2348" spans="1:2" x14ac:dyDescent="0.2">
      <c r="A2348" s="117">
        <v>37045</v>
      </c>
      <c r="B2348" s="116">
        <f t="shared" si="36"/>
        <v>61</v>
      </c>
    </row>
    <row r="2349" spans="1:2" x14ac:dyDescent="0.2">
      <c r="A2349" s="117">
        <v>37046</v>
      </c>
      <c r="B2349" s="116">
        <f t="shared" si="36"/>
        <v>61</v>
      </c>
    </row>
    <row r="2350" spans="1:2" x14ac:dyDescent="0.2">
      <c r="A2350" s="117">
        <v>37047</v>
      </c>
      <c r="B2350" s="116">
        <f t="shared" si="36"/>
        <v>61</v>
      </c>
    </row>
    <row r="2351" spans="1:2" x14ac:dyDescent="0.2">
      <c r="A2351" s="117">
        <v>37048</v>
      </c>
      <c r="B2351" s="116">
        <f t="shared" si="36"/>
        <v>61</v>
      </c>
    </row>
    <row r="2352" spans="1:2" x14ac:dyDescent="0.2">
      <c r="A2352" s="117">
        <v>37049</v>
      </c>
      <c r="B2352" s="116">
        <f t="shared" si="36"/>
        <v>61</v>
      </c>
    </row>
    <row r="2353" spans="1:2" x14ac:dyDescent="0.2">
      <c r="A2353" s="117">
        <v>37050</v>
      </c>
      <c r="B2353" s="116">
        <f t="shared" si="36"/>
        <v>61</v>
      </c>
    </row>
    <row r="2354" spans="1:2" x14ac:dyDescent="0.2">
      <c r="A2354" s="117">
        <v>37051</v>
      </c>
      <c r="B2354" s="116">
        <f t="shared" si="36"/>
        <v>61</v>
      </c>
    </row>
    <row r="2355" spans="1:2" x14ac:dyDescent="0.2">
      <c r="A2355" s="117">
        <v>37052</v>
      </c>
      <c r="B2355" s="116">
        <f t="shared" si="36"/>
        <v>62</v>
      </c>
    </row>
    <row r="2356" spans="1:2" x14ac:dyDescent="0.2">
      <c r="A2356" s="117">
        <v>37053</v>
      </c>
      <c r="B2356" s="116">
        <f t="shared" si="36"/>
        <v>62</v>
      </c>
    </row>
    <row r="2357" spans="1:2" x14ac:dyDescent="0.2">
      <c r="A2357" s="117">
        <v>37054</v>
      </c>
      <c r="B2357" s="116">
        <f t="shared" si="36"/>
        <v>62</v>
      </c>
    </row>
    <row r="2358" spans="1:2" x14ac:dyDescent="0.2">
      <c r="A2358" s="117">
        <v>37055</v>
      </c>
      <c r="B2358" s="116">
        <f t="shared" si="36"/>
        <v>62</v>
      </c>
    </row>
    <row r="2359" spans="1:2" x14ac:dyDescent="0.2">
      <c r="A2359" s="117">
        <v>37056</v>
      </c>
      <c r="B2359" s="116">
        <f t="shared" si="36"/>
        <v>62</v>
      </c>
    </row>
    <row r="2360" spans="1:2" x14ac:dyDescent="0.2">
      <c r="A2360" s="117">
        <v>37057</v>
      </c>
      <c r="B2360" s="116">
        <f t="shared" si="36"/>
        <v>62</v>
      </c>
    </row>
    <row r="2361" spans="1:2" x14ac:dyDescent="0.2">
      <c r="A2361" s="117">
        <v>37058</v>
      </c>
      <c r="B2361" s="116">
        <f t="shared" si="36"/>
        <v>62</v>
      </c>
    </row>
    <row r="2362" spans="1:2" x14ac:dyDescent="0.2">
      <c r="A2362" s="117">
        <v>37059</v>
      </c>
      <c r="B2362" s="116">
        <f t="shared" si="36"/>
        <v>63</v>
      </c>
    </row>
    <row r="2363" spans="1:2" x14ac:dyDescent="0.2">
      <c r="A2363" s="117">
        <v>37060</v>
      </c>
      <c r="B2363" s="116">
        <f t="shared" si="36"/>
        <v>63</v>
      </c>
    </row>
    <row r="2364" spans="1:2" x14ac:dyDescent="0.2">
      <c r="A2364" s="117">
        <v>37061</v>
      </c>
      <c r="B2364" s="116">
        <f t="shared" si="36"/>
        <v>63</v>
      </c>
    </row>
    <row r="2365" spans="1:2" x14ac:dyDescent="0.2">
      <c r="A2365" s="117">
        <v>37062</v>
      </c>
      <c r="B2365" s="116">
        <f t="shared" si="36"/>
        <v>63</v>
      </c>
    </row>
    <row r="2366" spans="1:2" x14ac:dyDescent="0.2">
      <c r="A2366" s="117">
        <v>37063</v>
      </c>
      <c r="B2366" s="116">
        <f t="shared" si="36"/>
        <v>63</v>
      </c>
    </row>
    <row r="2367" spans="1:2" x14ac:dyDescent="0.2">
      <c r="A2367" s="117">
        <v>37064</v>
      </c>
      <c r="B2367" s="116">
        <f t="shared" si="36"/>
        <v>63</v>
      </c>
    </row>
    <row r="2368" spans="1:2" x14ac:dyDescent="0.2">
      <c r="A2368" s="117">
        <v>37065</v>
      </c>
      <c r="B2368" s="116">
        <f t="shared" si="36"/>
        <v>63</v>
      </c>
    </row>
    <row r="2369" spans="1:2" x14ac:dyDescent="0.2">
      <c r="A2369" s="117">
        <v>37066</v>
      </c>
      <c r="B2369" s="116">
        <f t="shared" si="36"/>
        <v>64</v>
      </c>
    </row>
    <row r="2370" spans="1:2" x14ac:dyDescent="0.2">
      <c r="A2370" s="117">
        <v>37067</v>
      </c>
      <c r="B2370" s="116">
        <f t="shared" si="36"/>
        <v>64</v>
      </c>
    </row>
    <row r="2371" spans="1:2" x14ac:dyDescent="0.2">
      <c r="A2371" s="117">
        <v>37068</v>
      </c>
      <c r="B2371" s="116">
        <f t="shared" si="36"/>
        <v>64</v>
      </c>
    </row>
    <row r="2372" spans="1:2" x14ac:dyDescent="0.2">
      <c r="A2372" s="117">
        <v>37069</v>
      </c>
      <c r="B2372" s="116">
        <f t="shared" ref="B2372:B2435" si="37">VLOOKUP(WEEKNUM(A2372),$D$4:$E$59,2)</f>
        <v>64</v>
      </c>
    </row>
    <row r="2373" spans="1:2" x14ac:dyDescent="0.2">
      <c r="A2373" s="117">
        <v>37070</v>
      </c>
      <c r="B2373" s="116">
        <f t="shared" si="37"/>
        <v>64</v>
      </c>
    </row>
    <row r="2374" spans="1:2" x14ac:dyDescent="0.2">
      <c r="A2374" s="117">
        <v>37071</v>
      </c>
      <c r="B2374" s="116">
        <f t="shared" si="37"/>
        <v>64</v>
      </c>
    </row>
    <row r="2375" spans="1:2" x14ac:dyDescent="0.2">
      <c r="A2375" s="117">
        <v>37072</v>
      </c>
      <c r="B2375" s="116">
        <f t="shared" si="37"/>
        <v>64</v>
      </c>
    </row>
    <row r="2376" spans="1:2" x14ac:dyDescent="0.2">
      <c r="A2376" s="117">
        <v>37073</v>
      </c>
      <c r="B2376" s="116">
        <f t="shared" si="37"/>
        <v>71</v>
      </c>
    </row>
    <row r="2377" spans="1:2" x14ac:dyDescent="0.2">
      <c r="A2377" s="117">
        <v>37074</v>
      </c>
      <c r="B2377" s="116">
        <f t="shared" si="37"/>
        <v>71</v>
      </c>
    </row>
    <row r="2378" spans="1:2" x14ac:dyDescent="0.2">
      <c r="A2378" s="117">
        <v>37075</v>
      </c>
      <c r="B2378" s="116">
        <f t="shared" si="37"/>
        <v>71</v>
      </c>
    </row>
    <row r="2379" spans="1:2" x14ac:dyDescent="0.2">
      <c r="A2379" s="117">
        <v>37076</v>
      </c>
      <c r="B2379" s="116">
        <f t="shared" si="37"/>
        <v>71</v>
      </c>
    </row>
    <row r="2380" spans="1:2" x14ac:dyDescent="0.2">
      <c r="A2380" s="117">
        <v>37077</v>
      </c>
      <c r="B2380" s="116">
        <f t="shared" si="37"/>
        <v>71</v>
      </c>
    </row>
    <row r="2381" spans="1:2" x14ac:dyDescent="0.2">
      <c r="A2381" s="117">
        <v>37078</v>
      </c>
      <c r="B2381" s="116">
        <f t="shared" si="37"/>
        <v>71</v>
      </c>
    </row>
    <row r="2382" spans="1:2" x14ac:dyDescent="0.2">
      <c r="A2382" s="117">
        <v>37079</v>
      </c>
      <c r="B2382" s="116">
        <f t="shared" si="37"/>
        <v>71</v>
      </c>
    </row>
    <row r="2383" spans="1:2" x14ac:dyDescent="0.2">
      <c r="A2383" s="117">
        <v>37080</v>
      </c>
      <c r="B2383" s="116">
        <f t="shared" si="37"/>
        <v>72</v>
      </c>
    </row>
    <row r="2384" spans="1:2" x14ac:dyDescent="0.2">
      <c r="A2384" s="117">
        <v>37081</v>
      </c>
      <c r="B2384" s="116">
        <f t="shared" si="37"/>
        <v>72</v>
      </c>
    </row>
    <row r="2385" spans="1:2" x14ac:dyDescent="0.2">
      <c r="A2385" s="117">
        <v>37082</v>
      </c>
      <c r="B2385" s="116">
        <f t="shared" si="37"/>
        <v>72</v>
      </c>
    </row>
    <row r="2386" spans="1:2" x14ac:dyDescent="0.2">
      <c r="A2386" s="117">
        <v>37083</v>
      </c>
      <c r="B2386" s="116">
        <f t="shared" si="37"/>
        <v>72</v>
      </c>
    </row>
    <row r="2387" spans="1:2" x14ac:dyDescent="0.2">
      <c r="A2387" s="117">
        <v>37084</v>
      </c>
      <c r="B2387" s="116">
        <f t="shared" si="37"/>
        <v>72</v>
      </c>
    </row>
    <row r="2388" spans="1:2" x14ac:dyDescent="0.2">
      <c r="A2388" s="117">
        <v>37085</v>
      </c>
      <c r="B2388" s="116">
        <f t="shared" si="37"/>
        <v>72</v>
      </c>
    </row>
    <row r="2389" spans="1:2" x14ac:dyDescent="0.2">
      <c r="A2389" s="117">
        <v>37086</v>
      </c>
      <c r="B2389" s="116">
        <f t="shared" si="37"/>
        <v>72</v>
      </c>
    </row>
    <row r="2390" spans="1:2" x14ac:dyDescent="0.2">
      <c r="A2390" s="117">
        <v>37087</v>
      </c>
      <c r="B2390" s="116">
        <f t="shared" si="37"/>
        <v>73</v>
      </c>
    </row>
    <row r="2391" spans="1:2" x14ac:dyDescent="0.2">
      <c r="A2391" s="117">
        <v>37088</v>
      </c>
      <c r="B2391" s="116">
        <f t="shared" si="37"/>
        <v>73</v>
      </c>
    </row>
    <row r="2392" spans="1:2" x14ac:dyDescent="0.2">
      <c r="A2392" s="117">
        <v>37089</v>
      </c>
      <c r="B2392" s="116">
        <f t="shared" si="37"/>
        <v>73</v>
      </c>
    </row>
    <row r="2393" spans="1:2" x14ac:dyDescent="0.2">
      <c r="A2393" s="117">
        <v>37090</v>
      </c>
      <c r="B2393" s="116">
        <f t="shared" si="37"/>
        <v>73</v>
      </c>
    </row>
    <row r="2394" spans="1:2" x14ac:dyDescent="0.2">
      <c r="A2394" s="117">
        <v>37091</v>
      </c>
      <c r="B2394" s="116">
        <f t="shared" si="37"/>
        <v>73</v>
      </c>
    </row>
    <row r="2395" spans="1:2" x14ac:dyDescent="0.2">
      <c r="A2395" s="117">
        <v>37092</v>
      </c>
      <c r="B2395" s="116">
        <f t="shared" si="37"/>
        <v>73</v>
      </c>
    </row>
    <row r="2396" spans="1:2" x14ac:dyDescent="0.2">
      <c r="A2396" s="117">
        <v>37093</v>
      </c>
      <c r="B2396" s="116">
        <f t="shared" si="37"/>
        <v>73</v>
      </c>
    </row>
    <row r="2397" spans="1:2" x14ac:dyDescent="0.2">
      <c r="A2397" s="117">
        <v>37094</v>
      </c>
      <c r="B2397" s="116">
        <f t="shared" si="37"/>
        <v>74</v>
      </c>
    </row>
    <row r="2398" spans="1:2" x14ac:dyDescent="0.2">
      <c r="A2398" s="117">
        <v>37095</v>
      </c>
      <c r="B2398" s="116">
        <f t="shared" si="37"/>
        <v>74</v>
      </c>
    </row>
    <row r="2399" spans="1:2" x14ac:dyDescent="0.2">
      <c r="A2399" s="117">
        <v>37096</v>
      </c>
      <c r="B2399" s="116">
        <f t="shared" si="37"/>
        <v>74</v>
      </c>
    </row>
    <row r="2400" spans="1:2" x14ac:dyDescent="0.2">
      <c r="A2400" s="117">
        <v>37097</v>
      </c>
      <c r="B2400" s="116">
        <f t="shared" si="37"/>
        <v>74</v>
      </c>
    </row>
    <row r="2401" spans="1:2" x14ac:dyDescent="0.2">
      <c r="A2401" s="117">
        <v>37098</v>
      </c>
      <c r="B2401" s="116">
        <f t="shared" si="37"/>
        <v>74</v>
      </c>
    </row>
    <row r="2402" spans="1:2" x14ac:dyDescent="0.2">
      <c r="A2402" s="117">
        <v>37099</v>
      </c>
      <c r="B2402" s="116">
        <f t="shared" si="37"/>
        <v>74</v>
      </c>
    </row>
    <row r="2403" spans="1:2" x14ac:dyDescent="0.2">
      <c r="A2403" s="117">
        <v>37100</v>
      </c>
      <c r="B2403" s="116">
        <f t="shared" si="37"/>
        <v>74</v>
      </c>
    </row>
    <row r="2404" spans="1:2" x14ac:dyDescent="0.2">
      <c r="A2404" s="117">
        <v>37101</v>
      </c>
      <c r="B2404" s="116">
        <f t="shared" si="37"/>
        <v>75</v>
      </c>
    </row>
    <row r="2405" spans="1:2" x14ac:dyDescent="0.2">
      <c r="A2405" s="117">
        <v>37102</v>
      </c>
      <c r="B2405" s="116">
        <f t="shared" si="37"/>
        <v>75</v>
      </c>
    </row>
    <row r="2406" spans="1:2" x14ac:dyDescent="0.2">
      <c r="A2406" s="117">
        <v>37103</v>
      </c>
      <c r="B2406" s="116">
        <f t="shared" si="37"/>
        <v>75</v>
      </c>
    </row>
    <row r="2407" spans="1:2" x14ac:dyDescent="0.2">
      <c r="A2407" s="117">
        <v>37104</v>
      </c>
      <c r="B2407" s="116">
        <f t="shared" si="37"/>
        <v>75</v>
      </c>
    </row>
    <row r="2408" spans="1:2" x14ac:dyDescent="0.2">
      <c r="A2408" s="117">
        <v>37105</v>
      </c>
      <c r="B2408" s="116">
        <f t="shared" si="37"/>
        <v>75</v>
      </c>
    </row>
    <row r="2409" spans="1:2" x14ac:dyDescent="0.2">
      <c r="A2409" s="117">
        <v>37106</v>
      </c>
      <c r="B2409" s="116">
        <f t="shared" si="37"/>
        <v>75</v>
      </c>
    </row>
    <row r="2410" spans="1:2" x14ac:dyDescent="0.2">
      <c r="A2410" s="117">
        <v>37107</v>
      </c>
      <c r="B2410" s="116">
        <f t="shared" si="37"/>
        <v>75</v>
      </c>
    </row>
    <row r="2411" spans="1:2" x14ac:dyDescent="0.2">
      <c r="A2411" s="117">
        <v>37108</v>
      </c>
      <c r="B2411" s="116">
        <f t="shared" si="37"/>
        <v>81</v>
      </c>
    </row>
    <row r="2412" spans="1:2" x14ac:dyDescent="0.2">
      <c r="A2412" s="117">
        <v>37109</v>
      </c>
      <c r="B2412" s="116">
        <f t="shared" si="37"/>
        <v>81</v>
      </c>
    </row>
    <row r="2413" spans="1:2" x14ac:dyDescent="0.2">
      <c r="A2413" s="117">
        <v>37110</v>
      </c>
      <c r="B2413" s="116">
        <f t="shared" si="37"/>
        <v>81</v>
      </c>
    </row>
    <row r="2414" spans="1:2" x14ac:dyDescent="0.2">
      <c r="A2414" s="117">
        <v>37111</v>
      </c>
      <c r="B2414" s="116">
        <f t="shared" si="37"/>
        <v>81</v>
      </c>
    </row>
    <row r="2415" spans="1:2" x14ac:dyDescent="0.2">
      <c r="A2415" s="117">
        <v>37112</v>
      </c>
      <c r="B2415" s="116">
        <f t="shared" si="37"/>
        <v>81</v>
      </c>
    </row>
    <row r="2416" spans="1:2" x14ac:dyDescent="0.2">
      <c r="A2416" s="117">
        <v>37113</v>
      </c>
      <c r="B2416" s="116">
        <f t="shared" si="37"/>
        <v>81</v>
      </c>
    </row>
    <row r="2417" spans="1:2" x14ac:dyDescent="0.2">
      <c r="A2417" s="117">
        <v>37114</v>
      </c>
      <c r="B2417" s="116">
        <f t="shared" si="37"/>
        <v>81</v>
      </c>
    </row>
    <row r="2418" spans="1:2" x14ac:dyDescent="0.2">
      <c r="A2418" s="117">
        <v>37115</v>
      </c>
      <c r="B2418" s="116">
        <f t="shared" si="37"/>
        <v>82</v>
      </c>
    </row>
    <row r="2419" spans="1:2" x14ac:dyDescent="0.2">
      <c r="A2419" s="117">
        <v>37116</v>
      </c>
      <c r="B2419" s="116">
        <f t="shared" si="37"/>
        <v>82</v>
      </c>
    </row>
    <row r="2420" spans="1:2" x14ac:dyDescent="0.2">
      <c r="A2420" s="117">
        <v>37117</v>
      </c>
      <c r="B2420" s="116">
        <f t="shared" si="37"/>
        <v>82</v>
      </c>
    </row>
    <row r="2421" spans="1:2" x14ac:dyDescent="0.2">
      <c r="A2421" s="117">
        <v>37118</v>
      </c>
      <c r="B2421" s="116">
        <f t="shared" si="37"/>
        <v>82</v>
      </c>
    </row>
    <row r="2422" spans="1:2" x14ac:dyDescent="0.2">
      <c r="A2422" s="117">
        <v>37119</v>
      </c>
      <c r="B2422" s="116">
        <f t="shared" si="37"/>
        <v>82</v>
      </c>
    </row>
    <row r="2423" spans="1:2" x14ac:dyDescent="0.2">
      <c r="A2423" s="117">
        <v>37120</v>
      </c>
      <c r="B2423" s="116">
        <f t="shared" si="37"/>
        <v>82</v>
      </c>
    </row>
    <row r="2424" spans="1:2" x14ac:dyDescent="0.2">
      <c r="A2424" s="117">
        <v>37121</v>
      </c>
      <c r="B2424" s="116">
        <f t="shared" si="37"/>
        <v>82</v>
      </c>
    </row>
    <row r="2425" spans="1:2" x14ac:dyDescent="0.2">
      <c r="A2425" s="117">
        <v>37122</v>
      </c>
      <c r="B2425" s="116">
        <f t="shared" si="37"/>
        <v>83</v>
      </c>
    </row>
    <row r="2426" spans="1:2" x14ac:dyDescent="0.2">
      <c r="A2426" s="117">
        <v>37123</v>
      </c>
      <c r="B2426" s="116">
        <f t="shared" si="37"/>
        <v>83</v>
      </c>
    </row>
    <row r="2427" spans="1:2" x14ac:dyDescent="0.2">
      <c r="A2427" s="117">
        <v>37124</v>
      </c>
      <c r="B2427" s="116">
        <f t="shared" si="37"/>
        <v>83</v>
      </c>
    </row>
    <row r="2428" spans="1:2" x14ac:dyDescent="0.2">
      <c r="A2428" s="117">
        <v>37125</v>
      </c>
      <c r="B2428" s="116">
        <f t="shared" si="37"/>
        <v>83</v>
      </c>
    </row>
    <row r="2429" spans="1:2" x14ac:dyDescent="0.2">
      <c r="A2429" s="117">
        <v>37126</v>
      </c>
      <c r="B2429" s="116">
        <f t="shared" si="37"/>
        <v>83</v>
      </c>
    </row>
    <row r="2430" spans="1:2" x14ac:dyDescent="0.2">
      <c r="A2430" s="117">
        <v>37127</v>
      </c>
      <c r="B2430" s="116">
        <f t="shared" si="37"/>
        <v>83</v>
      </c>
    </row>
    <row r="2431" spans="1:2" x14ac:dyDescent="0.2">
      <c r="A2431" s="117">
        <v>37128</v>
      </c>
      <c r="B2431" s="116">
        <f t="shared" si="37"/>
        <v>83</v>
      </c>
    </row>
    <row r="2432" spans="1:2" x14ac:dyDescent="0.2">
      <c r="A2432" s="117">
        <v>37129</v>
      </c>
      <c r="B2432" s="116">
        <f t="shared" si="37"/>
        <v>84</v>
      </c>
    </row>
    <row r="2433" spans="1:2" x14ac:dyDescent="0.2">
      <c r="A2433" s="117">
        <v>37130</v>
      </c>
      <c r="B2433" s="116">
        <f t="shared" si="37"/>
        <v>84</v>
      </c>
    </row>
    <row r="2434" spans="1:2" x14ac:dyDescent="0.2">
      <c r="A2434" s="117">
        <v>37131</v>
      </c>
      <c r="B2434" s="116">
        <f t="shared" si="37"/>
        <v>84</v>
      </c>
    </row>
    <row r="2435" spans="1:2" x14ac:dyDescent="0.2">
      <c r="A2435" s="117">
        <v>37132</v>
      </c>
      <c r="B2435" s="116">
        <f t="shared" si="37"/>
        <v>84</v>
      </c>
    </row>
    <row r="2436" spans="1:2" x14ac:dyDescent="0.2">
      <c r="A2436" s="117">
        <v>37133</v>
      </c>
      <c r="B2436" s="116">
        <f t="shared" ref="B2436:B2499" si="38">VLOOKUP(WEEKNUM(A2436),$D$4:$E$59,2)</f>
        <v>84</v>
      </c>
    </row>
    <row r="2437" spans="1:2" x14ac:dyDescent="0.2">
      <c r="A2437" s="117">
        <v>37134</v>
      </c>
      <c r="B2437" s="116">
        <f t="shared" si="38"/>
        <v>84</v>
      </c>
    </row>
    <row r="2438" spans="1:2" x14ac:dyDescent="0.2">
      <c r="A2438" s="117">
        <v>37135</v>
      </c>
      <c r="B2438" s="116">
        <f t="shared" si="38"/>
        <v>84</v>
      </c>
    </row>
    <row r="2439" spans="1:2" x14ac:dyDescent="0.2">
      <c r="A2439" s="117">
        <v>37136</v>
      </c>
      <c r="B2439" s="116">
        <f t="shared" si="38"/>
        <v>91</v>
      </c>
    </row>
    <row r="2440" spans="1:2" x14ac:dyDescent="0.2">
      <c r="A2440" s="117">
        <v>37137</v>
      </c>
      <c r="B2440" s="116">
        <f t="shared" si="38"/>
        <v>91</v>
      </c>
    </row>
    <row r="2441" spans="1:2" x14ac:dyDescent="0.2">
      <c r="A2441" s="117">
        <v>37138</v>
      </c>
      <c r="B2441" s="116">
        <f t="shared" si="38"/>
        <v>91</v>
      </c>
    </row>
    <row r="2442" spans="1:2" x14ac:dyDescent="0.2">
      <c r="A2442" s="117">
        <v>37139</v>
      </c>
      <c r="B2442" s="116">
        <f t="shared" si="38"/>
        <v>91</v>
      </c>
    </row>
    <row r="2443" spans="1:2" x14ac:dyDescent="0.2">
      <c r="A2443" s="117">
        <v>37140</v>
      </c>
      <c r="B2443" s="116">
        <f t="shared" si="38"/>
        <v>91</v>
      </c>
    </row>
    <row r="2444" spans="1:2" x14ac:dyDescent="0.2">
      <c r="A2444" s="117">
        <v>37141</v>
      </c>
      <c r="B2444" s="116">
        <f t="shared" si="38"/>
        <v>91</v>
      </c>
    </row>
    <row r="2445" spans="1:2" x14ac:dyDescent="0.2">
      <c r="A2445" s="117">
        <v>37142</v>
      </c>
      <c r="B2445" s="116">
        <f t="shared" si="38"/>
        <v>91</v>
      </c>
    </row>
    <row r="2446" spans="1:2" x14ac:dyDescent="0.2">
      <c r="A2446" s="117">
        <v>37143</v>
      </c>
      <c r="B2446" s="116">
        <f t="shared" si="38"/>
        <v>92</v>
      </c>
    </row>
    <row r="2447" spans="1:2" x14ac:dyDescent="0.2">
      <c r="A2447" s="117">
        <v>37144</v>
      </c>
      <c r="B2447" s="116">
        <f t="shared" si="38"/>
        <v>92</v>
      </c>
    </row>
    <row r="2448" spans="1:2" x14ac:dyDescent="0.2">
      <c r="A2448" s="117">
        <v>37145</v>
      </c>
      <c r="B2448" s="116">
        <f t="shared" si="38"/>
        <v>92</v>
      </c>
    </row>
    <row r="2449" spans="1:2" x14ac:dyDescent="0.2">
      <c r="A2449" s="117">
        <v>37146</v>
      </c>
      <c r="B2449" s="116">
        <f t="shared" si="38"/>
        <v>92</v>
      </c>
    </row>
    <row r="2450" spans="1:2" x14ac:dyDescent="0.2">
      <c r="A2450" s="117">
        <v>37147</v>
      </c>
      <c r="B2450" s="116">
        <f t="shared" si="38"/>
        <v>92</v>
      </c>
    </row>
    <row r="2451" spans="1:2" x14ac:dyDescent="0.2">
      <c r="A2451" s="117">
        <v>37148</v>
      </c>
      <c r="B2451" s="116">
        <f t="shared" si="38"/>
        <v>92</v>
      </c>
    </row>
    <row r="2452" spans="1:2" x14ac:dyDescent="0.2">
      <c r="A2452" s="117">
        <v>37149</v>
      </c>
      <c r="B2452" s="116">
        <f t="shared" si="38"/>
        <v>92</v>
      </c>
    </row>
    <row r="2453" spans="1:2" x14ac:dyDescent="0.2">
      <c r="A2453" s="117">
        <v>37150</v>
      </c>
      <c r="B2453" s="116">
        <f t="shared" si="38"/>
        <v>93</v>
      </c>
    </row>
    <row r="2454" spans="1:2" x14ac:dyDescent="0.2">
      <c r="A2454" s="117">
        <v>37151</v>
      </c>
      <c r="B2454" s="116">
        <f t="shared" si="38"/>
        <v>93</v>
      </c>
    </row>
    <row r="2455" spans="1:2" x14ac:dyDescent="0.2">
      <c r="A2455" s="117">
        <v>37152</v>
      </c>
      <c r="B2455" s="116">
        <f t="shared" si="38"/>
        <v>93</v>
      </c>
    </row>
    <row r="2456" spans="1:2" x14ac:dyDescent="0.2">
      <c r="A2456" s="117">
        <v>37153</v>
      </c>
      <c r="B2456" s="116">
        <f t="shared" si="38"/>
        <v>93</v>
      </c>
    </row>
    <row r="2457" spans="1:2" x14ac:dyDescent="0.2">
      <c r="A2457" s="117">
        <v>37154</v>
      </c>
      <c r="B2457" s="116">
        <f t="shared" si="38"/>
        <v>93</v>
      </c>
    </row>
    <row r="2458" spans="1:2" x14ac:dyDescent="0.2">
      <c r="A2458" s="117">
        <v>37155</v>
      </c>
      <c r="B2458" s="116">
        <f t="shared" si="38"/>
        <v>93</v>
      </c>
    </row>
    <row r="2459" spans="1:2" x14ac:dyDescent="0.2">
      <c r="A2459" s="117">
        <v>37156</v>
      </c>
      <c r="B2459" s="116">
        <f t="shared" si="38"/>
        <v>93</v>
      </c>
    </row>
    <row r="2460" spans="1:2" x14ac:dyDescent="0.2">
      <c r="A2460" s="117">
        <v>37157</v>
      </c>
      <c r="B2460" s="116">
        <f t="shared" si="38"/>
        <v>94</v>
      </c>
    </row>
    <row r="2461" spans="1:2" x14ac:dyDescent="0.2">
      <c r="A2461" s="117">
        <v>37158</v>
      </c>
      <c r="B2461" s="116">
        <f t="shared" si="38"/>
        <v>94</v>
      </c>
    </row>
    <row r="2462" spans="1:2" x14ac:dyDescent="0.2">
      <c r="A2462" s="117">
        <v>37159</v>
      </c>
      <c r="B2462" s="116">
        <f t="shared" si="38"/>
        <v>94</v>
      </c>
    </row>
    <row r="2463" spans="1:2" x14ac:dyDescent="0.2">
      <c r="A2463" s="117">
        <v>37160</v>
      </c>
      <c r="B2463" s="116">
        <f t="shared" si="38"/>
        <v>94</v>
      </c>
    </row>
    <row r="2464" spans="1:2" x14ac:dyDescent="0.2">
      <c r="A2464" s="117">
        <v>37161</v>
      </c>
      <c r="B2464" s="116">
        <f t="shared" si="38"/>
        <v>94</v>
      </c>
    </row>
    <row r="2465" spans="1:2" x14ac:dyDescent="0.2">
      <c r="A2465" s="117">
        <v>37162</v>
      </c>
      <c r="B2465" s="116">
        <f t="shared" si="38"/>
        <v>94</v>
      </c>
    </row>
    <row r="2466" spans="1:2" x14ac:dyDescent="0.2">
      <c r="A2466" s="117">
        <v>37163</v>
      </c>
      <c r="B2466" s="116">
        <f t="shared" si="38"/>
        <v>94</v>
      </c>
    </row>
    <row r="2467" spans="1:2" x14ac:dyDescent="0.2">
      <c r="A2467" s="117">
        <v>37164</v>
      </c>
      <c r="B2467" s="116">
        <f t="shared" si="38"/>
        <v>101</v>
      </c>
    </row>
    <row r="2468" spans="1:2" x14ac:dyDescent="0.2">
      <c r="A2468" s="117">
        <v>37165</v>
      </c>
      <c r="B2468" s="116">
        <f t="shared" si="38"/>
        <v>101</v>
      </c>
    </row>
    <row r="2469" spans="1:2" x14ac:dyDescent="0.2">
      <c r="A2469" s="117">
        <v>37166</v>
      </c>
      <c r="B2469" s="116">
        <f t="shared" si="38"/>
        <v>101</v>
      </c>
    </row>
    <row r="2470" spans="1:2" x14ac:dyDescent="0.2">
      <c r="A2470" s="117">
        <v>37167</v>
      </c>
      <c r="B2470" s="116">
        <f t="shared" si="38"/>
        <v>101</v>
      </c>
    </row>
    <row r="2471" spans="1:2" x14ac:dyDescent="0.2">
      <c r="A2471" s="117">
        <v>37168</v>
      </c>
      <c r="B2471" s="116">
        <f t="shared" si="38"/>
        <v>101</v>
      </c>
    </row>
    <row r="2472" spans="1:2" x14ac:dyDescent="0.2">
      <c r="A2472" s="117">
        <v>37169</v>
      </c>
      <c r="B2472" s="116">
        <f t="shared" si="38"/>
        <v>101</v>
      </c>
    </row>
    <row r="2473" spans="1:2" x14ac:dyDescent="0.2">
      <c r="A2473" s="117">
        <v>37170</v>
      </c>
      <c r="B2473" s="116">
        <f t="shared" si="38"/>
        <v>101</v>
      </c>
    </row>
    <row r="2474" spans="1:2" x14ac:dyDescent="0.2">
      <c r="A2474" s="117">
        <v>37171</v>
      </c>
      <c r="B2474" s="116">
        <f t="shared" si="38"/>
        <v>102</v>
      </c>
    </row>
    <row r="2475" spans="1:2" x14ac:dyDescent="0.2">
      <c r="A2475" s="117">
        <v>37172</v>
      </c>
      <c r="B2475" s="116">
        <f t="shared" si="38"/>
        <v>102</v>
      </c>
    </row>
    <row r="2476" spans="1:2" x14ac:dyDescent="0.2">
      <c r="A2476" s="117">
        <v>37173</v>
      </c>
      <c r="B2476" s="116">
        <f t="shared" si="38"/>
        <v>102</v>
      </c>
    </row>
    <row r="2477" spans="1:2" x14ac:dyDescent="0.2">
      <c r="A2477" s="117">
        <v>37174</v>
      </c>
      <c r="B2477" s="116">
        <f t="shared" si="38"/>
        <v>102</v>
      </c>
    </row>
    <row r="2478" spans="1:2" x14ac:dyDescent="0.2">
      <c r="A2478" s="117">
        <v>37175</v>
      </c>
      <c r="B2478" s="116">
        <f t="shared" si="38"/>
        <v>102</v>
      </c>
    </row>
    <row r="2479" spans="1:2" x14ac:dyDescent="0.2">
      <c r="A2479" s="117">
        <v>37176</v>
      </c>
      <c r="B2479" s="116">
        <f t="shared" si="38"/>
        <v>102</v>
      </c>
    </row>
    <row r="2480" spans="1:2" x14ac:dyDescent="0.2">
      <c r="A2480" s="117">
        <v>37177</v>
      </c>
      <c r="B2480" s="116">
        <f t="shared" si="38"/>
        <v>102</v>
      </c>
    </row>
    <row r="2481" spans="1:2" x14ac:dyDescent="0.2">
      <c r="A2481" s="117">
        <v>37178</v>
      </c>
      <c r="B2481" s="116">
        <f t="shared" si="38"/>
        <v>103</v>
      </c>
    </row>
    <row r="2482" spans="1:2" x14ac:dyDescent="0.2">
      <c r="A2482" s="117">
        <v>37179</v>
      </c>
      <c r="B2482" s="116">
        <f t="shared" si="38"/>
        <v>103</v>
      </c>
    </row>
    <row r="2483" spans="1:2" x14ac:dyDescent="0.2">
      <c r="A2483" s="117">
        <v>37180</v>
      </c>
      <c r="B2483" s="116">
        <f t="shared" si="38"/>
        <v>103</v>
      </c>
    </row>
    <row r="2484" spans="1:2" x14ac:dyDescent="0.2">
      <c r="A2484" s="117">
        <v>37181</v>
      </c>
      <c r="B2484" s="116">
        <f t="shared" si="38"/>
        <v>103</v>
      </c>
    </row>
    <row r="2485" spans="1:2" x14ac:dyDescent="0.2">
      <c r="A2485" s="117">
        <v>37182</v>
      </c>
      <c r="B2485" s="116">
        <f t="shared" si="38"/>
        <v>103</v>
      </c>
    </row>
    <row r="2486" spans="1:2" x14ac:dyDescent="0.2">
      <c r="A2486" s="117">
        <v>37183</v>
      </c>
      <c r="B2486" s="116">
        <f t="shared" si="38"/>
        <v>103</v>
      </c>
    </row>
    <row r="2487" spans="1:2" x14ac:dyDescent="0.2">
      <c r="A2487" s="117">
        <v>37184</v>
      </c>
      <c r="B2487" s="116">
        <f t="shared" si="38"/>
        <v>103</v>
      </c>
    </row>
    <row r="2488" spans="1:2" x14ac:dyDescent="0.2">
      <c r="A2488" s="117">
        <v>37185</v>
      </c>
      <c r="B2488" s="116">
        <f t="shared" si="38"/>
        <v>104</v>
      </c>
    </row>
    <row r="2489" spans="1:2" x14ac:dyDescent="0.2">
      <c r="A2489" s="117">
        <v>37186</v>
      </c>
      <c r="B2489" s="116">
        <f t="shared" si="38"/>
        <v>104</v>
      </c>
    </row>
    <row r="2490" spans="1:2" x14ac:dyDescent="0.2">
      <c r="A2490" s="117">
        <v>37187</v>
      </c>
      <c r="B2490" s="116">
        <f t="shared" si="38"/>
        <v>104</v>
      </c>
    </row>
    <row r="2491" spans="1:2" x14ac:dyDescent="0.2">
      <c r="A2491" s="117">
        <v>37188</v>
      </c>
      <c r="B2491" s="116">
        <f t="shared" si="38"/>
        <v>104</v>
      </c>
    </row>
    <row r="2492" spans="1:2" x14ac:dyDescent="0.2">
      <c r="A2492" s="117">
        <v>37189</v>
      </c>
      <c r="B2492" s="116">
        <f t="shared" si="38"/>
        <v>104</v>
      </c>
    </row>
    <row r="2493" spans="1:2" x14ac:dyDescent="0.2">
      <c r="A2493" s="117">
        <v>37190</v>
      </c>
      <c r="B2493" s="116">
        <f t="shared" si="38"/>
        <v>104</v>
      </c>
    </row>
    <row r="2494" spans="1:2" x14ac:dyDescent="0.2">
      <c r="A2494" s="117">
        <v>37191</v>
      </c>
      <c r="B2494" s="116">
        <f t="shared" si="38"/>
        <v>104</v>
      </c>
    </row>
    <row r="2495" spans="1:2" x14ac:dyDescent="0.2">
      <c r="A2495" s="117">
        <v>37192</v>
      </c>
      <c r="B2495" s="116">
        <f t="shared" si="38"/>
        <v>105</v>
      </c>
    </row>
    <row r="2496" spans="1:2" x14ac:dyDescent="0.2">
      <c r="A2496" s="117">
        <v>37193</v>
      </c>
      <c r="B2496" s="116">
        <f t="shared" si="38"/>
        <v>105</v>
      </c>
    </row>
    <row r="2497" spans="1:2" x14ac:dyDescent="0.2">
      <c r="A2497" s="117">
        <v>37194</v>
      </c>
      <c r="B2497" s="116">
        <f t="shared" si="38"/>
        <v>105</v>
      </c>
    </row>
    <row r="2498" spans="1:2" x14ac:dyDescent="0.2">
      <c r="A2498" s="117">
        <v>37195</v>
      </c>
      <c r="B2498" s="116">
        <f t="shared" si="38"/>
        <v>105</v>
      </c>
    </row>
    <row r="2499" spans="1:2" x14ac:dyDescent="0.2">
      <c r="A2499" s="117">
        <v>37196</v>
      </c>
      <c r="B2499" s="116">
        <f t="shared" si="38"/>
        <v>105</v>
      </c>
    </row>
    <row r="2500" spans="1:2" x14ac:dyDescent="0.2">
      <c r="A2500" s="117">
        <v>37197</v>
      </c>
      <c r="B2500" s="116">
        <f t="shared" ref="B2500:B2563" si="39">VLOOKUP(WEEKNUM(A2500),$D$4:$E$59,2)</f>
        <v>105</v>
      </c>
    </row>
    <row r="2501" spans="1:2" x14ac:dyDescent="0.2">
      <c r="A2501" s="117">
        <v>37198</v>
      </c>
      <c r="B2501" s="116">
        <f t="shared" si="39"/>
        <v>105</v>
      </c>
    </row>
    <row r="2502" spans="1:2" x14ac:dyDescent="0.2">
      <c r="A2502" s="117">
        <v>37199</v>
      </c>
      <c r="B2502" s="116">
        <f t="shared" si="39"/>
        <v>111</v>
      </c>
    </row>
    <row r="2503" spans="1:2" x14ac:dyDescent="0.2">
      <c r="A2503" s="117">
        <v>37200</v>
      </c>
      <c r="B2503" s="116">
        <f t="shared" si="39"/>
        <v>111</v>
      </c>
    </row>
    <row r="2504" spans="1:2" x14ac:dyDescent="0.2">
      <c r="A2504" s="117">
        <v>37201</v>
      </c>
      <c r="B2504" s="116">
        <f t="shared" si="39"/>
        <v>111</v>
      </c>
    </row>
    <row r="2505" spans="1:2" x14ac:dyDescent="0.2">
      <c r="A2505" s="117">
        <v>37202</v>
      </c>
      <c r="B2505" s="116">
        <f t="shared" si="39"/>
        <v>111</v>
      </c>
    </row>
    <row r="2506" spans="1:2" x14ac:dyDescent="0.2">
      <c r="A2506" s="117">
        <v>37203</v>
      </c>
      <c r="B2506" s="116">
        <f t="shared" si="39"/>
        <v>111</v>
      </c>
    </row>
    <row r="2507" spans="1:2" x14ac:dyDescent="0.2">
      <c r="A2507" s="117">
        <v>37204</v>
      </c>
      <c r="B2507" s="116">
        <f t="shared" si="39"/>
        <v>111</v>
      </c>
    </row>
    <row r="2508" spans="1:2" x14ac:dyDescent="0.2">
      <c r="A2508" s="117">
        <v>37205</v>
      </c>
      <c r="B2508" s="116">
        <f t="shared" si="39"/>
        <v>111</v>
      </c>
    </row>
    <row r="2509" spans="1:2" x14ac:dyDescent="0.2">
      <c r="A2509" s="117">
        <v>37206</v>
      </c>
      <c r="B2509" s="116">
        <f t="shared" si="39"/>
        <v>112</v>
      </c>
    </row>
    <row r="2510" spans="1:2" x14ac:dyDescent="0.2">
      <c r="A2510" s="117">
        <v>37207</v>
      </c>
      <c r="B2510" s="116">
        <f t="shared" si="39"/>
        <v>112</v>
      </c>
    </row>
    <row r="2511" spans="1:2" x14ac:dyDescent="0.2">
      <c r="A2511" s="117">
        <v>37208</v>
      </c>
      <c r="B2511" s="116">
        <f t="shared" si="39"/>
        <v>112</v>
      </c>
    </row>
    <row r="2512" spans="1:2" x14ac:dyDescent="0.2">
      <c r="A2512" s="117">
        <v>37209</v>
      </c>
      <c r="B2512" s="116">
        <f t="shared" si="39"/>
        <v>112</v>
      </c>
    </row>
    <row r="2513" spans="1:2" x14ac:dyDescent="0.2">
      <c r="A2513" s="117">
        <v>37210</v>
      </c>
      <c r="B2513" s="116">
        <f t="shared" si="39"/>
        <v>112</v>
      </c>
    </row>
    <row r="2514" spans="1:2" x14ac:dyDescent="0.2">
      <c r="A2514" s="117">
        <v>37211</v>
      </c>
      <c r="B2514" s="116">
        <f t="shared" si="39"/>
        <v>112</v>
      </c>
    </row>
    <row r="2515" spans="1:2" x14ac:dyDescent="0.2">
      <c r="A2515" s="117">
        <v>37212</v>
      </c>
      <c r="B2515" s="116">
        <f t="shared" si="39"/>
        <v>112</v>
      </c>
    </row>
    <row r="2516" spans="1:2" x14ac:dyDescent="0.2">
      <c r="A2516" s="117">
        <v>37213</v>
      </c>
      <c r="B2516" s="116">
        <f t="shared" si="39"/>
        <v>113</v>
      </c>
    </row>
    <row r="2517" spans="1:2" x14ac:dyDescent="0.2">
      <c r="A2517" s="117">
        <v>37214</v>
      </c>
      <c r="B2517" s="116">
        <f t="shared" si="39"/>
        <v>113</v>
      </c>
    </row>
    <row r="2518" spans="1:2" x14ac:dyDescent="0.2">
      <c r="A2518" s="117">
        <v>37215</v>
      </c>
      <c r="B2518" s="116">
        <f t="shared" si="39"/>
        <v>113</v>
      </c>
    </row>
    <row r="2519" spans="1:2" x14ac:dyDescent="0.2">
      <c r="A2519" s="117">
        <v>37216</v>
      </c>
      <c r="B2519" s="116">
        <f t="shared" si="39"/>
        <v>113</v>
      </c>
    </row>
    <row r="2520" spans="1:2" x14ac:dyDescent="0.2">
      <c r="A2520" s="117">
        <v>37217</v>
      </c>
      <c r="B2520" s="116">
        <f t="shared" si="39"/>
        <v>113</v>
      </c>
    </row>
    <row r="2521" spans="1:2" x14ac:dyDescent="0.2">
      <c r="A2521" s="117">
        <v>37218</v>
      </c>
      <c r="B2521" s="116">
        <f t="shared" si="39"/>
        <v>113</v>
      </c>
    </row>
    <row r="2522" spans="1:2" x14ac:dyDescent="0.2">
      <c r="A2522" s="117">
        <v>37219</v>
      </c>
      <c r="B2522" s="116">
        <f t="shared" si="39"/>
        <v>113</v>
      </c>
    </row>
    <row r="2523" spans="1:2" x14ac:dyDescent="0.2">
      <c r="A2523" s="117">
        <v>37220</v>
      </c>
      <c r="B2523" s="116">
        <f t="shared" si="39"/>
        <v>114</v>
      </c>
    </row>
    <row r="2524" spans="1:2" x14ac:dyDescent="0.2">
      <c r="A2524" s="117">
        <v>37221</v>
      </c>
      <c r="B2524" s="116">
        <f t="shared" si="39"/>
        <v>114</v>
      </c>
    </row>
    <row r="2525" spans="1:2" x14ac:dyDescent="0.2">
      <c r="A2525" s="117">
        <v>37222</v>
      </c>
      <c r="B2525" s="116">
        <f t="shared" si="39"/>
        <v>114</v>
      </c>
    </row>
    <row r="2526" spans="1:2" x14ac:dyDescent="0.2">
      <c r="A2526" s="117">
        <v>37223</v>
      </c>
      <c r="B2526" s="116">
        <f t="shared" si="39"/>
        <v>114</v>
      </c>
    </row>
    <row r="2527" spans="1:2" x14ac:dyDescent="0.2">
      <c r="A2527" s="117">
        <v>37224</v>
      </c>
      <c r="B2527" s="116">
        <f t="shared" si="39"/>
        <v>114</v>
      </c>
    </row>
    <row r="2528" spans="1:2" x14ac:dyDescent="0.2">
      <c r="A2528" s="117">
        <v>37225</v>
      </c>
      <c r="B2528" s="116">
        <f t="shared" si="39"/>
        <v>114</v>
      </c>
    </row>
    <row r="2529" spans="1:2" x14ac:dyDescent="0.2">
      <c r="A2529" s="117">
        <v>37226</v>
      </c>
      <c r="B2529" s="116">
        <f t="shared" si="39"/>
        <v>114</v>
      </c>
    </row>
    <row r="2530" spans="1:2" x14ac:dyDescent="0.2">
      <c r="A2530" s="117">
        <v>37227</v>
      </c>
      <c r="B2530" s="116">
        <f t="shared" si="39"/>
        <v>115</v>
      </c>
    </row>
    <row r="2531" spans="1:2" x14ac:dyDescent="0.2">
      <c r="A2531" s="117">
        <v>37228</v>
      </c>
      <c r="B2531" s="116">
        <f t="shared" si="39"/>
        <v>115</v>
      </c>
    </row>
    <row r="2532" spans="1:2" x14ac:dyDescent="0.2">
      <c r="A2532" s="117">
        <v>37229</v>
      </c>
      <c r="B2532" s="116">
        <f t="shared" si="39"/>
        <v>115</v>
      </c>
    </row>
    <row r="2533" spans="1:2" x14ac:dyDescent="0.2">
      <c r="A2533" s="117">
        <v>37230</v>
      </c>
      <c r="B2533" s="116">
        <f t="shared" si="39"/>
        <v>115</v>
      </c>
    </row>
    <row r="2534" spans="1:2" x14ac:dyDescent="0.2">
      <c r="A2534" s="117">
        <v>37231</v>
      </c>
      <c r="B2534" s="116">
        <f t="shared" si="39"/>
        <v>115</v>
      </c>
    </row>
    <row r="2535" spans="1:2" x14ac:dyDescent="0.2">
      <c r="A2535" s="117">
        <v>37232</v>
      </c>
      <c r="B2535" s="116">
        <f t="shared" si="39"/>
        <v>115</v>
      </c>
    </row>
    <row r="2536" spans="1:2" x14ac:dyDescent="0.2">
      <c r="A2536" s="117">
        <v>37233</v>
      </c>
      <c r="B2536" s="116">
        <f t="shared" si="39"/>
        <v>115</v>
      </c>
    </row>
    <row r="2537" spans="1:2" x14ac:dyDescent="0.2">
      <c r="A2537" s="117">
        <v>37234</v>
      </c>
      <c r="B2537" s="116">
        <f t="shared" si="39"/>
        <v>121</v>
      </c>
    </row>
    <row r="2538" spans="1:2" x14ac:dyDescent="0.2">
      <c r="A2538" s="117">
        <v>37235</v>
      </c>
      <c r="B2538" s="116">
        <f t="shared" si="39"/>
        <v>121</v>
      </c>
    </row>
    <row r="2539" spans="1:2" x14ac:dyDescent="0.2">
      <c r="A2539" s="117">
        <v>37236</v>
      </c>
      <c r="B2539" s="116">
        <f t="shared" si="39"/>
        <v>121</v>
      </c>
    </row>
    <row r="2540" spans="1:2" x14ac:dyDescent="0.2">
      <c r="A2540" s="117">
        <v>37237</v>
      </c>
      <c r="B2540" s="116">
        <f t="shared" si="39"/>
        <v>121</v>
      </c>
    </row>
    <row r="2541" spans="1:2" x14ac:dyDescent="0.2">
      <c r="A2541" s="117">
        <v>37238</v>
      </c>
      <c r="B2541" s="116">
        <f t="shared" si="39"/>
        <v>121</v>
      </c>
    </row>
    <row r="2542" spans="1:2" x14ac:dyDescent="0.2">
      <c r="A2542" s="117">
        <v>37239</v>
      </c>
      <c r="B2542" s="116">
        <f t="shared" si="39"/>
        <v>121</v>
      </c>
    </row>
    <row r="2543" spans="1:2" x14ac:dyDescent="0.2">
      <c r="A2543" s="117">
        <v>37240</v>
      </c>
      <c r="B2543" s="116">
        <f t="shared" si="39"/>
        <v>121</v>
      </c>
    </row>
    <row r="2544" spans="1:2" x14ac:dyDescent="0.2">
      <c r="A2544" s="117">
        <v>37241</v>
      </c>
      <c r="B2544" s="116">
        <f t="shared" si="39"/>
        <v>122</v>
      </c>
    </row>
    <row r="2545" spans="1:2" x14ac:dyDescent="0.2">
      <c r="A2545" s="117">
        <v>37242</v>
      </c>
      <c r="B2545" s="116">
        <f t="shared" si="39"/>
        <v>122</v>
      </c>
    </row>
    <row r="2546" spans="1:2" x14ac:dyDescent="0.2">
      <c r="A2546" s="117">
        <v>37243</v>
      </c>
      <c r="B2546" s="116">
        <f t="shared" si="39"/>
        <v>122</v>
      </c>
    </row>
    <row r="2547" spans="1:2" x14ac:dyDescent="0.2">
      <c r="A2547" s="117">
        <v>37244</v>
      </c>
      <c r="B2547" s="116">
        <f t="shared" si="39"/>
        <v>122</v>
      </c>
    </row>
    <row r="2548" spans="1:2" x14ac:dyDescent="0.2">
      <c r="A2548" s="117">
        <v>37245</v>
      </c>
      <c r="B2548" s="116">
        <f t="shared" si="39"/>
        <v>122</v>
      </c>
    </row>
    <row r="2549" spans="1:2" x14ac:dyDescent="0.2">
      <c r="A2549" s="117">
        <v>37246</v>
      </c>
      <c r="B2549" s="116">
        <f t="shared" si="39"/>
        <v>122</v>
      </c>
    </row>
    <row r="2550" spans="1:2" x14ac:dyDescent="0.2">
      <c r="A2550" s="117">
        <v>37247</v>
      </c>
      <c r="B2550" s="116">
        <f t="shared" si="39"/>
        <v>122</v>
      </c>
    </row>
    <row r="2551" spans="1:2" x14ac:dyDescent="0.2">
      <c r="A2551" s="117">
        <v>37248</v>
      </c>
      <c r="B2551" s="116">
        <f t="shared" si="39"/>
        <v>123</v>
      </c>
    </row>
    <row r="2552" spans="1:2" x14ac:dyDescent="0.2">
      <c r="A2552" s="117">
        <v>37249</v>
      </c>
      <c r="B2552" s="116">
        <f t="shared" si="39"/>
        <v>123</v>
      </c>
    </row>
    <row r="2553" spans="1:2" x14ac:dyDescent="0.2">
      <c r="A2553" s="117">
        <v>37250</v>
      </c>
      <c r="B2553" s="116">
        <f t="shared" si="39"/>
        <v>123</v>
      </c>
    </row>
    <row r="2554" spans="1:2" x14ac:dyDescent="0.2">
      <c r="A2554" s="117">
        <v>37251</v>
      </c>
      <c r="B2554" s="116">
        <f t="shared" si="39"/>
        <v>123</v>
      </c>
    </row>
    <row r="2555" spans="1:2" x14ac:dyDescent="0.2">
      <c r="A2555" s="117">
        <v>37252</v>
      </c>
      <c r="B2555" s="116">
        <f t="shared" si="39"/>
        <v>123</v>
      </c>
    </row>
    <row r="2556" spans="1:2" x14ac:dyDescent="0.2">
      <c r="A2556" s="117">
        <v>37253</v>
      </c>
      <c r="B2556" s="116">
        <f t="shared" si="39"/>
        <v>123</v>
      </c>
    </row>
    <row r="2557" spans="1:2" x14ac:dyDescent="0.2">
      <c r="A2557" s="117">
        <v>37254</v>
      </c>
      <c r="B2557" s="116">
        <f t="shared" si="39"/>
        <v>123</v>
      </c>
    </row>
    <row r="2558" spans="1:2" x14ac:dyDescent="0.2">
      <c r="A2558" s="117">
        <v>37255</v>
      </c>
      <c r="B2558" s="116">
        <f t="shared" si="39"/>
        <v>124</v>
      </c>
    </row>
    <row r="2559" spans="1:2" x14ac:dyDescent="0.2">
      <c r="A2559" s="117">
        <v>37256</v>
      </c>
      <c r="B2559" s="116">
        <f t="shared" si="39"/>
        <v>124</v>
      </c>
    </row>
    <row r="2560" spans="1:2" x14ac:dyDescent="0.2">
      <c r="A2560" s="117">
        <v>37257</v>
      </c>
      <c r="B2560" s="116">
        <f t="shared" si="39"/>
        <v>11</v>
      </c>
    </row>
    <row r="2561" spans="1:2" x14ac:dyDescent="0.2">
      <c r="A2561" s="117">
        <v>37258</v>
      </c>
      <c r="B2561" s="116">
        <f t="shared" si="39"/>
        <v>11</v>
      </c>
    </row>
    <row r="2562" spans="1:2" x14ac:dyDescent="0.2">
      <c r="A2562" s="117">
        <v>37259</v>
      </c>
      <c r="B2562" s="116">
        <f t="shared" si="39"/>
        <v>11</v>
      </c>
    </row>
    <row r="2563" spans="1:2" x14ac:dyDescent="0.2">
      <c r="A2563" s="117">
        <v>37260</v>
      </c>
      <c r="B2563" s="116">
        <f t="shared" si="39"/>
        <v>11</v>
      </c>
    </row>
    <row r="2564" spans="1:2" x14ac:dyDescent="0.2">
      <c r="A2564" s="117">
        <v>37261</v>
      </c>
      <c r="B2564" s="116">
        <f t="shared" ref="B2564:B2627" si="40">VLOOKUP(WEEKNUM(A2564),$D$4:$E$59,2)</f>
        <v>11</v>
      </c>
    </row>
    <row r="2565" spans="1:2" x14ac:dyDescent="0.2">
      <c r="A2565" s="117">
        <v>37262</v>
      </c>
      <c r="B2565" s="116">
        <f t="shared" si="40"/>
        <v>12</v>
      </c>
    </row>
    <row r="2566" spans="1:2" x14ac:dyDescent="0.2">
      <c r="A2566" s="117">
        <v>37263</v>
      </c>
      <c r="B2566" s="116">
        <f t="shared" si="40"/>
        <v>12</v>
      </c>
    </row>
    <row r="2567" spans="1:2" x14ac:dyDescent="0.2">
      <c r="A2567" s="117">
        <v>37264</v>
      </c>
      <c r="B2567" s="116">
        <f t="shared" si="40"/>
        <v>12</v>
      </c>
    </row>
    <row r="2568" spans="1:2" x14ac:dyDescent="0.2">
      <c r="A2568" s="117">
        <v>37265</v>
      </c>
      <c r="B2568" s="116">
        <f t="shared" si="40"/>
        <v>12</v>
      </c>
    </row>
    <row r="2569" spans="1:2" x14ac:dyDescent="0.2">
      <c r="A2569" s="117">
        <v>37266</v>
      </c>
      <c r="B2569" s="116">
        <f t="shared" si="40"/>
        <v>12</v>
      </c>
    </row>
    <row r="2570" spans="1:2" x14ac:dyDescent="0.2">
      <c r="A2570" s="117">
        <v>37267</v>
      </c>
      <c r="B2570" s="116">
        <f t="shared" si="40"/>
        <v>12</v>
      </c>
    </row>
    <row r="2571" spans="1:2" x14ac:dyDescent="0.2">
      <c r="A2571" s="117">
        <v>37268</v>
      </c>
      <c r="B2571" s="116">
        <f t="shared" si="40"/>
        <v>12</v>
      </c>
    </row>
    <row r="2572" spans="1:2" x14ac:dyDescent="0.2">
      <c r="A2572" s="117">
        <v>37269</v>
      </c>
      <c r="B2572" s="116">
        <f t="shared" si="40"/>
        <v>13</v>
      </c>
    </row>
    <row r="2573" spans="1:2" x14ac:dyDescent="0.2">
      <c r="A2573" s="117">
        <v>37270</v>
      </c>
      <c r="B2573" s="116">
        <f t="shared" si="40"/>
        <v>13</v>
      </c>
    </row>
    <row r="2574" spans="1:2" x14ac:dyDescent="0.2">
      <c r="A2574" s="117">
        <v>37271</v>
      </c>
      <c r="B2574" s="116">
        <f t="shared" si="40"/>
        <v>13</v>
      </c>
    </row>
    <row r="2575" spans="1:2" x14ac:dyDescent="0.2">
      <c r="A2575" s="117">
        <v>37272</v>
      </c>
      <c r="B2575" s="116">
        <f t="shared" si="40"/>
        <v>13</v>
      </c>
    </row>
    <row r="2576" spans="1:2" x14ac:dyDescent="0.2">
      <c r="A2576" s="117">
        <v>37273</v>
      </c>
      <c r="B2576" s="116">
        <f t="shared" si="40"/>
        <v>13</v>
      </c>
    </row>
    <row r="2577" spans="1:2" x14ac:dyDescent="0.2">
      <c r="A2577" s="117">
        <v>37274</v>
      </c>
      <c r="B2577" s="116">
        <f t="shared" si="40"/>
        <v>13</v>
      </c>
    </row>
    <row r="2578" spans="1:2" x14ac:dyDescent="0.2">
      <c r="A2578" s="117">
        <v>37275</v>
      </c>
      <c r="B2578" s="116">
        <f t="shared" si="40"/>
        <v>13</v>
      </c>
    </row>
    <row r="2579" spans="1:2" x14ac:dyDescent="0.2">
      <c r="A2579" s="117">
        <v>37276</v>
      </c>
      <c r="B2579" s="116">
        <f t="shared" si="40"/>
        <v>14</v>
      </c>
    </row>
    <row r="2580" spans="1:2" x14ac:dyDescent="0.2">
      <c r="A2580" s="117">
        <v>37277</v>
      </c>
      <c r="B2580" s="116">
        <f t="shared" si="40"/>
        <v>14</v>
      </c>
    </row>
    <row r="2581" spans="1:2" x14ac:dyDescent="0.2">
      <c r="A2581" s="117">
        <v>37278</v>
      </c>
      <c r="B2581" s="116">
        <f t="shared" si="40"/>
        <v>14</v>
      </c>
    </row>
    <row r="2582" spans="1:2" x14ac:dyDescent="0.2">
      <c r="A2582" s="117">
        <v>37279</v>
      </c>
      <c r="B2582" s="116">
        <f t="shared" si="40"/>
        <v>14</v>
      </c>
    </row>
    <row r="2583" spans="1:2" x14ac:dyDescent="0.2">
      <c r="A2583" s="117">
        <v>37280</v>
      </c>
      <c r="B2583" s="116">
        <f t="shared" si="40"/>
        <v>14</v>
      </c>
    </row>
    <row r="2584" spans="1:2" x14ac:dyDescent="0.2">
      <c r="A2584" s="117">
        <v>37281</v>
      </c>
      <c r="B2584" s="116">
        <f t="shared" si="40"/>
        <v>14</v>
      </c>
    </row>
    <row r="2585" spans="1:2" x14ac:dyDescent="0.2">
      <c r="A2585" s="117">
        <v>37282</v>
      </c>
      <c r="B2585" s="116">
        <f t="shared" si="40"/>
        <v>14</v>
      </c>
    </row>
    <row r="2586" spans="1:2" x14ac:dyDescent="0.2">
      <c r="A2586" s="117">
        <v>37283</v>
      </c>
      <c r="B2586" s="116">
        <f t="shared" si="40"/>
        <v>15</v>
      </c>
    </row>
    <row r="2587" spans="1:2" x14ac:dyDescent="0.2">
      <c r="A2587" s="117">
        <v>37284</v>
      </c>
      <c r="B2587" s="116">
        <f t="shared" si="40"/>
        <v>15</v>
      </c>
    </row>
    <row r="2588" spans="1:2" x14ac:dyDescent="0.2">
      <c r="A2588" s="117">
        <v>37285</v>
      </c>
      <c r="B2588" s="116">
        <f t="shared" si="40"/>
        <v>15</v>
      </c>
    </row>
    <row r="2589" spans="1:2" x14ac:dyDescent="0.2">
      <c r="A2589" s="117">
        <v>37286</v>
      </c>
      <c r="B2589" s="116">
        <f t="shared" si="40"/>
        <v>15</v>
      </c>
    </row>
    <row r="2590" spans="1:2" x14ac:dyDescent="0.2">
      <c r="A2590" s="117">
        <v>37287</v>
      </c>
      <c r="B2590" s="116">
        <f t="shared" si="40"/>
        <v>15</v>
      </c>
    </row>
    <row r="2591" spans="1:2" x14ac:dyDescent="0.2">
      <c r="A2591" s="117">
        <v>37288</v>
      </c>
      <c r="B2591" s="116">
        <f t="shared" si="40"/>
        <v>15</v>
      </c>
    </row>
    <row r="2592" spans="1:2" x14ac:dyDescent="0.2">
      <c r="A2592" s="117">
        <v>37289</v>
      </c>
      <c r="B2592" s="116">
        <f t="shared" si="40"/>
        <v>15</v>
      </c>
    </row>
    <row r="2593" spans="1:2" x14ac:dyDescent="0.2">
      <c r="A2593" s="117">
        <v>37290</v>
      </c>
      <c r="B2593" s="116">
        <f t="shared" si="40"/>
        <v>21</v>
      </c>
    </row>
    <row r="2594" spans="1:2" x14ac:dyDescent="0.2">
      <c r="A2594" s="117">
        <v>37291</v>
      </c>
      <c r="B2594" s="116">
        <f t="shared" si="40"/>
        <v>21</v>
      </c>
    </row>
    <row r="2595" spans="1:2" x14ac:dyDescent="0.2">
      <c r="A2595" s="117">
        <v>37292</v>
      </c>
      <c r="B2595" s="116">
        <f t="shared" si="40"/>
        <v>21</v>
      </c>
    </row>
    <row r="2596" spans="1:2" x14ac:dyDescent="0.2">
      <c r="A2596" s="117">
        <v>37293</v>
      </c>
      <c r="B2596" s="116">
        <f t="shared" si="40"/>
        <v>21</v>
      </c>
    </row>
    <row r="2597" spans="1:2" x14ac:dyDescent="0.2">
      <c r="A2597" s="117">
        <v>37294</v>
      </c>
      <c r="B2597" s="116">
        <f t="shared" si="40"/>
        <v>21</v>
      </c>
    </row>
    <row r="2598" spans="1:2" x14ac:dyDescent="0.2">
      <c r="A2598" s="117">
        <v>37295</v>
      </c>
      <c r="B2598" s="116">
        <f t="shared" si="40"/>
        <v>21</v>
      </c>
    </row>
    <row r="2599" spans="1:2" x14ac:dyDescent="0.2">
      <c r="A2599" s="117">
        <v>37296</v>
      </c>
      <c r="B2599" s="116">
        <f t="shared" si="40"/>
        <v>21</v>
      </c>
    </row>
    <row r="2600" spans="1:2" x14ac:dyDescent="0.2">
      <c r="A2600" s="117">
        <v>37297</v>
      </c>
      <c r="B2600" s="116">
        <f t="shared" si="40"/>
        <v>22</v>
      </c>
    </row>
    <row r="2601" spans="1:2" x14ac:dyDescent="0.2">
      <c r="A2601" s="117">
        <v>37298</v>
      </c>
      <c r="B2601" s="116">
        <f t="shared" si="40"/>
        <v>22</v>
      </c>
    </row>
    <row r="2602" spans="1:2" x14ac:dyDescent="0.2">
      <c r="A2602" s="117">
        <v>37299</v>
      </c>
      <c r="B2602" s="116">
        <f t="shared" si="40"/>
        <v>22</v>
      </c>
    </row>
    <row r="2603" spans="1:2" x14ac:dyDescent="0.2">
      <c r="A2603" s="117">
        <v>37300</v>
      </c>
      <c r="B2603" s="116">
        <f t="shared" si="40"/>
        <v>22</v>
      </c>
    </row>
    <row r="2604" spans="1:2" x14ac:dyDescent="0.2">
      <c r="A2604" s="117">
        <v>37301</v>
      </c>
      <c r="B2604" s="116">
        <f t="shared" si="40"/>
        <v>22</v>
      </c>
    </row>
    <row r="2605" spans="1:2" x14ac:dyDescent="0.2">
      <c r="A2605" s="117">
        <v>37302</v>
      </c>
      <c r="B2605" s="116">
        <f t="shared" si="40"/>
        <v>22</v>
      </c>
    </row>
    <row r="2606" spans="1:2" x14ac:dyDescent="0.2">
      <c r="A2606" s="117">
        <v>37303</v>
      </c>
      <c r="B2606" s="116">
        <f t="shared" si="40"/>
        <v>22</v>
      </c>
    </row>
    <row r="2607" spans="1:2" x14ac:dyDescent="0.2">
      <c r="A2607" s="117">
        <v>37304</v>
      </c>
      <c r="B2607" s="116">
        <f t="shared" si="40"/>
        <v>23</v>
      </c>
    </row>
    <row r="2608" spans="1:2" x14ac:dyDescent="0.2">
      <c r="A2608" s="117">
        <v>37305</v>
      </c>
      <c r="B2608" s="116">
        <f t="shared" si="40"/>
        <v>23</v>
      </c>
    </row>
    <row r="2609" spans="1:2" x14ac:dyDescent="0.2">
      <c r="A2609" s="117">
        <v>37306</v>
      </c>
      <c r="B2609" s="116">
        <f t="shared" si="40"/>
        <v>23</v>
      </c>
    </row>
    <row r="2610" spans="1:2" x14ac:dyDescent="0.2">
      <c r="A2610" s="117">
        <v>37307</v>
      </c>
      <c r="B2610" s="116">
        <f t="shared" si="40"/>
        <v>23</v>
      </c>
    </row>
    <row r="2611" spans="1:2" x14ac:dyDescent="0.2">
      <c r="A2611" s="117">
        <v>37308</v>
      </c>
      <c r="B2611" s="116">
        <f t="shared" si="40"/>
        <v>23</v>
      </c>
    </row>
    <row r="2612" spans="1:2" x14ac:dyDescent="0.2">
      <c r="A2612" s="117">
        <v>37309</v>
      </c>
      <c r="B2612" s="116">
        <f t="shared" si="40"/>
        <v>23</v>
      </c>
    </row>
    <row r="2613" spans="1:2" x14ac:dyDescent="0.2">
      <c r="A2613" s="117">
        <v>37310</v>
      </c>
      <c r="B2613" s="116">
        <f t="shared" si="40"/>
        <v>23</v>
      </c>
    </row>
    <row r="2614" spans="1:2" x14ac:dyDescent="0.2">
      <c r="A2614" s="117">
        <v>37311</v>
      </c>
      <c r="B2614" s="116">
        <f t="shared" si="40"/>
        <v>24</v>
      </c>
    </row>
    <row r="2615" spans="1:2" x14ac:dyDescent="0.2">
      <c r="A2615" s="117">
        <v>37312</v>
      </c>
      <c r="B2615" s="116">
        <f t="shared" si="40"/>
        <v>24</v>
      </c>
    </row>
    <row r="2616" spans="1:2" x14ac:dyDescent="0.2">
      <c r="A2616" s="117">
        <v>37313</v>
      </c>
      <c r="B2616" s="116">
        <f t="shared" si="40"/>
        <v>24</v>
      </c>
    </row>
    <row r="2617" spans="1:2" x14ac:dyDescent="0.2">
      <c r="A2617" s="117">
        <v>37314</v>
      </c>
      <c r="B2617" s="116">
        <f t="shared" si="40"/>
        <v>24</v>
      </c>
    </row>
    <row r="2618" spans="1:2" x14ac:dyDescent="0.2">
      <c r="A2618" s="117">
        <v>37315</v>
      </c>
      <c r="B2618" s="116">
        <f t="shared" si="40"/>
        <v>24</v>
      </c>
    </row>
    <row r="2619" spans="1:2" x14ac:dyDescent="0.2">
      <c r="A2619" s="117">
        <v>37316</v>
      </c>
      <c r="B2619" s="116">
        <f t="shared" si="40"/>
        <v>24</v>
      </c>
    </row>
    <row r="2620" spans="1:2" x14ac:dyDescent="0.2">
      <c r="A2620" s="117">
        <v>37317</v>
      </c>
      <c r="B2620" s="116">
        <f t="shared" si="40"/>
        <v>24</v>
      </c>
    </row>
    <row r="2621" spans="1:2" x14ac:dyDescent="0.2">
      <c r="A2621" s="117">
        <v>37318</v>
      </c>
      <c r="B2621" s="116">
        <f t="shared" si="40"/>
        <v>31</v>
      </c>
    </row>
    <row r="2622" spans="1:2" x14ac:dyDescent="0.2">
      <c r="A2622" s="117">
        <v>37319</v>
      </c>
      <c r="B2622" s="116">
        <f t="shared" si="40"/>
        <v>31</v>
      </c>
    </row>
    <row r="2623" spans="1:2" x14ac:dyDescent="0.2">
      <c r="A2623" s="117">
        <v>37320</v>
      </c>
      <c r="B2623" s="116">
        <f t="shared" si="40"/>
        <v>31</v>
      </c>
    </row>
    <row r="2624" spans="1:2" x14ac:dyDescent="0.2">
      <c r="A2624" s="117">
        <v>37321</v>
      </c>
      <c r="B2624" s="116">
        <f t="shared" si="40"/>
        <v>31</v>
      </c>
    </row>
    <row r="2625" spans="1:2" x14ac:dyDescent="0.2">
      <c r="A2625" s="117">
        <v>37322</v>
      </c>
      <c r="B2625" s="116">
        <f t="shared" si="40"/>
        <v>31</v>
      </c>
    </row>
    <row r="2626" spans="1:2" x14ac:dyDescent="0.2">
      <c r="A2626" s="117">
        <v>37323</v>
      </c>
      <c r="B2626" s="116">
        <f t="shared" si="40"/>
        <v>31</v>
      </c>
    </row>
    <row r="2627" spans="1:2" x14ac:dyDescent="0.2">
      <c r="A2627" s="117">
        <v>37324</v>
      </c>
      <c r="B2627" s="116">
        <f t="shared" si="40"/>
        <v>31</v>
      </c>
    </row>
    <row r="2628" spans="1:2" x14ac:dyDescent="0.2">
      <c r="A2628" s="117">
        <v>37325</v>
      </c>
      <c r="B2628" s="116">
        <f t="shared" ref="B2628:B2691" si="41">VLOOKUP(WEEKNUM(A2628),$D$4:$E$59,2)</f>
        <v>32</v>
      </c>
    </row>
    <row r="2629" spans="1:2" x14ac:dyDescent="0.2">
      <c r="A2629" s="117">
        <v>37326</v>
      </c>
      <c r="B2629" s="116">
        <f t="shared" si="41"/>
        <v>32</v>
      </c>
    </row>
    <row r="2630" spans="1:2" x14ac:dyDescent="0.2">
      <c r="A2630" s="117">
        <v>37327</v>
      </c>
      <c r="B2630" s="116">
        <f t="shared" si="41"/>
        <v>32</v>
      </c>
    </row>
    <row r="2631" spans="1:2" x14ac:dyDescent="0.2">
      <c r="A2631" s="117">
        <v>37328</v>
      </c>
      <c r="B2631" s="116">
        <f t="shared" si="41"/>
        <v>32</v>
      </c>
    </row>
    <row r="2632" spans="1:2" x14ac:dyDescent="0.2">
      <c r="A2632" s="117">
        <v>37329</v>
      </c>
      <c r="B2632" s="116">
        <f t="shared" si="41"/>
        <v>32</v>
      </c>
    </row>
    <row r="2633" spans="1:2" x14ac:dyDescent="0.2">
      <c r="A2633" s="117">
        <v>37330</v>
      </c>
      <c r="B2633" s="116">
        <f t="shared" si="41"/>
        <v>32</v>
      </c>
    </row>
    <row r="2634" spans="1:2" x14ac:dyDescent="0.2">
      <c r="A2634" s="117">
        <v>37331</v>
      </c>
      <c r="B2634" s="116">
        <f t="shared" si="41"/>
        <v>32</v>
      </c>
    </row>
    <row r="2635" spans="1:2" x14ac:dyDescent="0.2">
      <c r="A2635" s="117">
        <v>37332</v>
      </c>
      <c r="B2635" s="116">
        <f t="shared" si="41"/>
        <v>33</v>
      </c>
    </row>
    <row r="2636" spans="1:2" x14ac:dyDescent="0.2">
      <c r="A2636" s="117">
        <v>37333</v>
      </c>
      <c r="B2636" s="116">
        <f t="shared" si="41"/>
        <v>33</v>
      </c>
    </row>
    <row r="2637" spans="1:2" x14ac:dyDescent="0.2">
      <c r="A2637" s="117">
        <v>37334</v>
      </c>
      <c r="B2637" s="116">
        <f t="shared" si="41"/>
        <v>33</v>
      </c>
    </row>
    <row r="2638" spans="1:2" x14ac:dyDescent="0.2">
      <c r="A2638" s="117">
        <v>37335</v>
      </c>
      <c r="B2638" s="116">
        <f t="shared" si="41"/>
        <v>33</v>
      </c>
    </row>
    <row r="2639" spans="1:2" x14ac:dyDescent="0.2">
      <c r="A2639" s="117">
        <v>37336</v>
      </c>
      <c r="B2639" s="116">
        <f t="shared" si="41"/>
        <v>33</v>
      </c>
    </row>
    <row r="2640" spans="1:2" x14ac:dyDescent="0.2">
      <c r="A2640" s="117">
        <v>37337</v>
      </c>
      <c r="B2640" s="116">
        <f t="shared" si="41"/>
        <v>33</v>
      </c>
    </row>
    <row r="2641" spans="1:2" x14ac:dyDescent="0.2">
      <c r="A2641" s="117">
        <v>37338</v>
      </c>
      <c r="B2641" s="116">
        <f t="shared" si="41"/>
        <v>33</v>
      </c>
    </row>
    <row r="2642" spans="1:2" x14ac:dyDescent="0.2">
      <c r="A2642" s="117">
        <v>37339</v>
      </c>
      <c r="B2642" s="116">
        <f t="shared" si="41"/>
        <v>34</v>
      </c>
    </row>
    <row r="2643" spans="1:2" x14ac:dyDescent="0.2">
      <c r="A2643" s="117">
        <v>37340</v>
      </c>
      <c r="B2643" s="116">
        <f t="shared" si="41"/>
        <v>34</v>
      </c>
    </row>
    <row r="2644" spans="1:2" x14ac:dyDescent="0.2">
      <c r="A2644" s="117">
        <v>37341</v>
      </c>
      <c r="B2644" s="116">
        <f t="shared" si="41"/>
        <v>34</v>
      </c>
    </row>
    <row r="2645" spans="1:2" x14ac:dyDescent="0.2">
      <c r="A2645" s="117">
        <v>37342</v>
      </c>
      <c r="B2645" s="116">
        <f t="shared" si="41"/>
        <v>34</v>
      </c>
    </row>
    <row r="2646" spans="1:2" x14ac:dyDescent="0.2">
      <c r="A2646" s="117">
        <v>37343</v>
      </c>
      <c r="B2646" s="116">
        <f t="shared" si="41"/>
        <v>34</v>
      </c>
    </row>
    <row r="2647" spans="1:2" x14ac:dyDescent="0.2">
      <c r="A2647" s="117">
        <v>37344</v>
      </c>
      <c r="B2647" s="116">
        <f t="shared" si="41"/>
        <v>34</v>
      </c>
    </row>
    <row r="2648" spans="1:2" x14ac:dyDescent="0.2">
      <c r="A2648" s="117">
        <v>37345</v>
      </c>
      <c r="B2648" s="116">
        <f t="shared" si="41"/>
        <v>34</v>
      </c>
    </row>
    <row r="2649" spans="1:2" x14ac:dyDescent="0.2">
      <c r="A2649" s="117">
        <v>37346</v>
      </c>
      <c r="B2649" s="116">
        <f t="shared" si="41"/>
        <v>41</v>
      </c>
    </row>
    <row r="2650" spans="1:2" x14ac:dyDescent="0.2">
      <c r="A2650" s="117">
        <v>37347</v>
      </c>
      <c r="B2650" s="116">
        <f t="shared" si="41"/>
        <v>41</v>
      </c>
    </row>
    <row r="2651" spans="1:2" x14ac:dyDescent="0.2">
      <c r="A2651" s="117">
        <v>37348</v>
      </c>
      <c r="B2651" s="116">
        <f t="shared" si="41"/>
        <v>41</v>
      </c>
    </row>
    <row r="2652" spans="1:2" x14ac:dyDescent="0.2">
      <c r="A2652" s="117">
        <v>37349</v>
      </c>
      <c r="B2652" s="116">
        <f t="shared" si="41"/>
        <v>41</v>
      </c>
    </row>
    <row r="2653" spans="1:2" x14ac:dyDescent="0.2">
      <c r="A2653" s="117">
        <v>37350</v>
      </c>
      <c r="B2653" s="116">
        <f t="shared" si="41"/>
        <v>41</v>
      </c>
    </row>
    <row r="2654" spans="1:2" x14ac:dyDescent="0.2">
      <c r="A2654" s="117">
        <v>37351</v>
      </c>
      <c r="B2654" s="116">
        <f t="shared" si="41"/>
        <v>41</v>
      </c>
    </row>
    <row r="2655" spans="1:2" x14ac:dyDescent="0.2">
      <c r="A2655" s="117">
        <v>37352</v>
      </c>
      <c r="B2655" s="116">
        <f t="shared" si="41"/>
        <v>41</v>
      </c>
    </row>
    <row r="2656" spans="1:2" x14ac:dyDescent="0.2">
      <c r="A2656" s="117">
        <v>37353</v>
      </c>
      <c r="B2656" s="116">
        <f t="shared" si="41"/>
        <v>42</v>
      </c>
    </row>
    <row r="2657" spans="1:2" x14ac:dyDescent="0.2">
      <c r="A2657" s="117">
        <v>37354</v>
      </c>
      <c r="B2657" s="116">
        <f t="shared" si="41"/>
        <v>42</v>
      </c>
    </row>
    <row r="2658" spans="1:2" x14ac:dyDescent="0.2">
      <c r="A2658" s="117">
        <v>37355</v>
      </c>
      <c r="B2658" s="116">
        <f t="shared" si="41"/>
        <v>42</v>
      </c>
    </row>
    <row r="2659" spans="1:2" x14ac:dyDescent="0.2">
      <c r="A2659" s="117">
        <v>37356</v>
      </c>
      <c r="B2659" s="116">
        <f t="shared" si="41"/>
        <v>42</v>
      </c>
    </row>
    <row r="2660" spans="1:2" x14ac:dyDescent="0.2">
      <c r="A2660" s="117">
        <v>37357</v>
      </c>
      <c r="B2660" s="116">
        <f t="shared" si="41"/>
        <v>42</v>
      </c>
    </row>
    <row r="2661" spans="1:2" x14ac:dyDescent="0.2">
      <c r="A2661" s="117">
        <v>37358</v>
      </c>
      <c r="B2661" s="116">
        <f t="shared" si="41"/>
        <v>42</v>
      </c>
    </row>
    <row r="2662" spans="1:2" x14ac:dyDescent="0.2">
      <c r="A2662" s="117">
        <v>37359</v>
      </c>
      <c r="B2662" s="116">
        <f t="shared" si="41"/>
        <v>42</v>
      </c>
    </row>
    <row r="2663" spans="1:2" x14ac:dyDescent="0.2">
      <c r="A2663" s="117">
        <v>37360</v>
      </c>
      <c r="B2663" s="116">
        <f t="shared" si="41"/>
        <v>43</v>
      </c>
    </row>
    <row r="2664" spans="1:2" x14ac:dyDescent="0.2">
      <c r="A2664" s="117">
        <v>37361</v>
      </c>
      <c r="B2664" s="116">
        <f t="shared" si="41"/>
        <v>43</v>
      </c>
    </row>
    <row r="2665" spans="1:2" x14ac:dyDescent="0.2">
      <c r="A2665" s="117">
        <v>37362</v>
      </c>
      <c r="B2665" s="116">
        <f t="shared" si="41"/>
        <v>43</v>
      </c>
    </row>
    <row r="2666" spans="1:2" x14ac:dyDescent="0.2">
      <c r="A2666" s="117">
        <v>37363</v>
      </c>
      <c r="B2666" s="116">
        <f t="shared" si="41"/>
        <v>43</v>
      </c>
    </row>
    <row r="2667" spans="1:2" x14ac:dyDescent="0.2">
      <c r="A2667" s="117">
        <v>37364</v>
      </c>
      <c r="B2667" s="116">
        <f t="shared" si="41"/>
        <v>43</v>
      </c>
    </row>
    <row r="2668" spans="1:2" x14ac:dyDescent="0.2">
      <c r="A2668" s="117">
        <v>37365</v>
      </c>
      <c r="B2668" s="116">
        <f t="shared" si="41"/>
        <v>43</v>
      </c>
    </row>
    <row r="2669" spans="1:2" x14ac:dyDescent="0.2">
      <c r="A2669" s="117">
        <v>37366</v>
      </c>
      <c r="B2669" s="116">
        <f t="shared" si="41"/>
        <v>43</v>
      </c>
    </row>
    <row r="2670" spans="1:2" x14ac:dyDescent="0.2">
      <c r="A2670" s="117">
        <v>37367</v>
      </c>
      <c r="B2670" s="116">
        <f t="shared" si="41"/>
        <v>44</v>
      </c>
    </row>
    <row r="2671" spans="1:2" x14ac:dyDescent="0.2">
      <c r="A2671" s="117">
        <v>37368</v>
      </c>
      <c r="B2671" s="116">
        <f t="shared" si="41"/>
        <v>44</v>
      </c>
    </row>
    <row r="2672" spans="1:2" x14ac:dyDescent="0.2">
      <c r="A2672" s="117">
        <v>37369</v>
      </c>
      <c r="B2672" s="116">
        <f t="shared" si="41"/>
        <v>44</v>
      </c>
    </row>
    <row r="2673" spans="1:2" x14ac:dyDescent="0.2">
      <c r="A2673" s="117">
        <v>37370</v>
      </c>
      <c r="B2673" s="116">
        <f t="shared" si="41"/>
        <v>44</v>
      </c>
    </row>
    <row r="2674" spans="1:2" x14ac:dyDescent="0.2">
      <c r="A2674" s="117">
        <v>37371</v>
      </c>
      <c r="B2674" s="116">
        <f t="shared" si="41"/>
        <v>44</v>
      </c>
    </row>
    <row r="2675" spans="1:2" x14ac:dyDescent="0.2">
      <c r="A2675" s="117">
        <v>37372</v>
      </c>
      <c r="B2675" s="116">
        <f t="shared" si="41"/>
        <v>44</v>
      </c>
    </row>
    <row r="2676" spans="1:2" x14ac:dyDescent="0.2">
      <c r="A2676" s="117">
        <v>37373</v>
      </c>
      <c r="B2676" s="116">
        <f t="shared" si="41"/>
        <v>44</v>
      </c>
    </row>
    <row r="2677" spans="1:2" x14ac:dyDescent="0.2">
      <c r="A2677" s="117">
        <v>37374</v>
      </c>
      <c r="B2677" s="116">
        <f t="shared" si="41"/>
        <v>45</v>
      </c>
    </row>
    <row r="2678" spans="1:2" x14ac:dyDescent="0.2">
      <c r="A2678" s="117">
        <v>37375</v>
      </c>
      <c r="B2678" s="116">
        <f t="shared" si="41"/>
        <v>45</v>
      </c>
    </row>
    <row r="2679" spans="1:2" x14ac:dyDescent="0.2">
      <c r="A2679" s="117">
        <v>37376</v>
      </c>
      <c r="B2679" s="116">
        <f t="shared" si="41"/>
        <v>45</v>
      </c>
    </row>
    <row r="2680" spans="1:2" x14ac:dyDescent="0.2">
      <c r="A2680" s="117">
        <v>37377</v>
      </c>
      <c r="B2680" s="116">
        <f t="shared" si="41"/>
        <v>45</v>
      </c>
    </row>
    <row r="2681" spans="1:2" x14ac:dyDescent="0.2">
      <c r="A2681" s="117">
        <v>37378</v>
      </c>
      <c r="B2681" s="116">
        <f t="shared" si="41"/>
        <v>45</v>
      </c>
    </row>
    <row r="2682" spans="1:2" x14ac:dyDescent="0.2">
      <c r="A2682" s="117">
        <v>37379</v>
      </c>
      <c r="B2682" s="116">
        <f t="shared" si="41"/>
        <v>45</v>
      </c>
    </row>
    <row r="2683" spans="1:2" x14ac:dyDescent="0.2">
      <c r="A2683" s="117">
        <v>37380</v>
      </c>
      <c r="B2683" s="116">
        <f t="shared" si="41"/>
        <v>45</v>
      </c>
    </row>
    <row r="2684" spans="1:2" x14ac:dyDescent="0.2">
      <c r="A2684" s="117">
        <v>37381</v>
      </c>
      <c r="B2684" s="116">
        <f t="shared" si="41"/>
        <v>51</v>
      </c>
    </row>
    <row r="2685" spans="1:2" x14ac:dyDescent="0.2">
      <c r="A2685" s="117">
        <v>37382</v>
      </c>
      <c r="B2685" s="116">
        <f t="shared" si="41"/>
        <v>51</v>
      </c>
    </row>
    <row r="2686" spans="1:2" x14ac:dyDescent="0.2">
      <c r="A2686" s="117">
        <v>37383</v>
      </c>
      <c r="B2686" s="116">
        <f t="shared" si="41"/>
        <v>51</v>
      </c>
    </row>
    <row r="2687" spans="1:2" x14ac:dyDescent="0.2">
      <c r="A2687" s="117">
        <v>37384</v>
      </c>
      <c r="B2687" s="116">
        <f t="shared" si="41"/>
        <v>51</v>
      </c>
    </row>
    <row r="2688" spans="1:2" x14ac:dyDescent="0.2">
      <c r="A2688" s="117">
        <v>37385</v>
      </c>
      <c r="B2688" s="116">
        <f t="shared" si="41"/>
        <v>51</v>
      </c>
    </row>
    <row r="2689" spans="1:2" x14ac:dyDescent="0.2">
      <c r="A2689" s="117">
        <v>37386</v>
      </c>
      <c r="B2689" s="116">
        <f t="shared" si="41"/>
        <v>51</v>
      </c>
    </row>
    <row r="2690" spans="1:2" x14ac:dyDescent="0.2">
      <c r="A2690" s="117">
        <v>37387</v>
      </c>
      <c r="B2690" s="116">
        <f t="shared" si="41"/>
        <v>51</v>
      </c>
    </row>
    <row r="2691" spans="1:2" x14ac:dyDescent="0.2">
      <c r="A2691" s="117">
        <v>37388</v>
      </c>
      <c r="B2691" s="116">
        <f t="shared" si="41"/>
        <v>52</v>
      </c>
    </row>
    <row r="2692" spans="1:2" x14ac:dyDescent="0.2">
      <c r="A2692" s="117">
        <v>37389</v>
      </c>
      <c r="B2692" s="116">
        <f t="shared" ref="B2692:B2755" si="42">VLOOKUP(WEEKNUM(A2692),$D$4:$E$59,2)</f>
        <v>52</v>
      </c>
    </row>
    <row r="2693" spans="1:2" x14ac:dyDescent="0.2">
      <c r="A2693" s="117">
        <v>37390</v>
      </c>
      <c r="B2693" s="116">
        <f t="shared" si="42"/>
        <v>52</v>
      </c>
    </row>
    <row r="2694" spans="1:2" x14ac:dyDescent="0.2">
      <c r="A2694" s="117">
        <v>37391</v>
      </c>
      <c r="B2694" s="116">
        <f t="shared" si="42"/>
        <v>52</v>
      </c>
    </row>
    <row r="2695" spans="1:2" x14ac:dyDescent="0.2">
      <c r="A2695" s="117">
        <v>37392</v>
      </c>
      <c r="B2695" s="116">
        <f t="shared" si="42"/>
        <v>52</v>
      </c>
    </row>
    <row r="2696" spans="1:2" x14ac:dyDescent="0.2">
      <c r="A2696" s="117">
        <v>37393</v>
      </c>
      <c r="B2696" s="116">
        <f t="shared" si="42"/>
        <v>52</v>
      </c>
    </row>
    <row r="2697" spans="1:2" x14ac:dyDescent="0.2">
      <c r="A2697" s="117">
        <v>37394</v>
      </c>
      <c r="B2697" s="116">
        <f t="shared" si="42"/>
        <v>52</v>
      </c>
    </row>
    <row r="2698" spans="1:2" x14ac:dyDescent="0.2">
      <c r="A2698" s="117">
        <v>37395</v>
      </c>
      <c r="B2698" s="116">
        <f t="shared" si="42"/>
        <v>53</v>
      </c>
    </row>
    <row r="2699" spans="1:2" x14ac:dyDescent="0.2">
      <c r="A2699" s="117">
        <v>37396</v>
      </c>
      <c r="B2699" s="116">
        <f t="shared" si="42"/>
        <v>53</v>
      </c>
    </row>
    <row r="2700" spans="1:2" x14ac:dyDescent="0.2">
      <c r="A2700" s="117">
        <v>37397</v>
      </c>
      <c r="B2700" s="116">
        <f t="shared" si="42"/>
        <v>53</v>
      </c>
    </row>
    <row r="2701" spans="1:2" x14ac:dyDescent="0.2">
      <c r="A2701" s="117">
        <v>37398</v>
      </c>
      <c r="B2701" s="116">
        <f t="shared" si="42"/>
        <v>53</v>
      </c>
    </row>
    <row r="2702" spans="1:2" x14ac:dyDescent="0.2">
      <c r="A2702" s="117">
        <v>37399</v>
      </c>
      <c r="B2702" s="116">
        <f t="shared" si="42"/>
        <v>53</v>
      </c>
    </row>
    <row r="2703" spans="1:2" x14ac:dyDescent="0.2">
      <c r="A2703" s="117">
        <v>37400</v>
      </c>
      <c r="B2703" s="116">
        <f t="shared" si="42"/>
        <v>53</v>
      </c>
    </row>
    <row r="2704" spans="1:2" x14ac:dyDescent="0.2">
      <c r="A2704" s="117">
        <v>37401</v>
      </c>
      <c r="B2704" s="116">
        <f t="shared" si="42"/>
        <v>53</v>
      </c>
    </row>
    <row r="2705" spans="1:2" x14ac:dyDescent="0.2">
      <c r="A2705" s="117">
        <v>37402</v>
      </c>
      <c r="B2705" s="116">
        <f t="shared" si="42"/>
        <v>54</v>
      </c>
    </row>
    <row r="2706" spans="1:2" x14ac:dyDescent="0.2">
      <c r="A2706" s="117">
        <v>37403</v>
      </c>
      <c r="B2706" s="116">
        <f t="shared" si="42"/>
        <v>54</v>
      </c>
    </row>
    <row r="2707" spans="1:2" x14ac:dyDescent="0.2">
      <c r="A2707" s="117">
        <v>37404</v>
      </c>
      <c r="B2707" s="116">
        <f t="shared" si="42"/>
        <v>54</v>
      </c>
    </row>
    <row r="2708" spans="1:2" x14ac:dyDescent="0.2">
      <c r="A2708" s="117">
        <v>37405</v>
      </c>
      <c r="B2708" s="116">
        <f t="shared" si="42"/>
        <v>54</v>
      </c>
    </row>
    <row r="2709" spans="1:2" x14ac:dyDescent="0.2">
      <c r="A2709" s="117">
        <v>37406</v>
      </c>
      <c r="B2709" s="116">
        <f t="shared" si="42"/>
        <v>54</v>
      </c>
    </row>
    <row r="2710" spans="1:2" x14ac:dyDescent="0.2">
      <c r="A2710" s="117">
        <v>37407</v>
      </c>
      <c r="B2710" s="116">
        <f t="shared" si="42"/>
        <v>54</v>
      </c>
    </row>
    <row r="2711" spans="1:2" x14ac:dyDescent="0.2">
      <c r="A2711" s="117">
        <v>37408</v>
      </c>
      <c r="B2711" s="116">
        <f t="shared" si="42"/>
        <v>54</v>
      </c>
    </row>
    <row r="2712" spans="1:2" x14ac:dyDescent="0.2">
      <c r="A2712" s="117">
        <v>37409</v>
      </c>
      <c r="B2712" s="116">
        <f t="shared" si="42"/>
        <v>61</v>
      </c>
    </row>
    <row r="2713" spans="1:2" x14ac:dyDescent="0.2">
      <c r="A2713" s="117">
        <v>37410</v>
      </c>
      <c r="B2713" s="116">
        <f t="shared" si="42"/>
        <v>61</v>
      </c>
    </row>
    <row r="2714" spans="1:2" x14ac:dyDescent="0.2">
      <c r="A2714" s="117">
        <v>37411</v>
      </c>
      <c r="B2714" s="116">
        <f t="shared" si="42"/>
        <v>61</v>
      </c>
    </row>
    <row r="2715" spans="1:2" x14ac:dyDescent="0.2">
      <c r="A2715" s="117">
        <v>37412</v>
      </c>
      <c r="B2715" s="116">
        <f t="shared" si="42"/>
        <v>61</v>
      </c>
    </row>
    <row r="2716" spans="1:2" x14ac:dyDescent="0.2">
      <c r="A2716" s="117">
        <v>37413</v>
      </c>
      <c r="B2716" s="116">
        <f t="shared" si="42"/>
        <v>61</v>
      </c>
    </row>
    <row r="2717" spans="1:2" x14ac:dyDescent="0.2">
      <c r="A2717" s="117">
        <v>37414</v>
      </c>
      <c r="B2717" s="116">
        <f t="shared" si="42"/>
        <v>61</v>
      </c>
    </row>
    <row r="2718" spans="1:2" x14ac:dyDescent="0.2">
      <c r="A2718" s="117">
        <v>37415</v>
      </c>
      <c r="B2718" s="116">
        <f t="shared" si="42"/>
        <v>61</v>
      </c>
    </row>
    <row r="2719" spans="1:2" x14ac:dyDescent="0.2">
      <c r="A2719" s="117">
        <v>37416</v>
      </c>
      <c r="B2719" s="116">
        <f t="shared" si="42"/>
        <v>62</v>
      </c>
    </row>
    <row r="2720" spans="1:2" x14ac:dyDescent="0.2">
      <c r="A2720" s="117">
        <v>37417</v>
      </c>
      <c r="B2720" s="116">
        <f t="shared" si="42"/>
        <v>62</v>
      </c>
    </row>
    <row r="2721" spans="1:2" x14ac:dyDescent="0.2">
      <c r="A2721" s="117">
        <v>37418</v>
      </c>
      <c r="B2721" s="116">
        <f t="shared" si="42"/>
        <v>62</v>
      </c>
    </row>
    <row r="2722" spans="1:2" x14ac:dyDescent="0.2">
      <c r="A2722" s="117">
        <v>37419</v>
      </c>
      <c r="B2722" s="116">
        <f t="shared" si="42"/>
        <v>62</v>
      </c>
    </row>
    <row r="2723" spans="1:2" x14ac:dyDescent="0.2">
      <c r="A2723" s="117">
        <v>37420</v>
      </c>
      <c r="B2723" s="116">
        <f t="shared" si="42"/>
        <v>62</v>
      </c>
    </row>
    <row r="2724" spans="1:2" x14ac:dyDescent="0.2">
      <c r="A2724" s="117">
        <v>37421</v>
      </c>
      <c r="B2724" s="116">
        <f t="shared" si="42"/>
        <v>62</v>
      </c>
    </row>
    <row r="2725" spans="1:2" x14ac:dyDescent="0.2">
      <c r="A2725" s="117">
        <v>37422</v>
      </c>
      <c r="B2725" s="116">
        <f t="shared" si="42"/>
        <v>62</v>
      </c>
    </row>
    <row r="2726" spans="1:2" x14ac:dyDescent="0.2">
      <c r="A2726" s="117">
        <v>37423</v>
      </c>
      <c r="B2726" s="116">
        <f t="shared" si="42"/>
        <v>63</v>
      </c>
    </row>
    <row r="2727" spans="1:2" x14ac:dyDescent="0.2">
      <c r="A2727" s="117">
        <v>37424</v>
      </c>
      <c r="B2727" s="116">
        <f t="shared" si="42"/>
        <v>63</v>
      </c>
    </row>
    <row r="2728" spans="1:2" x14ac:dyDescent="0.2">
      <c r="A2728" s="117">
        <v>37425</v>
      </c>
      <c r="B2728" s="116">
        <f t="shared" si="42"/>
        <v>63</v>
      </c>
    </row>
    <row r="2729" spans="1:2" x14ac:dyDescent="0.2">
      <c r="A2729" s="117">
        <v>37426</v>
      </c>
      <c r="B2729" s="116">
        <f t="shared" si="42"/>
        <v>63</v>
      </c>
    </row>
    <row r="2730" spans="1:2" x14ac:dyDescent="0.2">
      <c r="A2730" s="117">
        <v>37427</v>
      </c>
      <c r="B2730" s="116">
        <f t="shared" si="42"/>
        <v>63</v>
      </c>
    </row>
    <row r="2731" spans="1:2" x14ac:dyDescent="0.2">
      <c r="A2731" s="117">
        <v>37428</v>
      </c>
      <c r="B2731" s="116">
        <f t="shared" si="42"/>
        <v>63</v>
      </c>
    </row>
    <row r="2732" spans="1:2" x14ac:dyDescent="0.2">
      <c r="A2732" s="117">
        <v>37429</v>
      </c>
      <c r="B2732" s="116">
        <f t="shared" si="42"/>
        <v>63</v>
      </c>
    </row>
    <row r="2733" spans="1:2" x14ac:dyDescent="0.2">
      <c r="A2733" s="117">
        <v>37430</v>
      </c>
      <c r="B2733" s="116">
        <f t="shared" si="42"/>
        <v>64</v>
      </c>
    </row>
    <row r="2734" spans="1:2" x14ac:dyDescent="0.2">
      <c r="A2734" s="117">
        <v>37431</v>
      </c>
      <c r="B2734" s="116">
        <f t="shared" si="42"/>
        <v>64</v>
      </c>
    </row>
    <row r="2735" spans="1:2" x14ac:dyDescent="0.2">
      <c r="A2735" s="117">
        <v>37432</v>
      </c>
      <c r="B2735" s="116">
        <f t="shared" si="42"/>
        <v>64</v>
      </c>
    </row>
    <row r="2736" spans="1:2" x14ac:dyDescent="0.2">
      <c r="A2736" s="117">
        <v>37433</v>
      </c>
      <c r="B2736" s="116">
        <f t="shared" si="42"/>
        <v>64</v>
      </c>
    </row>
    <row r="2737" spans="1:2" x14ac:dyDescent="0.2">
      <c r="A2737" s="117">
        <v>37434</v>
      </c>
      <c r="B2737" s="116">
        <f t="shared" si="42"/>
        <v>64</v>
      </c>
    </row>
    <row r="2738" spans="1:2" x14ac:dyDescent="0.2">
      <c r="A2738" s="117">
        <v>37435</v>
      </c>
      <c r="B2738" s="116">
        <f t="shared" si="42"/>
        <v>64</v>
      </c>
    </row>
    <row r="2739" spans="1:2" x14ac:dyDescent="0.2">
      <c r="A2739" s="117">
        <v>37436</v>
      </c>
      <c r="B2739" s="116">
        <f t="shared" si="42"/>
        <v>64</v>
      </c>
    </row>
    <row r="2740" spans="1:2" x14ac:dyDescent="0.2">
      <c r="A2740" s="117">
        <v>37437</v>
      </c>
      <c r="B2740" s="116">
        <f t="shared" si="42"/>
        <v>71</v>
      </c>
    </row>
    <row r="2741" spans="1:2" x14ac:dyDescent="0.2">
      <c r="A2741" s="117">
        <v>37438</v>
      </c>
      <c r="B2741" s="116">
        <f t="shared" si="42"/>
        <v>71</v>
      </c>
    </row>
    <row r="2742" spans="1:2" x14ac:dyDescent="0.2">
      <c r="A2742" s="117">
        <v>37439</v>
      </c>
      <c r="B2742" s="116">
        <f t="shared" si="42"/>
        <v>71</v>
      </c>
    </row>
    <row r="2743" spans="1:2" x14ac:dyDescent="0.2">
      <c r="A2743" s="117">
        <v>37440</v>
      </c>
      <c r="B2743" s="116">
        <f t="shared" si="42"/>
        <v>71</v>
      </c>
    </row>
    <row r="2744" spans="1:2" x14ac:dyDescent="0.2">
      <c r="A2744" s="117">
        <v>37441</v>
      </c>
      <c r="B2744" s="116">
        <f t="shared" si="42"/>
        <v>71</v>
      </c>
    </row>
    <row r="2745" spans="1:2" x14ac:dyDescent="0.2">
      <c r="A2745" s="117">
        <v>37442</v>
      </c>
      <c r="B2745" s="116">
        <f t="shared" si="42"/>
        <v>71</v>
      </c>
    </row>
    <row r="2746" spans="1:2" x14ac:dyDescent="0.2">
      <c r="A2746" s="117">
        <v>37443</v>
      </c>
      <c r="B2746" s="116">
        <f t="shared" si="42"/>
        <v>71</v>
      </c>
    </row>
    <row r="2747" spans="1:2" x14ac:dyDescent="0.2">
      <c r="A2747" s="117">
        <v>37444</v>
      </c>
      <c r="B2747" s="116">
        <f t="shared" si="42"/>
        <v>72</v>
      </c>
    </row>
    <row r="2748" spans="1:2" x14ac:dyDescent="0.2">
      <c r="A2748" s="117">
        <v>37445</v>
      </c>
      <c r="B2748" s="116">
        <f t="shared" si="42"/>
        <v>72</v>
      </c>
    </row>
    <row r="2749" spans="1:2" x14ac:dyDescent="0.2">
      <c r="A2749" s="117">
        <v>37446</v>
      </c>
      <c r="B2749" s="116">
        <f t="shared" si="42"/>
        <v>72</v>
      </c>
    </row>
    <row r="2750" spans="1:2" x14ac:dyDescent="0.2">
      <c r="A2750" s="117">
        <v>37447</v>
      </c>
      <c r="B2750" s="116">
        <f t="shared" si="42"/>
        <v>72</v>
      </c>
    </row>
    <row r="2751" spans="1:2" x14ac:dyDescent="0.2">
      <c r="A2751" s="117">
        <v>37448</v>
      </c>
      <c r="B2751" s="116">
        <f t="shared" si="42"/>
        <v>72</v>
      </c>
    </row>
    <row r="2752" spans="1:2" x14ac:dyDescent="0.2">
      <c r="A2752" s="117">
        <v>37449</v>
      </c>
      <c r="B2752" s="116">
        <f t="shared" si="42"/>
        <v>72</v>
      </c>
    </row>
    <row r="2753" spans="1:2" x14ac:dyDescent="0.2">
      <c r="A2753" s="117">
        <v>37450</v>
      </c>
      <c r="B2753" s="116">
        <f t="shared" si="42"/>
        <v>72</v>
      </c>
    </row>
    <row r="2754" spans="1:2" x14ac:dyDescent="0.2">
      <c r="A2754" s="117">
        <v>37451</v>
      </c>
      <c r="B2754" s="116">
        <f t="shared" si="42"/>
        <v>73</v>
      </c>
    </row>
    <row r="2755" spans="1:2" x14ac:dyDescent="0.2">
      <c r="A2755" s="117">
        <v>37452</v>
      </c>
      <c r="B2755" s="116">
        <f t="shared" si="42"/>
        <v>73</v>
      </c>
    </row>
    <row r="2756" spans="1:2" x14ac:dyDescent="0.2">
      <c r="A2756" s="117">
        <v>37453</v>
      </c>
      <c r="B2756" s="116">
        <f t="shared" ref="B2756:B2819" si="43">VLOOKUP(WEEKNUM(A2756),$D$4:$E$59,2)</f>
        <v>73</v>
      </c>
    </row>
    <row r="2757" spans="1:2" x14ac:dyDescent="0.2">
      <c r="A2757" s="117">
        <v>37454</v>
      </c>
      <c r="B2757" s="116">
        <f t="shared" si="43"/>
        <v>73</v>
      </c>
    </row>
    <row r="2758" spans="1:2" x14ac:dyDescent="0.2">
      <c r="A2758" s="117">
        <v>37455</v>
      </c>
      <c r="B2758" s="116">
        <f t="shared" si="43"/>
        <v>73</v>
      </c>
    </row>
    <row r="2759" spans="1:2" x14ac:dyDescent="0.2">
      <c r="A2759" s="117">
        <v>37456</v>
      </c>
      <c r="B2759" s="116">
        <f t="shared" si="43"/>
        <v>73</v>
      </c>
    </row>
    <row r="2760" spans="1:2" x14ac:dyDescent="0.2">
      <c r="A2760" s="117">
        <v>37457</v>
      </c>
      <c r="B2760" s="116">
        <f t="shared" si="43"/>
        <v>73</v>
      </c>
    </row>
    <row r="2761" spans="1:2" x14ac:dyDescent="0.2">
      <c r="A2761" s="117">
        <v>37458</v>
      </c>
      <c r="B2761" s="116">
        <f t="shared" si="43"/>
        <v>74</v>
      </c>
    </row>
    <row r="2762" spans="1:2" x14ac:dyDescent="0.2">
      <c r="A2762" s="117">
        <v>37459</v>
      </c>
      <c r="B2762" s="116">
        <f t="shared" si="43"/>
        <v>74</v>
      </c>
    </row>
    <row r="2763" spans="1:2" x14ac:dyDescent="0.2">
      <c r="A2763" s="117">
        <v>37460</v>
      </c>
      <c r="B2763" s="116">
        <f t="shared" si="43"/>
        <v>74</v>
      </c>
    </row>
    <row r="2764" spans="1:2" x14ac:dyDescent="0.2">
      <c r="A2764" s="117">
        <v>37461</v>
      </c>
      <c r="B2764" s="116">
        <f t="shared" si="43"/>
        <v>74</v>
      </c>
    </row>
    <row r="2765" spans="1:2" x14ac:dyDescent="0.2">
      <c r="A2765" s="117">
        <v>37462</v>
      </c>
      <c r="B2765" s="116">
        <f t="shared" si="43"/>
        <v>74</v>
      </c>
    </row>
    <row r="2766" spans="1:2" x14ac:dyDescent="0.2">
      <c r="A2766" s="117">
        <v>37463</v>
      </c>
      <c r="B2766" s="116">
        <f t="shared" si="43"/>
        <v>74</v>
      </c>
    </row>
    <row r="2767" spans="1:2" x14ac:dyDescent="0.2">
      <c r="A2767" s="117">
        <v>37464</v>
      </c>
      <c r="B2767" s="116">
        <f t="shared" si="43"/>
        <v>74</v>
      </c>
    </row>
    <row r="2768" spans="1:2" x14ac:dyDescent="0.2">
      <c r="A2768" s="117">
        <v>37465</v>
      </c>
      <c r="B2768" s="116">
        <f t="shared" si="43"/>
        <v>75</v>
      </c>
    </row>
    <row r="2769" spans="1:2" x14ac:dyDescent="0.2">
      <c r="A2769" s="117">
        <v>37466</v>
      </c>
      <c r="B2769" s="116">
        <f t="shared" si="43"/>
        <v>75</v>
      </c>
    </row>
    <row r="2770" spans="1:2" x14ac:dyDescent="0.2">
      <c r="A2770" s="117">
        <v>37467</v>
      </c>
      <c r="B2770" s="116">
        <f t="shared" si="43"/>
        <v>75</v>
      </c>
    </row>
    <row r="2771" spans="1:2" x14ac:dyDescent="0.2">
      <c r="A2771" s="117">
        <v>37468</v>
      </c>
      <c r="B2771" s="116">
        <f t="shared" si="43"/>
        <v>75</v>
      </c>
    </row>
    <row r="2772" spans="1:2" x14ac:dyDescent="0.2">
      <c r="A2772" s="117">
        <v>37469</v>
      </c>
      <c r="B2772" s="116">
        <f t="shared" si="43"/>
        <v>75</v>
      </c>
    </row>
    <row r="2773" spans="1:2" x14ac:dyDescent="0.2">
      <c r="A2773" s="117">
        <v>37470</v>
      </c>
      <c r="B2773" s="116">
        <f t="shared" si="43"/>
        <v>75</v>
      </c>
    </row>
    <row r="2774" spans="1:2" x14ac:dyDescent="0.2">
      <c r="A2774" s="117">
        <v>37471</v>
      </c>
      <c r="B2774" s="116">
        <f t="shared" si="43"/>
        <v>75</v>
      </c>
    </row>
    <row r="2775" spans="1:2" x14ac:dyDescent="0.2">
      <c r="A2775" s="117">
        <v>37472</v>
      </c>
      <c r="B2775" s="116">
        <f t="shared" si="43"/>
        <v>81</v>
      </c>
    </row>
    <row r="2776" spans="1:2" x14ac:dyDescent="0.2">
      <c r="A2776" s="117">
        <v>37473</v>
      </c>
      <c r="B2776" s="116">
        <f t="shared" si="43"/>
        <v>81</v>
      </c>
    </row>
    <row r="2777" spans="1:2" x14ac:dyDescent="0.2">
      <c r="A2777" s="117">
        <v>37474</v>
      </c>
      <c r="B2777" s="116">
        <f t="shared" si="43"/>
        <v>81</v>
      </c>
    </row>
    <row r="2778" spans="1:2" x14ac:dyDescent="0.2">
      <c r="A2778" s="117">
        <v>37475</v>
      </c>
      <c r="B2778" s="116">
        <f t="shared" si="43"/>
        <v>81</v>
      </c>
    </row>
    <row r="2779" spans="1:2" x14ac:dyDescent="0.2">
      <c r="A2779" s="117">
        <v>37476</v>
      </c>
      <c r="B2779" s="116">
        <f t="shared" si="43"/>
        <v>81</v>
      </c>
    </row>
    <row r="2780" spans="1:2" x14ac:dyDescent="0.2">
      <c r="A2780" s="117">
        <v>37477</v>
      </c>
      <c r="B2780" s="116">
        <f t="shared" si="43"/>
        <v>81</v>
      </c>
    </row>
    <row r="2781" spans="1:2" x14ac:dyDescent="0.2">
      <c r="A2781" s="117">
        <v>37478</v>
      </c>
      <c r="B2781" s="116">
        <f t="shared" si="43"/>
        <v>81</v>
      </c>
    </row>
    <row r="2782" spans="1:2" x14ac:dyDescent="0.2">
      <c r="A2782" s="117">
        <v>37479</v>
      </c>
      <c r="B2782" s="116">
        <f t="shared" si="43"/>
        <v>82</v>
      </c>
    </row>
    <row r="2783" spans="1:2" x14ac:dyDescent="0.2">
      <c r="A2783" s="117">
        <v>37480</v>
      </c>
      <c r="B2783" s="116">
        <f t="shared" si="43"/>
        <v>82</v>
      </c>
    </row>
    <row r="2784" spans="1:2" x14ac:dyDescent="0.2">
      <c r="A2784" s="117">
        <v>37481</v>
      </c>
      <c r="B2784" s="116">
        <f t="shared" si="43"/>
        <v>82</v>
      </c>
    </row>
    <row r="2785" spans="1:2" x14ac:dyDescent="0.2">
      <c r="A2785" s="117">
        <v>37482</v>
      </c>
      <c r="B2785" s="116">
        <f t="shared" si="43"/>
        <v>82</v>
      </c>
    </row>
    <row r="2786" spans="1:2" x14ac:dyDescent="0.2">
      <c r="A2786" s="117">
        <v>37483</v>
      </c>
      <c r="B2786" s="116">
        <f t="shared" si="43"/>
        <v>82</v>
      </c>
    </row>
    <row r="2787" spans="1:2" x14ac:dyDescent="0.2">
      <c r="A2787" s="117">
        <v>37484</v>
      </c>
      <c r="B2787" s="116">
        <f t="shared" si="43"/>
        <v>82</v>
      </c>
    </row>
    <row r="2788" spans="1:2" x14ac:dyDescent="0.2">
      <c r="A2788" s="117">
        <v>37485</v>
      </c>
      <c r="B2788" s="116">
        <f t="shared" si="43"/>
        <v>82</v>
      </c>
    </row>
    <row r="2789" spans="1:2" x14ac:dyDescent="0.2">
      <c r="A2789" s="117">
        <v>37486</v>
      </c>
      <c r="B2789" s="116">
        <f t="shared" si="43"/>
        <v>83</v>
      </c>
    </row>
    <row r="2790" spans="1:2" x14ac:dyDescent="0.2">
      <c r="A2790" s="117">
        <v>37487</v>
      </c>
      <c r="B2790" s="116">
        <f t="shared" si="43"/>
        <v>83</v>
      </c>
    </row>
    <row r="2791" spans="1:2" x14ac:dyDescent="0.2">
      <c r="A2791" s="117">
        <v>37488</v>
      </c>
      <c r="B2791" s="116">
        <f t="shared" si="43"/>
        <v>83</v>
      </c>
    </row>
    <row r="2792" spans="1:2" x14ac:dyDescent="0.2">
      <c r="A2792" s="117">
        <v>37489</v>
      </c>
      <c r="B2792" s="116">
        <f t="shared" si="43"/>
        <v>83</v>
      </c>
    </row>
    <row r="2793" spans="1:2" x14ac:dyDescent="0.2">
      <c r="A2793" s="117">
        <v>37490</v>
      </c>
      <c r="B2793" s="116">
        <f t="shared" si="43"/>
        <v>83</v>
      </c>
    </row>
    <row r="2794" spans="1:2" x14ac:dyDescent="0.2">
      <c r="A2794" s="117">
        <v>37491</v>
      </c>
      <c r="B2794" s="116">
        <f t="shared" si="43"/>
        <v>83</v>
      </c>
    </row>
    <row r="2795" spans="1:2" x14ac:dyDescent="0.2">
      <c r="A2795" s="117">
        <v>37492</v>
      </c>
      <c r="B2795" s="116">
        <f t="shared" si="43"/>
        <v>83</v>
      </c>
    </row>
    <row r="2796" spans="1:2" x14ac:dyDescent="0.2">
      <c r="A2796" s="117">
        <v>37493</v>
      </c>
      <c r="B2796" s="116">
        <f t="shared" si="43"/>
        <v>84</v>
      </c>
    </row>
    <row r="2797" spans="1:2" x14ac:dyDescent="0.2">
      <c r="A2797" s="117">
        <v>37494</v>
      </c>
      <c r="B2797" s="116">
        <f t="shared" si="43"/>
        <v>84</v>
      </c>
    </row>
    <row r="2798" spans="1:2" x14ac:dyDescent="0.2">
      <c r="A2798" s="117">
        <v>37495</v>
      </c>
      <c r="B2798" s="116">
        <f t="shared" si="43"/>
        <v>84</v>
      </c>
    </row>
    <row r="2799" spans="1:2" x14ac:dyDescent="0.2">
      <c r="A2799" s="117">
        <v>37496</v>
      </c>
      <c r="B2799" s="116">
        <f t="shared" si="43"/>
        <v>84</v>
      </c>
    </row>
    <row r="2800" spans="1:2" x14ac:dyDescent="0.2">
      <c r="A2800" s="117">
        <v>37497</v>
      </c>
      <c r="B2800" s="116">
        <f t="shared" si="43"/>
        <v>84</v>
      </c>
    </row>
    <row r="2801" spans="1:2" x14ac:dyDescent="0.2">
      <c r="A2801" s="117">
        <v>37498</v>
      </c>
      <c r="B2801" s="116">
        <f t="shared" si="43"/>
        <v>84</v>
      </c>
    </row>
    <row r="2802" spans="1:2" x14ac:dyDescent="0.2">
      <c r="A2802" s="117">
        <v>37499</v>
      </c>
      <c r="B2802" s="116">
        <f t="shared" si="43"/>
        <v>84</v>
      </c>
    </row>
    <row r="2803" spans="1:2" x14ac:dyDescent="0.2">
      <c r="A2803" s="117">
        <v>37500</v>
      </c>
      <c r="B2803" s="116">
        <f t="shared" si="43"/>
        <v>91</v>
      </c>
    </row>
    <row r="2804" spans="1:2" x14ac:dyDescent="0.2">
      <c r="A2804" s="117">
        <v>37501</v>
      </c>
      <c r="B2804" s="116">
        <f t="shared" si="43"/>
        <v>91</v>
      </c>
    </row>
    <row r="2805" spans="1:2" x14ac:dyDescent="0.2">
      <c r="A2805" s="117">
        <v>37502</v>
      </c>
      <c r="B2805" s="116">
        <f t="shared" si="43"/>
        <v>91</v>
      </c>
    </row>
    <row r="2806" spans="1:2" x14ac:dyDescent="0.2">
      <c r="A2806" s="117">
        <v>37503</v>
      </c>
      <c r="B2806" s="116">
        <f t="shared" si="43"/>
        <v>91</v>
      </c>
    </row>
    <row r="2807" spans="1:2" x14ac:dyDescent="0.2">
      <c r="A2807" s="117">
        <v>37504</v>
      </c>
      <c r="B2807" s="116">
        <f t="shared" si="43"/>
        <v>91</v>
      </c>
    </row>
    <row r="2808" spans="1:2" x14ac:dyDescent="0.2">
      <c r="A2808" s="117">
        <v>37505</v>
      </c>
      <c r="B2808" s="116">
        <f t="shared" si="43"/>
        <v>91</v>
      </c>
    </row>
    <row r="2809" spans="1:2" x14ac:dyDescent="0.2">
      <c r="A2809" s="117">
        <v>37506</v>
      </c>
      <c r="B2809" s="116">
        <f t="shared" si="43"/>
        <v>91</v>
      </c>
    </row>
    <row r="2810" spans="1:2" x14ac:dyDescent="0.2">
      <c r="A2810" s="117">
        <v>37507</v>
      </c>
      <c r="B2810" s="116">
        <f t="shared" si="43"/>
        <v>92</v>
      </c>
    </row>
    <row r="2811" spans="1:2" x14ac:dyDescent="0.2">
      <c r="A2811" s="117">
        <v>37508</v>
      </c>
      <c r="B2811" s="116">
        <f t="shared" si="43"/>
        <v>92</v>
      </c>
    </row>
    <row r="2812" spans="1:2" x14ac:dyDescent="0.2">
      <c r="A2812" s="117">
        <v>37509</v>
      </c>
      <c r="B2812" s="116">
        <f t="shared" si="43"/>
        <v>92</v>
      </c>
    </row>
    <row r="2813" spans="1:2" x14ac:dyDescent="0.2">
      <c r="A2813" s="117">
        <v>37510</v>
      </c>
      <c r="B2813" s="116">
        <f t="shared" si="43"/>
        <v>92</v>
      </c>
    </row>
    <row r="2814" spans="1:2" x14ac:dyDescent="0.2">
      <c r="A2814" s="117">
        <v>37511</v>
      </c>
      <c r="B2814" s="116">
        <f t="shared" si="43"/>
        <v>92</v>
      </c>
    </row>
    <row r="2815" spans="1:2" x14ac:dyDescent="0.2">
      <c r="A2815" s="117">
        <v>37512</v>
      </c>
      <c r="B2815" s="116">
        <f t="shared" si="43"/>
        <v>92</v>
      </c>
    </row>
    <row r="2816" spans="1:2" x14ac:dyDescent="0.2">
      <c r="A2816" s="117">
        <v>37513</v>
      </c>
      <c r="B2816" s="116">
        <f t="shared" si="43"/>
        <v>92</v>
      </c>
    </row>
    <row r="2817" spans="1:2" x14ac:dyDescent="0.2">
      <c r="A2817" s="117">
        <v>37514</v>
      </c>
      <c r="B2817" s="116">
        <f t="shared" si="43"/>
        <v>93</v>
      </c>
    </row>
    <row r="2818" spans="1:2" x14ac:dyDescent="0.2">
      <c r="A2818" s="117">
        <v>37515</v>
      </c>
      <c r="B2818" s="116">
        <f t="shared" si="43"/>
        <v>93</v>
      </c>
    </row>
    <row r="2819" spans="1:2" x14ac:dyDescent="0.2">
      <c r="A2819" s="117">
        <v>37516</v>
      </c>
      <c r="B2819" s="116">
        <f t="shared" si="43"/>
        <v>93</v>
      </c>
    </row>
    <row r="2820" spans="1:2" x14ac:dyDescent="0.2">
      <c r="A2820" s="117">
        <v>37517</v>
      </c>
      <c r="B2820" s="116">
        <f t="shared" ref="B2820:B2883" si="44">VLOOKUP(WEEKNUM(A2820),$D$4:$E$59,2)</f>
        <v>93</v>
      </c>
    </row>
    <row r="2821" spans="1:2" x14ac:dyDescent="0.2">
      <c r="A2821" s="117">
        <v>37518</v>
      </c>
      <c r="B2821" s="116">
        <f t="shared" si="44"/>
        <v>93</v>
      </c>
    </row>
    <row r="2822" spans="1:2" x14ac:dyDescent="0.2">
      <c r="A2822" s="117">
        <v>37519</v>
      </c>
      <c r="B2822" s="116">
        <f t="shared" si="44"/>
        <v>93</v>
      </c>
    </row>
    <row r="2823" spans="1:2" x14ac:dyDescent="0.2">
      <c r="A2823" s="117">
        <v>37520</v>
      </c>
      <c r="B2823" s="116">
        <f t="shared" si="44"/>
        <v>93</v>
      </c>
    </row>
    <row r="2824" spans="1:2" x14ac:dyDescent="0.2">
      <c r="A2824" s="117">
        <v>37521</v>
      </c>
      <c r="B2824" s="116">
        <f t="shared" si="44"/>
        <v>94</v>
      </c>
    </row>
    <row r="2825" spans="1:2" x14ac:dyDescent="0.2">
      <c r="A2825" s="117">
        <v>37522</v>
      </c>
      <c r="B2825" s="116">
        <f t="shared" si="44"/>
        <v>94</v>
      </c>
    </row>
    <row r="2826" spans="1:2" x14ac:dyDescent="0.2">
      <c r="A2826" s="117">
        <v>37523</v>
      </c>
      <c r="B2826" s="116">
        <f t="shared" si="44"/>
        <v>94</v>
      </c>
    </row>
    <row r="2827" spans="1:2" x14ac:dyDescent="0.2">
      <c r="A2827" s="117">
        <v>37524</v>
      </c>
      <c r="B2827" s="116">
        <f t="shared" si="44"/>
        <v>94</v>
      </c>
    </row>
    <row r="2828" spans="1:2" x14ac:dyDescent="0.2">
      <c r="A2828" s="117">
        <v>37525</v>
      </c>
      <c r="B2828" s="116">
        <f t="shared" si="44"/>
        <v>94</v>
      </c>
    </row>
    <row r="2829" spans="1:2" x14ac:dyDescent="0.2">
      <c r="A2829" s="117">
        <v>37526</v>
      </c>
      <c r="B2829" s="116">
        <f t="shared" si="44"/>
        <v>94</v>
      </c>
    </row>
    <row r="2830" spans="1:2" x14ac:dyDescent="0.2">
      <c r="A2830" s="117">
        <v>37527</v>
      </c>
      <c r="B2830" s="116">
        <f t="shared" si="44"/>
        <v>94</v>
      </c>
    </row>
    <row r="2831" spans="1:2" x14ac:dyDescent="0.2">
      <c r="A2831" s="117">
        <v>37528</v>
      </c>
      <c r="B2831" s="116">
        <f t="shared" si="44"/>
        <v>101</v>
      </c>
    </row>
    <row r="2832" spans="1:2" x14ac:dyDescent="0.2">
      <c r="A2832" s="117">
        <v>37529</v>
      </c>
      <c r="B2832" s="116">
        <f t="shared" si="44"/>
        <v>101</v>
      </c>
    </row>
    <row r="2833" spans="1:2" x14ac:dyDescent="0.2">
      <c r="A2833" s="117">
        <v>37530</v>
      </c>
      <c r="B2833" s="116">
        <f t="shared" si="44"/>
        <v>101</v>
      </c>
    </row>
    <row r="2834" spans="1:2" x14ac:dyDescent="0.2">
      <c r="A2834" s="117">
        <v>37531</v>
      </c>
      <c r="B2834" s="116">
        <f t="shared" si="44"/>
        <v>101</v>
      </c>
    </row>
    <row r="2835" spans="1:2" x14ac:dyDescent="0.2">
      <c r="A2835" s="117">
        <v>37532</v>
      </c>
      <c r="B2835" s="116">
        <f t="shared" si="44"/>
        <v>101</v>
      </c>
    </row>
    <row r="2836" spans="1:2" x14ac:dyDescent="0.2">
      <c r="A2836" s="117">
        <v>37533</v>
      </c>
      <c r="B2836" s="116">
        <f t="shared" si="44"/>
        <v>101</v>
      </c>
    </row>
    <row r="2837" spans="1:2" x14ac:dyDescent="0.2">
      <c r="A2837" s="117">
        <v>37534</v>
      </c>
      <c r="B2837" s="116">
        <f t="shared" si="44"/>
        <v>101</v>
      </c>
    </row>
    <row r="2838" spans="1:2" x14ac:dyDescent="0.2">
      <c r="A2838" s="117">
        <v>37535</v>
      </c>
      <c r="B2838" s="116">
        <f t="shared" si="44"/>
        <v>102</v>
      </c>
    </row>
    <row r="2839" spans="1:2" x14ac:dyDescent="0.2">
      <c r="A2839" s="117">
        <v>37536</v>
      </c>
      <c r="B2839" s="116">
        <f t="shared" si="44"/>
        <v>102</v>
      </c>
    </row>
    <row r="2840" spans="1:2" x14ac:dyDescent="0.2">
      <c r="A2840" s="117">
        <v>37537</v>
      </c>
      <c r="B2840" s="116">
        <f t="shared" si="44"/>
        <v>102</v>
      </c>
    </row>
    <row r="2841" spans="1:2" x14ac:dyDescent="0.2">
      <c r="A2841" s="117">
        <v>37538</v>
      </c>
      <c r="B2841" s="116">
        <f t="shared" si="44"/>
        <v>102</v>
      </c>
    </row>
    <row r="2842" spans="1:2" x14ac:dyDescent="0.2">
      <c r="A2842" s="117">
        <v>37539</v>
      </c>
      <c r="B2842" s="116">
        <f t="shared" si="44"/>
        <v>102</v>
      </c>
    </row>
    <row r="2843" spans="1:2" x14ac:dyDescent="0.2">
      <c r="A2843" s="117">
        <v>37540</v>
      </c>
      <c r="B2843" s="116">
        <f t="shared" si="44"/>
        <v>102</v>
      </c>
    </row>
    <row r="2844" spans="1:2" x14ac:dyDescent="0.2">
      <c r="A2844" s="117">
        <v>37541</v>
      </c>
      <c r="B2844" s="116">
        <f t="shared" si="44"/>
        <v>102</v>
      </c>
    </row>
    <row r="2845" spans="1:2" x14ac:dyDescent="0.2">
      <c r="A2845" s="117">
        <v>37542</v>
      </c>
      <c r="B2845" s="116">
        <f t="shared" si="44"/>
        <v>103</v>
      </c>
    </row>
    <row r="2846" spans="1:2" x14ac:dyDescent="0.2">
      <c r="A2846" s="117">
        <v>37543</v>
      </c>
      <c r="B2846" s="116">
        <f t="shared" si="44"/>
        <v>103</v>
      </c>
    </row>
    <row r="2847" spans="1:2" x14ac:dyDescent="0.2">
      <c r="A2847" s="117">
        <v>37544</v>
      </c>
      <c r="B2847" s="116">
        <f t="shared" si="44"/>
        <v>103</v>
      </c>
    </row>
    <row r="2848" spans="1:2" x14ac:dyDescent="0.2">
      <c r="A2848" s="117">
        <v>37545</v>
      </c>
      <c r="B2848" s="116">
        <f t="shared" si="44"/>
        <v>103</v>
      </c>
    </row>
    <row r="2849" spans="1:2" x14ac:dyDescent="0.2">
      <c r="A2849" s="117">
        <v>37546</v>
      </c>
      <c r="B2849" s="116">
        <f t="shared" si="44"/>
        <v>103</v>
      </c>
    </row>
    <row r="2850" spans="1:2" x14ac:dyDescent="0.2">
      <c r="A2850" s="117">
        <v>37547</v>
      </c>
      <c r="B2850" s="116">
        <f t="shared" si="44"/>
        <v>103</v>
      </c>
    </row>
    <row r="2851" spans="1:2" x14ac:dyDescent="0.2">
      <c r="A2851" s="117">
        <v>37548</v>
      </c>
      <c r="B2851" s="116">
        <f t="shared" si="44"/>
        <v>103</v>
      </c>
    </row>
    <row r="2852" spans="1:2" x14ac:dyDescent="0.2">
      <c r="A2852" s="117">
        <v>37549</v>
      </c>
      <c r="B2852" s="116">
        <f t="shared" si="44"/>
        <v>104</v>
      </c>
    </row>
    <row r="2853" spans="1:2" x14ac:dyDescent="0.2">
      <c r="A2853" s="117">
        <v>37550</v>
      </c>
      <c r="B2853" s="116">
        <f t="shared" si="44"/>
        <v>104</v>
      </c>
    </row>
    <row r="2854" spans="1:2" x14ac:dyDescent="0.2">
      <c r="A2854" s="117">
        <v>37551</v>
      </c>
      <c r="B2854" s="116">
        <f t="shared" si="44"/>
        <v>104</v>
      </c>
    </row>
    <row r="2855" spans="1:2" x14ac:dyDescent="0.2">
      <c r="A2855" s="117">
        <v>37552</v>
      </c>
      <c r="B2855" s="116">
        <f t="shared" si="44"/>
        <v>104</v>
      </c>
    </row>
    <row r="2856" spans="1:2" x14ac:dyDescent="0.2">
      <c r="A2856" s="117">
        <v>37553</v>
      </c>
      <c r="B2856" s="116">
        <f t="shared" si="44"/>
        <v>104</v>
      </c>
    </row>
    <row r="2857" spans="1:2" x14ac:dyDescent="0.2">
      <c r="A2857" s="117">
        <v>37554</v>
      </c>
      <c r="B2857" s="116">
        <f t="shared" si="44"/>
        <v>104</v>
      </c>
    </row>
    <row r="2858" spans="1:2" x14ac:dyDescent="0.2">
      <c r="A2858" s="117">
        <v>37555</v>
      </c>
      <c r="B2858" s="116">
        <f t="shared" si="44"/>
        <v>104</v>
      </c>
    </row>
    <row r="2859" spans="1:2" x14ac:dyDescent="0.2">
      <c r="A2859" s="117">
        <v>37556</v>
      </c>
      <c r="B2859" s="116">
        <f t="shared" si="44"/>
        <v>105</v>
      </c>
    </row>
    <row r="2860" spans="1:2" x14ac:dyDescent="0.2">
      <c r="A2860" s="117">
        <v>37557</v>
      </c>
      <c r="B2860" s="116">
        <f t="shared" si="44"/>
        <v>105</v>
      </c>
    </row>
    <row r="2861" spans="1:2" x14ac:dyDescent="0.2">
      <c r="A2861" s="117">
        <v>37558</v>
      </c>
      <c r="B2861" s="116">
        <f t="shared" si="44"/>
        <v>105</v>
      </c>
    </row>
    <row r="2862" spans="1:2" x14ac:dyDescent="0.2">
      <c r="A2862" s="117">
        <v>37559</v>
      </c>
      <c r="B2862" s="116">
        <f t="shared" si="44"/>
        <v>105</v>
      </c>
    </row>
    <row r="2863" spans="1:2" x14ac:dyDescent="0.2">
      <c r="A2863" s="117">
        <v>37560</v>
      </c>
      <c r="B2863" s="116">
        <f t="shared" si="44"/>
        <v>105</v>
      </c>
    </row>
    <row r="2864" spans="1:2" x14ac:dyDescent="0.2">
      <c r="A2864" s="117">
        <v>37561</v>
      </c>
      <c r="B2864" s="116">
        <f t="shared" si="44"/>
        <v>105</v>
      </c>
    </row>
    <row r="2865" spans="1:2" x14ac:dyDescent="0.2">
      <c r="A2865" s="117">
        <v>37562</v>
      </c>
      <c r="B2865" s="116">
        <f t="shared" si="44"/>
        <v>105</v>
      </c>
    </row>
    <row r="2866" spans="1:2" x14ac:dyDescent="0.2">
      <c r="A2866" s="117">
        <v>37563</v>
      </c>
      <c r="B2866" s="116">
        <f t="shared" si="44"/>
        <v>111</v>
      </c>
    </row>
    <row r="2867" spans="1:2" x14ac:dyDescent="0.2">
      <c r="A2867" s="117">
        <v>37564</v>
      </c>
      <c r="B2867" s="116">
        <f t="shared" si="44"/>
        <v>111</v>
      </c>
    </row>
    <row r="2868" spans="1:2" x14ac:dyDescent="0.2">
      <c r="A2868" s="117">
        <v>37565</v>
      </c>
      <c r="B2868" s="116">
        <f t="shared" si="44"/>
        <v>111</v>
      </c>
    </row>
    <row r="2869" spans="1:2" x14ac:dyDescent="0.2">
      <c r="A2869" s="117">
        <v>37566</v>
      </c>
      <c r="B2869" s="116">
        <f t="shared" si="44"/>
        <v>111</v>
      </c>
    </row>
    <row r="2870" spans="1:2" x14ac:dyDescent="0.2">
      <c r="A2870" s="117">
        <v>37567</v>
      </c>
      <c r="B2870" s="116">
        <f t="shared" si="44"/>
        <v>111</v>
      </c>
    </row>
    <row r="2871" spans="1:2" x14ac:dyDescent="0.2">
      <c r="A2871" s="117">
        <v>37568</v>
      </c>
      <c r="B2871" s="116">
        <f t="shared" si="44"/>
        <v>111</v>
      </c>
    </row>
    <row r="2872" spans="1:2" x14ac:dyDescent="0.2">
      <c r="A2872" s="117">
        <v>37569</v>
      </c>
      <c r="B2872" s="116">
        <f t="shared" si="44"/>
        <v>111</v>
      </c>
    </row>
    <row r="2873" spans="1:2" x14ac:dyDescent="0.2">
      <c r="A2873" s="117">
        <v>37570</v>
      </c>
      <c r="B2873" s="116">
        <f t="shared" si="44"/>
        <v>112</v>
      </c>
    </row>
    <row r="2874" spans="1:2" x14ac:dyDescent="0.2">
      <c r="A2874" s="117">
        <v>37571</v>
      </c>
      <c r="B2874" s="116">
        <f t="shared" si="44"/>
        <v>112</v>
      </c>
    </row>
    <row r="2875" spans="1:2" x14ac:dyDescent="0.2">
      <c r="A2875" s="117">
        <v>37572</v>
      </c>
      <c r="B2875" s="116">
        <f t="shared" si="44"/>
        <v>112</v>
      </c>
    </row>
    <row r="2876" spans="1:2" x14ac:dyDescent="0.2">
      <c r="A2876" s="117">
        <v>37573</v>
      </c>
      <c r="B2876" s="116">
        <f t="shared" si="44"/>
        <v>112</v>
      </c>
    </row>
    <row r="2877" spans="1:2" x14ac:dyDescent="0.2">
      <c r="A2877" s="117">
        <v>37574</v>
      </c>
      <c r="B2877" s="116">
        <f t="shared" si="44"/>
        <v>112</v>
      </c>
    </row>
    <row r="2878" spans="1:2" x14ac:dyDescent="0.2">
      <c r="A2878" s="117">
        <v>37575</v>
      </c>
      <c r="B2878" s="116">
        <f t="shared" si="44"/>
        <v>112</v>
      </c>
    </row>
    <row r="2879" spans="1:2" x14ac:dyDescent="0.2">
      <c r="A2879" s="117">
        <v>37576</v>
      </c>
      <c r="B2879" s="116">
        <f t="shared" si="44"/>
        <v>112</v>
      </c>
    </row>
    <row r="2880" spans="1:2" x14ac:dyDescent="0.2">
      <c r="A2880" s="117">
        <v>37577</v>
      </c>
      <c r="B2880" s="116">
        <f t="shared" si="44"/>
        <v>113</v>
      </c>
    </row>
    <row r="2881" spans="1:2" x14ac:dyDescent="0.2">
      <c r="A2881" s="117">
        <v>37578</v>
      </c>
      <c r="B2881" s="116">
        <f t="shared" si="44"/>
        <v>113</v>
      </c>
    </row>
    <row r="2882" spans="1:2" x14ac:dyDescent="0.2">
      <c r="A2882" s="117">
        <v>37579</v>
      </c>
      <c r="B2882" s="116">
        <f t="shared" si="44"/>
        <v>113</v>
      </c>
    </row>
    <row r="2883" spans="1:2" x14ac:dyDescent="0.2">
      <c r="A2883" s="117">
        <v>37580</v>
      </c>
      <c r="B2883" s="116">
        <f t="shared" si="44"/>
        <v>113</v>
      </c>
    </row>
    <row r="2884" spans="1:2" x14ac:dyDescent="0.2">
      <c r="A2884" s="117">
        <v>37581</v>
      </c>
      <c r="B2884" s="116">
        <f t="shared" ref="B2884:B2947" si="45">VLOOKUP(WEEKNUM(A2884),$D$4:$E$59,2)</f>
        <v>113</v>
      </c>
    </row>
    <row r="2885" spans="1:2" x14ac:dyDescent="0.2">
      <c r="A2885" s="117">
        <v>37582</v>
      </c>
      <c r="B2885" s="116">
        <f t="shared" si="45"/>
        <v>113</v>
      </c>
    </row>
    <row r="2886" spans="1:2" x14ac:dyDescent="0.2">
      <c r="A2886" s="117">
        <v>37583</v>
      </c>
      <c r="B2886" s="116">
        <f t="shared" si="45"/>
        <v>113</v>
      </c>
    </row>
    <row r="2887" spans="1:2" x14ac:dyDescent="0.2">
      <c r="A2887" s="117">
        <v>37584</v>
      </c>
      <c r="B2887" s="116">
        <f t="shared" si="45"/>
        <v>114</v>
      </c>
    </row>
    <row r="2888" spans="1:2" x14ac:dyDescent="0.2">
      <c r="A2888" s="117">
        <v>37585</v>
      </c>
      <c r="B2888" s="116">
        <f t="shared" si="45"/>
        <v>114</v>
      </c>
    </row>
    <row r="2889" spans="1:2" x14ac:dyDescent="0.2">
      <c r="A2889" s="117">
        <v>37586</v>
      </c>
      <c r="B2889" s="116">
        <f t="shared" si="45"/>
        <v>114</v>
      </c>
    </row>
    <row r="2890" spans="1:2" x14ac:dyDescent="0.2">
      <c r="A2890" s="117">
        <v>37587</v>
      </c>
      <c r="B2890" s="116">
        <f t="shared" si="45"/>
        <v>114</v>
      </c>
    </row>
    <row r="2891" spans="1:2" x14ac:dyDescent="0.2">
      <c r="A2891" s="117">
        <v>37588</v>
      </c>
      <c r="B2891" s="116">
        <f t="shared" si="45"/>
        <v>114</v>
      </c>
    </row>
    <row r="2892" spans="1:2" x14ac:dyDescent="0.2">
      <c r="A2892" s="117">
        <v>37589</v>
      </c>
      <c r="B2892" s="116">
        <f t="shared" si="45"/>
        <v>114</v>
      </c>
    </row>
    <row r="2893" spans="1:2" x14ac:dyDescent="0.2">
      <c r="A2893" s="117">
        <v>37590</v>
      </c>
      <c r="B2893" s="116">
        <f t="shared" si="45"/>
        <v>114</v>
      </c>
    </row>
    <row r="2894" spans="1:2" x14ac:dyDescent="0.2">
      <c r="A2894" s="117">
        <v>37591</v>
      </c>
      <c r="B2894" s="116">
        <f t="shared" si="45"/>
        <v>115</v>
      </c>
    </row>
    <row r="2895" spans="1:2" x14ac:dyDescent="0.2">
      <c r="A2895" s="117">
        <v>37592</v>
      </c>
      <c r="B2895" s="116">
        <f t="shared" si="45"/>
        <v>115</v>
      </c>
    </row>
    <row r="2896" spans="1:2" x14ac:dyDescent="0.2">
      <c r="A2896" s="117">
        <v>37593</v>
      </c>
      <c r="B2896" s="116">
        <f t="shared" si="45"/>
        <v>115</v>
      </c>
    </row>
    <row r="2897" spans="1:2" x14ac:dyDescent="0.2">
      <c r="A2897" s="117">
        <v>37594</v>
      </c>
      <c r="B2897" s="116">
        <f t="shared" si="45"/>
        <v>115</v>
      </c>
    </row>
    <row r="2898" spans="1:2" x14ac:dyDescent="0.2">
      <c r="A2898" s="117">
        <v>37595</v>
      </c>
      <c r="B2898" s="116">
        <f t="shared" si="45"/>
        <v>115</v>
      </c>
    </row>
    <row r="2899" spans="1:2" x14ac:dyDescent="0.2">
      <c r="A2899" s="117">
        <v>37596</v>
      </c>
      <c r="B2899" s="116">
        <f t="shared" si="45"/>
        <v>115</v>
      </c>
    </row>
    <row r="2900" spans="1:2" x14ac:dyDescent="0.2">
      <c r="A2900" s="117">
        <v>37597</v>
      </c>
      <c r="B2900" s="116">
        <f t="shared" si="45"/>
        <v>115</v>
      </c>
    </row>
    <row r="2901" spans="1:2" x14ac:dyDescent="0.2">
      <c r="A2901" s="117">
        <v>37598</v>
      </c>
      <c r="B2901" s="116">
        <f t="shared" si="45"/>
        <v>121</v>
      </c>
    </row>
    <row r="2902" spans="1:2" x14ac:dyDescent="0.2">
      <c r="A2902" s="117">
        <v>37599</v>
      </c>
      <c r="B2902" s="116">
        <f t="shared" si="45"/>
        <v>121</v>
      </c>
    </row>
    <row r="2903" spans="1:2" x14ac:dyDescent="0.2">
      <c r="A2903" s="117">
        <v>37600</v>
      </c>
      <c r="B2903" s="116">
        <f t="shared" si="45"/>
        <v>121</v>
      </c>
    </row>
    <row r="2904" spans="1:2" x14ac:dyDescent="0.2">
      <c r="A2904" s="117">
        <v>37601</v>
      </c>
      <c r="B2904" s="116">
        <f t="shared" si="45"/>
        <v>121</v>
      </c>
    </row>
    <row r="2905" spans="1:2" x14ac:dyDescent="0.2">
      <c r="A2905" s="117">
        <v>37602</v>
      </c>
      <c r="B2905" s="116">
        <f t="shared" si="45"/>
        <v>121</v>
      </c>
    </row>
    <row r="2906" spans="1:2" x14ac:dyDescent="0.2">
      <c r="A2906" s="117">
        <v>37603</v>
      </c>
      <c r="B2906" s="116">
        <f t="shared" si="45"/>
        <v>121</v>
      </c>
    </row>
    <row r="2907" spans="1:2" x14ac:dyDescent="0.2">
      <c r="A2907" s="117">
        <v>37604</v>
      </c>
      <c r="B2907" s="116">
        <f t="shared" si="45"/>
        <v>121</v>
      </c>
    </row>
    <row r="2908" spans="1:2" x14ac:dyDescent="0.2">
      <c r="A2908" s="117">
        <v>37605</v>
      </c>
      <c r="B2908" s="116">
        <f t="shared" si="45"/>
        <v>122</v>
      </c>
    </row>
    <row r="2909" spans="1:2" x14ac:dyDescent="0.2">
      <c r="A2909" s="117">
        <v>37606</v>
      </c>
      <c r="B2909" s="116">
        <f t="shared" si="45"/>
        <v>122</v>
      </c>
    </row>
    <row r="2910" spans="1:2" x14ac:dyDescent="0.2">
      <c r="A2910" s="117">
        <v>37607</v>
      </c>
      <c r="B2910" s="116">
        <f t="shared" si="45"/>
        <v>122</v>
      </c>
    </row>
    <row r="2911" spans="1:2" x14ac:dyDescent="0.2">
      <c r="A2911" s="117">
        <v>37608</v>
      </c>
      <c r="B2911" s="116">
        <f t="shared" si="45"/>
        <v>122</v>
      </c>
    </row>
    <row r="2912" spans="1:2" x14ac:dyDescent="0.2">
      <c r="A2912" s="117">
        <v>37609</v>
      </c>
      <c r="B2912" s="116">
        <f t="shared" si="45"/>
        <v>122</v>
      </c>
    </row>
    <row r="2913" spans="1:2" x14ac:dyDescent="0.2">
      <c r="A2913" s="117">
        <v>37610</v>
      </c>
      <c r="B2913" s="116">
        <f t="shared" si="45"/>
        <v>122</v>
      </c>
    </row>
    <row r="2914" spans="1:2" x14ac:dyDescent="0.2">
      <c r="A2914" s="117">
        <v>37611</v>
      </c>
      <c r="B2914" s="116">
        <f t="shared" si="45"/>
        <v>122</v>
      </c>
    </row>
    <row r="2915" spans="1:2" x14ac:dyDescent="0.2">
      <c r="A2915" s="117">
        <v>37612</v>
      </c>
      <c r="B2915" s="116">
        <f t="shared" si="45"/>
        <v>123</v>
      </c>
    </row>
    <row r="2916" spans="1:2" x14ac:dyDescent="0.2">
      <c r="A2916" s="117">
        <v>37613</v>
      </c>
      <c r="B2916" s="116">
        <f t="shared" si="45"/>
        <v>123</v>
      </c>
    </row>
    <row r="2917" spans="1:2" x14ac:dyDescent="0.2">
      <c r="A2917" s="117">
        <v>37614</v>
      </c>
      <c r="B2917" s="116">
        <f t="shared" si="45"/>
        <v>123</v>
      </c>
    </row>
    <row r="2918" spans="1:2" x14ac:dyDescent="0.2">
      <c r="A2918" s="117">
        <v>37615</v>
      </c>
      <c r="B2918" s="116">
        <f t="shared" si="45"/>
        <v>123</v>
      </c>
    </row>
    <row r="2919" spans="1:2" x14ac:dyDescent="0.2">
      <c r="A2919" s="117">
        <v>37616</v>
      </c>
      <c r="B2919" s="116">
        <f t="shared" si="45"/>
        <v>123</v>
      </c>
    </row>
    <row r="2920" spans="1:2" x14ac:dyDescent="0.2">
      <c r="A2920" s="117">
        <v>37617</v>
      </c>
      <c r="B2920" s="116">
        <f t="shared" si="45"/>
        <v>123</v>
      </c>
    </row>
    <row r="2921" spans="1:2" x14ac:dyDescent="0.2">
      <c r="A2921" s="117">
        <v>37618</v>
      </c>
      <c r="B2921" s="116">
        <f t="shared" si="45"/>
        <v>123</v>
      </c>
    </row>
    <row r="2922" spans="1:2" x14ac:dyDescent="0.2">
      <c r="A2922" s="117">
        <v>37619</v>
      </c>
      <c r="B2922" s="116">
        <f t="shared" si="45"/>
        <v>124</v>
      </c>
    </row>
    <row r="2923" spans="1:2" x14ac:dyDescent="0.2">
      <c r="A2923" s="117">
        <v>37620</v>
      </c>
      <c r="B2923" s="116">
        <f t="shared" si="45"/>
        <v>124</v>
      </c>
    </row>
    <row r="2924" spans="1:2" x14ac:dyDescent="0.2">
      <c r="A2924" s="117">
        <v>37621</v>
      </c>
      <c r="B2924" s="116">
        <f t="shared" si="45"/>
        <v>124</v>
      </c>
    </row>
    <row r="2925" spans="1:2" x14ac:dyDescent="0.2">
      <c r="A2925" s="117">
        <v>37622</v>
      </c>
      <c r="B2925" s="116">
        <f t="shared" si="45"/>
        <v>11</v>
      </c>
    </row>
    <row r="2926" spans="1:2" x14ac:dyDescent="0.2">
      <c r="A2926" s="117">
        <v>37623</v>
      </c>
      <c r="B2926" s="116">
        <f t="shared" si="45"/>
        <v>11</v>
      </c>
    </row>
    <row r="2927" spans="1:2" x14ac:dyDescent="0.2">
      <c r="A2927" s="117">
        <v>37624</v>
      </c>
      <c r="B2927" s="116">
        <f t="shared" si="45"/>
        <v>11</v>
      </c>
    </row>
    <row r="2928" spans="1:2" x14ac:dyDescent="0.2">
      <c r="A2928" s="117">
        <v>37625</v>
      </c>
      <c r="B2928" s="116">
        <f t="shared" si="45"/>
        <v>11</v>
      </c>
    </row>
    <row r="2929" spans="1:2" x14ac:dyDescent="0.2">
      <c r="A2929" s="117">
        <v>37626</v>
      </c>
      <c r="B2929" s="116">
        <f t="shared" si="45"/>
        <v>12</v>
      </c>
    </row>
    <row r="2930" spans="1:2" x14ac:dyDescent="0.2">
      <c r="A2930" s="117">
        <v>37627</v>
      </c>
      <c r="B2930" s="116">
        <f t="shared" si="45"/>
        <v>12</v>
      </c>
    </row>
    <row r="2931" spans="1:2" x14ac:dyDescent="0.2">
      <c r="A2931" s="117">
        <v>37628</v>
      </c>
      <c r="B2931" s="116">
        <f t="shared" si="45"/>
        <v>12</v>
      </c>
    </row>
    <row r="2932" spans="1:2" x14ac:dyDescent="0.2">
      <c r="A2932" s="117">
        <v>37629</v>
      </c>
      <c r="B2932" s="116">
        <f t="shared" si="45"/>
        <v>12</v>
      </c>
    </row>
    <row r="2933" spans="1:2" x14ac:dyDescent="0.2">
      <c r="A2933" s="117">
        <v>37630</v>
      </c>
      <c r="B2933" s="116">
        <f t="shared" si="45"/>
        <v>12</v>
      </c>
    </row>
    <row r="2934" spans="1:2" x14ac:dyDescent="0.2">
      <c r="A2934" s="117">
        <v>37631</v>
      </c>
      <c r="B2934" s="116">
        <f t="shared" si="45"/>
        <v>12</v>
      </c>
    </row>
    <row r="2935" spans="1:2" x14ac:dyDescent="0.2">
      <c r="A2935" s="117">
        <v>37632</v>
      </c>
      <c r="B2935" s="116">
        <f t="shared" si="45"/>
        <v>12</v>
      </c>
    </row>
    <row r="2936" spans="1:2" x14ac:dyDescent="0.2">
      <c r="A2936" s="117">
        <v>37633</v>
      </c>
      <c r="B2936" s="116">
        <f t="shared" si="45"/>
        <v>13</v>
      </c>
    </row>
    <row r="2937" spans="1:2" x14ac:dyDescent="0.2">
      <c r="A2937" s="117">
        <v>37634</v>
      </c>
      <c r="B2937" s="116">
        <f t="shared" si="45"/>
        <v>13</v>
      </c>
    </row>
    <row r="2938" spans="1:2" x14ac:dyDescent="0.2">
      <c r="A2938" s="117">
        <v>37635</v>
      </c>
      <c r="B2938" s="116">
        <f t="shared" si="45"/>
        <v>13</v>
      </c>
    </row>
    <row r="2939" spans="1:2" x14ac:dyDescent="0.2">
      <c r="A2939" s="117">
        <v>37636</v>
      </c>
      <c r="B2939" s="116">
        <f t="shared" si="45"/>
        <v>13</v>
      </c>
    </row>
    <row r="2940" spans="1:2" x14ac:dyDescent="0.2">
      <c r="A2940" s="117">
        <v>37637</v>
      </c>
      <c r="B2940" s="116">
        <f t="shared" si="45"/>
        <v>13</v>
      </c>
    </row>
    <row r="2941" spans="1:2" x14ac:dyDescent="0.2">
      <c r="A2941" s="117">
        <v>37638</v>
      </c>
      <c r="B2941" s="116">
        <f t="shared" si="45"/>
        <v>13</v>
      </c>
    </row>
    <row r="2942" spans="1:2" x14ac:dyDescent="0.2">
      <c r="A2942" s="117">
        <v>37639</v>
      </c>
      <c r="B2942" s="116">
        <f t="shared" si="45"/>
        <v>13</v>
      </c>
    </row>
    <row r="2943" spans="1:2" x14ac:dyDescent="0.2">
      <c r="A2943" s="117">
        <v>37640</v>
      </c>
      <c r="B2943" s="116">
        <f t="shared" si="45"/>
        <v>14</v>
      </c>
    </row>
    <row r="2944" spans="1:2" x14ac:dyDescent="0.2">
      <c r="A2944" s="117">
        <v>37641</v>
      </c>
      <c r="B2944" s="116">
        <f t="shared" si="45"/>
        <v>14</v>
      </c>
    </row>
    <row r="2945" spans="1:2" x14ac:dyDescent="0.2">
      <c r="A2945" s="117">
        <v>37642</v>
      </c>
      <c r="B2945" s="116">
        <f t="shared" si="45"/>
        <v>14</v>
      </c>
    </row>
    <row r="2946" spans="1:2" x14ac:dyDescent="0.2">
      <c r="A2946" s="117">
        <v>37643</v>
      </c>
      <c r="B2946" s="116">
        <f t="shared" si="45"/>
        <v>14</v>
      </c>
    </row>
    <row r="2947" spans="1:2" x14ac:dyDescent="0.2">
      <c r="A2947" s="117">
        <v>37644</v>
      </c>
      <c r="B2947" s="116">
        <f t="shared" si="45"/>
        <v>14</v>
      </c>
    </row>
    <row r="2948" spans="1:2" x14ac:dyDescent="0.2">
      <c r="A2948" s="117">
        <v>37645</v>
      </c>
      <c r="B2948" s="116">
        <f t="shared" ref="B2948:B3011" si="46">VLOOKUP(WEEKNUM(A2948),$D$4:$E$59,2)</f>
        <v>14</v>
      </c>
    </row>
    <row r="2949" spans="1:2" x14ac:dyDescent="0.2">
      <c r="A2949" s="117">
        <v>37646</v>
      </c>
      <c r="B2949" s="116">
        <f t="shared" si="46"/>
        <v>14</v>
      </c>
    </row>
    <row r="2950" spans="1:2" x14ac:dyDescent="0.2">
      <c r="A2950" s="117">
        <v>37647</v>
      </c>
      <c r="B2950" s="116">
        <f t="shared" si="46"/>
        <v>15</v>
      </c>
    </row>
    <row r="2951" spans="1:2" x14ac:dyDescent="0.2">
      <c r="A2951" s="117">
        <v>37648</v>
      </c>
      <c r="B2951" s="116">
        <f t="shared" si="46"/>
        <v>15</v>
      </c>
    </row>
    <row r="2952" spans="1:2" x14ac:dyDescent="0.2">
      <c r="A2952" s="117">
        <v>37649</v>
      </c>
      <c r="B2952" s="116">
        <f t="shared" si="46"/>
        <v>15</v>
      </c>
    </row>
    <row r="2953" spans="1:2" x14ac:dyDescent="0.2">
      <c r="A2953" s="117">
        <v>37650</v>
      </c>
      <c r="B2953" s="116">
        <f t="shared" si="46"/>
        <v>15</v>
      </c>
    </row>
    <row r="2954" spans="1:2" x14ac:dyDescent="0.2">
      <c r="A2954" s="117">
        <v>37651</v>
      </c>
      <c r="B2954" s="116">
        <f t="shared" si="46"/>
        <v>15</v>
      </c>
    </row>
    <row r="2955" spans="1:2" x14ac:dyDescent="0.2">
      <c r="A2955" s="117">
        <v>37652</v>
      </c>
      <c r="B2955" s="116">
        <f t="shared" si="46"/>
        <v>15</v>
      </c>
    </row>
    <row r="2956" spans="1:2" x14ac:dyDescent="0.2">
      <c r="A2956" s="117">
        <v>37653</v>
      </c>
      <c r="B2956" s="116">
        <f t="shared" si="46"/>
        <v>15</v>
      </c>
    </row>
    <row r="2957" spans="1:2" x14ac:dyDescent="0.2">
      <c r="A2957" s="117">
        <v>37654</v>
      </c>
      <c r="B2957" s="116">
        <f t="shared" si="46"/>
        <v>21</v>
      </c>
    </row>
    <row r="2958" spans="1:2" x14ac:dyDescent="0.2">
      <c r="A2958" s="117">
        <v>37655</v>
      </c>
      <c r="B2958" s="116">
        <f t="shared" si="46"/>
        <v>21</v>
      </c>
    </row>
    <row r="2959" spans="1:2" x14ac:dyDescent="0.2">
      <c r="A2959" s="117">
        <v>37656</v>
      </c>
      <c r="B2959" s="116">
        <f t="shared" si="46"/>
        <v>21</v>
      </c>
    </row>
    <row r="2960" spans="1:2" x14ac:dyDescent="0.2">
      <c r="A2960" s="117">
        <v>37657</v>
      </c>
      <c r="B2960" s="116">
        <f t="shared" si="46"/>
        <v>21</v>
      </c>
    </row>
    <row r="2961" spans="1:2" x14ac:dyDescent="0.2">
      <c r="A2961" s="117">
        <v>37658</v>
      </c>
      <c r="B2961" s="116">
        <f t="shared" si="46"/>
        <v>21</v>
      </c>
    </row>
    <row r="2962" spans="1:2" x14ac:dyDescent="0.2">
      <c r="A2962" s="117">
        <v>37659</v>
      </c>
      <c r="B2962" s="116">
        <f t="shared" si="46"/>
        <v>21</v>
      </c>
    </row>
    <row r="2963" spans="1:2" x14ac:dyDescent="0.2">
      <c r="A2963" s="117">
        <v>37660</v>
      </c>
      <c r="B2963" s="116">
        <f t="shared" si="46"/>
        <v>21</v>
      </c>
    </row>
    <row r="2964" spans="1:2" x14ac:dyDescent="0.2">
      <c r="A2964" s="117">
        <v>37661</v>
      </c>
      <c r="B2964" s="116">
        <f t="shared" si="46"/>
        <v>22</v>
      </c>
    </row>
    <row r="2965" spans="1:2" x14ac:dyDescent="0.2">
      <c r="A2965" s="117">
        <v>37662</v>
      </c>
      <c r="B2965" s="116">
        <f t="shared" si="46"/>
        <v>22</v>
      </c>
    </row>
    <row r="2966" spans="1:2" x14ac:dyDescent="0.2">
      <c r="A2966" s="117">
        <v>37663</v>
      </c>
      <c r="B2966" s="116">
        <f t="shared" si="46"/>
        <v>22</v>
      </c>
    </row>
    <row r="2967" spans="1:2" x14ac:dyDescent="0.2">
      <c r="A2967" s="117">
        <v>37664</v>
      </c>
      <c r="B2967" s="116">
        <f t="shared" si="46"/>
        <v>22</v>
      </c>
    </row>
    <row r="2968" spans="1:2" x14ac:dyDescent="0.2">
      <c r="A2968" s="117">
        <v>37665</v>
      </c>
      <c r="B2968" s="116">
        <f t="shared" si="46"/>
        <v>22</v>
      </c>
    </row>
    <row r="2969" spans="1:2" x14ac:dyDescent="0.2">
      <c r="A2969" s="117">
        <v>37666</v>
      </c>
      <c r="B2969" s="116">
        <f t="shared" si="46"/>
        <v>22</v>
      </c>
    </row>
    <row r="2970" spans="1:2" x14ac:dyDescent="0.2">
      <c r="A2970" s="117">
        <v>37667</v>
      </c>
      <c r="B2970" s="116">
        <f t="shared" si="46"/>
        <v>22</v>
      </c>
    </row>
    <row r="2971" spans="1:2" x14ac:dyDescent="0.2">
      <c r="A2971" s="117">
        <v>37668</v>
      </c>
      <c r="B2971" s="116">
        <f t="shared" si="46"/>
        <v>23</v>
      </c>
    </row>
    <row r="2972" spans="1:2" x14ac:dyDescent="0.2">
      <c r="A2972" s="117">
        <v>37669</v>
      </c>
      <c r="B2972" s="116">
        <f t="shared" si="46"/>
        <v>23</v>
      </c>
    </row>
    <row r="2973" spans="1:2" x14ac:dyDescent="0.2">
      <c r="A2973" s="117">
        <v>37670</v>
      </c>
      <c r="B2973" s="116">
        <f t="shared" si="46"/>
        <v>23</v>
      </c>
    </row>
    <row r="2974" spans="1:2" x14ac:dyDescent="0.2">
      <c r="A2974" s="117">
        <v>37671</v>
      </c>
      <c r="B2974" s="116">
        <f t="shared" si="46"/>
        <v>23</v>
      </c>
    </row>
    <row r="2975" spans="1:2" x14ac:dyDescent="0.2">
      <c r="A2975" s="117">
        <v>37672</v>
      </c>
      <c r="B2975" s="116">
        <f t="shared" si="46"/>
        <v>23</v>
      </c>
    </row>
    <row r="2976" spans="1:2" x14ac:dyDescent="0.2">
      <c r="A2976" s="117">
        <v>37673</v>
      </c>
      <c r="B2976" s="116">
        <f t="shared" si="46"/>
        <v>23</v>
      </c>
    </row>
    <row r="2977" spans="1:2" x14ac:dyDescent="0.2">
      <c r="A2977" s="117">
        <v>37674</v>
      </c>
      <c r="B2977" s="116">
        <f t="shared" si="46"/>
        <v>23</v>
      </c>
    </row>
    <row r="2978" spans="1:2" x14ac:dyDescent="0.2">
      <c r="A2978" s="117">
        <v>37675</v>
      </c>
      <c r="B2978" s="116">
        <f t="shared" si="46"/>
        <v>24</v>
      </c>
    </row>
    <row r="2979" spans="1:2" x14ac:dyDescent="0.2">
      <c r="A2979" s="117">
        <v>37676</v>
      </c>
      <c r="B2979" s="116">
        <f t="shared" si="46"/>
        <v>24</v>
      </c>
    </row>
    <row r="2980" spans="1:2" x14ac:dyDescent="0.2">
      <c r="A2980" s="117">
        <v>37677</v>
      </c>
      <c r="B2980" s="116">
        <f t="shared" si="46"/>
        <v>24</v>
      </c>
    </row>
    <row r="2981" spans="1:2" x14ac:dyDescent="0.2">
      <c r="A2981" s="117">
        <v>37678</v>
      </c>
      <c r="B2981" s="116">
        <f t="shared" si="46"/>
        <v>24</v>
      </c>
    </row>
    <row r="2982" spans="1:2" x14ac:dyDescent="0.2">
      <c r="A2982" s="117">
        <v>37679</v>
      </c>
      <c r="B2982" s="116">
        <f t="shared" si="46"/>
        <v>24</v>
      </c>
    </row>
    <row r="2983" spans="1:2" x14ac:dyDescent="0.2">
      <c r="A2983" s="117">
        <v>37680</v>
      </c>
      <c r="B2983" s="116">
        <f t="shared" si="46"/>
        <v>24</v>
      </c>
    </row>
    <row r="2984" spans="1:2" x14ac:dyDescent="0.2">
      <c r="A2984" s="117">
        <v>37681</v>
      </c>
      <c r="B2984" s="116">
        <f t="shared" si="46"/>
        <v>24</v>
      </c>
    </row>
    <row r="2985" spans="1:2" x14ac:dyDescent="0.2">
      <c r="A2985" s="117">
        <v>37682</v>
      </c>
      <c r="B2985" s="116">
        <f t="shared" si="46"/>
        <v>31</v>
      </c>
    </row>
    <row r="2986" spans="1:2" x14ac:dyDescent="0.2">
      <c r="A2986" s="117">
        <v>37683</v>
      </c>
      <c r="B2986" s="116">
        <f t="shared" si="46"/>
        <v>31</v>
      </c>
    </row>
    <row r="2987" spans="1:2" x14ac:dyDescent="0.2">
      <c r="A2987" s="117">
        <v>37684</v>
      </c>
      <c r="B2987" s="116">
        <f t="shared" si="46"/>
        <v>31</v>
      </c>
    </row>
    <row r="2988" spans="1:2" x14ac:dyDescent="0.2">
      <c r="A2988" s="117">
        <v>37685</v>
      </c>
      <c r="B2988" s="116">
        <f t="shared" si="46"/>
        <v>31</v>
      </c>
    </row>
    <row r="2989" spans="1:2" x14ac:dyDescent="0.2">
      <c r="A2989" s="117">
        <v>37686</v>
      </c>
      <c r="B2989" s="116">
        <f t="shared" si="46"/>
        <v>31</v>
      </c>
    </row>
    <row r="2990" spans="1:2" x14ac:dyDescent="0.2">
      <c r="A2990" s="117">
        <v>37687</v>
      </c>
      <c r="B2990" s="116">
        <f t="shared" si="46"/>
        <v>31</v>
      </c>
    </row>
    <row r="2991" spans="1:2" x14ac:dyDescent="0.2">
      <c r="A2991" s="117">
        <v>37688</v>
      </c>
      <c r="B2991" s="116">
        <f t="shared" si="46"/>
        <v>31</v>
      </c>
    </row>
    <row r="2992" spans="1:2" x14ac:dyDescent="0.2">
      <c r="A2992" s="117">
        <v>37689</v>
      </c>
      <c r="B2992" s="116">
        <f t="shared" si="46"/>
        <v>32</v>
      </c>
    </row>
    <row r="2993" spans="1:2" x14ac:dyDescent="0.2">
      <c r="A2993" s="117">
        <v>37690</v>
      </c>
      <c r="B2993" s="116">
        <f t="shared" si="46"/>
        <v>32</v>
      </c>
    </row>
    <row r="2994" spans="1:2" x14ac:dyDescent="0.2">
      <c r="A2994" s="117">
        <v>37691</v>
      </c>
      <c r="B2994" s="116">
        <f t="shared" si="46"/>
        <v>32</v>
      </c>
    </row>
    <row r="2995" spans="1:2" x14ac:dyDescent="0.2">
      <c r="A2995" s="117">
        <v>37692</v>
      </c>
      <c r="B2995" s="116">
        <f t="shared" si="46"/>
        <v>32</v>
      </c>
    </row>
    <row r="2996" spans="1:2" x14ac:dyDescent="0.2">
      <c r="A2996" s="117">
        <v>37693</v>
      </c>
      <c r="B2996" s="116">
        <f t="shared" si="46"/>
        <v>32</v>
      </c>
    </row>
    <row r="2997" spans="1:2" x14ac:dyDescent="0.2">
      <c r="A2997" s="117">
        <v>37694</v>
      </c>
      <c r="B2997" s="116">
        <f t="shared" si="46"/>
        <v>32</v>
      </c>
    </row>
    <row r="2998" spans="1:2" x14ac:dyDescent="0.2">
      <c r="A2998" s="117">
        <v>37695</v>
      </c>
      <c r="B2998" s="116">
        <f t="shared" si="46"/>
        <v>32</v>
      </c>
    </row>
    <row r="2999" spans="1:2" x14ac:dyDescent="0.2">
      <c r="A2999" s="117">
        <v>37696</v>
      </c>
      <c r="B2999" s="116">
        <f t="shared" si="46"/>
        <v>33</v>
      </c>
    </row>
    <row r="3000" spans="1:2" x14ac:dyDescent="0.2">
      <c r="A3000" s="117">
        <v>37697</v>
      </c>
      <c r="B3000" s="116">
        <f t="shared" si="46"/>
        <v>33</v>
      </c>
    </row>
    <row r="3001" spans="1:2" x14ac:dyDescent="0.2">
      <c r="A3001" s="117">
        <v>37698</v>
      </c>
      <c r="B3001" s="116">
        <f t="shared" si="46"/>
        <v>33</v>
      </c>
    </row>
    <row r="3002" spans="1:2" x14ac:dyDescent="0.2">
      <c r="A3002" s="117">
        <v>37699</v>
      </c>
      <c r="B3002" s="116">
        <f t="shared" si="46"/>
        <v>33</v>
      </c>
    </row>
    <row r="3003" spans="1:2" x14ac:dyDescent="0.2">
      <c r="A3003" s="117">
        <v>37700</v>
      </c>
      <c r="B3003" s="116">
        <f t="shared" si="46"/>
        <v>33</v>
      </c>
    </row>
    <row r="3004" spans="1:2" x14ac:dyDescent="0.2">
      <c r="A3004" s="117">
        <v>37701</v>
      </c>
      <c r="B3004" s="116">
        <f t="shared" si="46"/>
        <v>33</v>
      </c>
    </row>
    <row r="3005" spans="1:2" x14ac:dyDescent="0.2">
      <c r="A3005" s="117">
        <v>37702</v>
      </c>
      <c r="B3005" s="116">
        <f t="shared" si="46"/>
        <v>33</v>
      </c>
    </row>
    <row r="3006" spans="1:2" x14ac:dyDescent="0.2">
      <c r="A3006" s="117">
        <v>37703</v>
      </c>
      <c r="B3006" s="116">
        <f t="shared" si="46"/>
        <v>34</v>
      </c>
    </row>
    <row r="3007" spans="1:2" x14ac:dyDescent="0.2">
      <c r="A3007" s="117">
        <v>37704</v>
      </c>
      <c r="B3007" s="116">
        <f t="shared" si="46"/>
        <v>34</v>
      </c>
    </row>
    <row r="3008" spans="1:2" x14ac:dyDescent="0.2">
      <c r="A3008" s="117">
        <v>37705</v>
      </c>
      <c r="B3008" s="116">
        <f t="shared" si="46"/>
        <v>34</v>
      </c>
    </row>
    <row r="3009" spans="1:2" x14ac:dyDescent="0.2">
      <c r="A3009" s="117">
        <v>37706</v>
      </c>
      <c r="B3009" s="116">
        <f t="shared" si="46"/>
        <v>34</v>
      </c>
    </row>
    <row r="3010" spans="1:2" x14ac:dyDescent="0.2">
      <c r="A3010" s="117">
        <v>37707</v>
      </c>
      <c r="B3010" s="116">
        <f t="shared" si="46"/>
        <v>34</v>
      </c>
    </row>
    <row r="3011" spans="1:2" x14ac:dyDescent="0.2">
      <c r="A3011" s="117">
        <v>37708</v>
      </c>
      <c r="B3011" s="116">
        <f t="shared" si="46"/>
        <v>34</v>
      </c>
    </row>
    <row r="3012" spans="1:2" x14ac:dyDescent="0.2">
      <c r="A3012" s="117">
        <v>37709</v>
      </c>
      <c r="B3012" s="116">
        <f t="shared" ref="B3012:B3075" si="47">VLOOKUP(WEEKNUM(A3012),$D$4:$E$59,2)</f>
        <v>34</v>
      </c>
    </row>
    <row r="3013" spans="1:2" x14ac:dyDescent="0.2">
      <c r="A3013" s="117">
        <v>37710</v>
      </c>
      <c r="B3013" s="116">
        <f t="shared" si="47"/>
        <v>41</v>
      </c>
    </row>
    <row r="3014" spans="1:2" x14ac:dyDescent="0.2">
      <c r="A3014" s="117">
        <v>37711</v>
      </c>
      <c r="B3014" s="116">
        <f t="shared" si="47"/>
        <v>41</v>
      </c>
    </row>
    <row r="3015" spans="1:2" x14ac:dyDescent="0.2">
      <c r="A3015" s="117">
        <v>37712</v>
      </c>
      <c r="B3015" s="116">
        <f t="shared" si="47"/>
        <v>41</v>
      </c>
    </row>
    <row r="3016" spans="1:2" x14ac:dyDescent="0.2">
      <c r="A3016" s="117">
        <v>37713</v>
      </c>
      <c r="B3016" s="116">
        <f t="shared" si="47"/>
        <v>41</v>
      </c>
    </row>
    <row r="3017" spans="1:2" x14ac:dyDescent="0.2">
      <c r="A3017" s="117">
        <v>37714</v>
      </c>
      <c r="B3017" s="116">
        <f t="shared" si="47"/>
        <v>41</v>
      </c>
    </row>
    <row r="3018" spans="1:2" x14ac:dyDescent="0.2">
      <c r="A3018" s="117">
        <v>37715</v>
      </c>
      <c r="B3018" s="116">
        <f t="shared" si="47"/>
        <v>41</v>
      </c>
    </row>
    <row r="3019" spans="1:2" x14ac:dyDescent="0.2">
      <c r="A3019" s="117">
        <v>37716</v>
      </c>
      <c r="B3019" s="116">
        <f t="shared" si="47"/>
        <v>41</v>
      </c>
    </row>
    <row r="3020" spans="1:2" x14ac:dyDescent="0.2">
      <c r="A3020" s="117">
        <v>37717</v>
      </c>
      <c r="B3020" s="116">
        <f t="shared" si="47"/>
        <v>42</v>
      </c>
    </row>
    <row r="3021" spans="1:2" x14ac:dyDescent="0.2">
      <c r="A3021" s="117">
        <v>37718</v>
      </c>
      <c r="B3021" s="116">
        <f t="shared" si="47"/>
        <v>42</v>
      </c>
    </row>
    <row r="3022" spans="1:2" x14ac:dyDescent="0.2">
      <c r="A3022" s="117">
        <v>37719</v>
      </c>
      <c r="B3022" s="116">
        <f t="shared" si="47"/>
        <v>42</v>
      </c>
    </row>
    <row r="3023" spans="1:2" x14ac:dyDescent="0.2">
      <c r="A3023" s="117">
        <v>37720</v>
      </c>
      <c r="B3023" s="116">
        <f t="shared" si="47"/>
        <v>42</v>
      </c>
    </row>
    <row r="3024" spans="1:2" x14ac:dyDescent="0.2">
      <c r="A3024" s="117">
        <v>37721</v>
      </c>
      <c r="B3024" s="116">
        <f t="shared" si="47"/>
        <v>42</v>
      </c>
    </row>
    <row r="3025" spans="1:2" x14ac:dyDescent="0.2">
      <c r="A3025" s="117">
        <v>37722</v>
      </c>
      <c r="B3025" s="116">
        <f t="shared" si="47"/>
        <v>42</v>
      </c>
    </row>
    <row r="3026" spans="1:2" x14ac:dyDescent="0.2">
      <c r="A3026" s="117">
        <v>37723</v>
      </c>
      <c r="B3026" s="116">
        <f t="shared" si="47"/>
        <v>42</v>
      </c>
    </row>
    <row r="3027" spans="1:2" x14ac:dyDescent="0.2">
      <c r="A3027" s="117">
        <v>37724</v>
      </c>
      <c r="B3027" s="116">
        <f t="shared" si="47"/>
        <v>43</v>
      </c>
    </row>
    <row r="3028" spans="1:2" x14ac:dyDescent="0.2">
      <c r="A3028" s="117">
        <v>37725</v>
      </c>
      <c r="B3028" s="116">
        <f t="shared" si="47"/>
        <v>43</v>
      </c>
    </row>
    <row r="3029" spans="1:2" x14ac:dyDescent="0.2">
      <c r="A3029" s="117">
        <v>37726</v>
      </c>
      <c r="B3029" s="116">
        <f t="shared" si="47"/>
        <v>43</v>
      </c>
    </row>
    <row r="3030" spans="1:2" x14ac:dyDescent="0.2">
      <c r="A3030" s="117">
        <v>37727</v>
      </c>
      <c r="B3030" s="116">
        <f t="shared" si="47"/>
        <v>43</v>
      </c>
    </row>
    <row r="3031" spans="1:2" x14ac:dyDescent="0.2">
      <c r="A3031" s="117">
        <v>37728</v>
      </c>
      <c r="B3031" s="116">
        <f t="shared" si="47"/>
        <v>43</v>
      </c>
    </row>
    <row r="3032" spans="1:2" x14ac:dyDescent="0.2">
      <c r="A3032" s="117">
        <v>37729</v>
      </c>
      <c r="B3032" s="116">
        <f t="shared" si="47"/>
        <v>43</v>
      </c>
    </row>
    <row r="3033" spans="1:2" x14ac:dyDescent="0.2">
      <c r="A3033" s="117">
        <v>37730</v>
      </c>
      <c r="B3033" s="116">
        <f t="shared" si="47"/>
        <v>43</v>
      </c>
    </row>
    <row r="3034" spans="1:2" x14ac:dyDescent="0.2">
      <c r="A3034" s="117">
        <v>37731</v>
      </c>
      <c r="B3034" s="116">
        <f t="shared" si="47"/>
        <v>44</v>
      </c>
    </row>
    <row r="3035" spans="1:2" x14ac:dyDescent="0.2">
      <c r="A3035" s="117">
        <v>37732</v>
      </c>
      <c r="B3035" s="116">
        <f t="shared" si="47"/>
        <v>44</v>
      </c>
    </row>
    <row r="3036" spans="1:2" x14ac:dyDescent="0.2">
      <c r="A3036" s="117">
        <v>37733</v>
      </c>
      <c r="B3036" s="116">
        <f t="shared" si="47"/>
        <v>44</v>
      </c>
    </row>
    <row r="3037" spans="1:2" x14ac:dyDescent="0.2">
      <c r="A3037" s="117">
        <v>37734</v>
      </c>
      <c r="B3037" s="116">
        <f t="shared" si="47"/>
        <v>44</v>
      </c>
    </row>
    <row r="3038" spans="1:2" x14ac:dyDescent="0.2">
      <c r="A3038" s="117">
        <v>37735</v>
      </c>
      <c r="B3038" s="116">
        <f t="shared" si="47"/>
        <v>44</v>
      </c>
    </row>
    <row r="3039" spans="1:2" x14ac:dyDescent="0.2">
      <c r="A3039" s="117">
        <v>37736</v>
      </c>
      <c r="B3039" s="116">
        <f t="shared" si="47"/>
        <v>44</v>
      </c>
    </row>
    <row r="3040" spans="1:2" x14ac:dyDescent="0.2">
      <c r="A3040" s="117">
        <v>37737</v>
      </c>
      <c r="B3040" s="116">
        <f t="shared" si="47"/>
        <v>44</v>
      </c>
    </row>
    <row r="3041" spans="1:2" x14ac:dyDescent="0.2">
      <c r="A3041" s="117">
        <v>37738</v>
      </c>
      <c r="B3041" s="116">
        <f t="shared" si="47"/>
        <v>45</v>
      </c>
    </row>
    <row r="3042" spans="1:2" x14ac:dyDescent="0.2">
      <c r="A3042" s="117">
        <v>37739</v>
      </c>
      <c r="B3042" s="116">
        <f t="shared" si="47"/>
        <v>45</v>
      </c>
    </row>
    <row r="3043" spans="1:2" x14ac:dyDescent="0.2">
      <c r="A3043" s="117">
        <v>37740</v>
      </c>
      <c r="B3043" s="116">
        <f t="shared" si="47"/>
        <v>45</v>
      </c>
    </row>
    <row r="3044" spans="1:2" x14ac:dyDescent="0.2">
      <c r="A3044" s="117">
        <v>37741</v>
      </c>
      <c r="B3044" s="116">
        <f t="shared" si="47"/>
        <v>45</v>
      </c>
    </row>
    <row r="3045" spans="1:2" x14ac:dyDescent="0.2">
      <c r="A3045" s="117">
        <v>37742</v>
      </c>
      <c r="B3045" s="116">
        <f t="shared" si="47"/>
        <v>45</v>
      </c>
    </row>
    <row r="3046" spans="1:2" x14ac:dyDescent="0.2">
      <c r="A3046" s="117">
        <v>37743</v>
      </c>
      <c r="B3046" s="116">
        <f t="shared" si="47"/>
        <v>45</v>
      </c>
    </row>
    <row r="3047" spans="1:2" x14ac:dyDescent="0.2">
      <c r="A3047" s="117">
        <v>37744</v>
      </c>
      <c r="B3047" s="116">
        <f t="shared" si="47"/>
        <v>45</v>
      </c>
    </row>
    <row r="3048" spans="1:2" x14ac:dyDescent="0.2">
      <c r="A3048" s="117">
        <v>37745</v>
      </c>
      <c r="B3048" s="116">
        <f t="shared" si="47"/>
        <v>51</v>
      </c>
    </row>
    <row r="3049" spans="1:2" x14ac:dyDescent="0.2">
      <c r="A3049" s="117">
        <v>37746</v>
      </c>
      <c r="B3049" s="116">
        <f t="shared" si="47"/>
        <v>51</v>
      </c>
    </row>
    <row r="3050" spans="1:2" x14ac:dyDescent="0.2">
      <c r="A3050" s="117">
        <v>37747</v>
      </c>
      <c r="B3050" s="116">
        <f t="shared" si="47"/>
        <v>51</v>
      </c>
    </row>
    <row r="3051" spans="1:2" x14ac:dyDescent="0.2">
      <c r="A3051" s="117">
        <v>37748</v>
      </c>
      <c r="B3051" s="116">
        <f t="shared" si="47"/>
        <v>51</v>
      </c>
    </row>
    <row r="3052" spans="1:2" x14ac:dyDescent="0.2">
      <c r="A3052" s="117">
        <v>37749</v>
      </c>
      <c r="B3052" s="116">
        <f t="shared" si="47"/>
        <v>51</v>
      </c>
    </row>
    <row r="3053" spans="1:2" x14ac:dyDescent="0.2">
      <c r="A3053" s="117">
        <v>37750</v>
      </c>
      <c r="B3053" s="116">
        <f t="shared" si="47"/>
        <v>51</v>
      </c>
    </row>
    <row r="3054" spans="1:2" x14ac:dyDescent="0.2">
      <c r="A3054" s="117">
        <v>37751</v>
      </c>
      <c r="B3054" s="116">
        <f t="shared" si="47"/>
        <v>51</v>
      </c>
    </row>
    <row r="3055" spans="1:2" x14ac:dyDescent="0.2">
      <c r="A3055" s="117">
        <v>37752</v>
      </c>
      <c r="B3055" s="116">
        <f t="shared" si="47"/>
        <v>52</v>
      </c>
    </row>
    <row r="3056" spans="1:2" x14ac:dyDescent="0.2">
      <c r="A3056" s="117">
        <v>37753</v>
      </c>
      <c r="B3056" s="116">
        <f t="shared" si="47"/>
        <v>52</v>
      </c>
    </row>
    <row r="3057" spans="1:2" x14ac:dyDescent="0.2">
      <c r="A3057" s="117">
        <v>37754</v>
      </c>
      <c r="B3057" s="116">
        <f t="shared" si="47"/>
        <v>52</v>
      </c>
    </row>
    <row r="3058" spans="1:2" x14ac:dyDescent="0.2">
      <c r="A3058" s="117">
        <v>37755</v>
      </c>
      <c r="B3058" s="116">
        <f t="shared" si="47"/>
        <v>52</v>
      </c>
    </row>
    <row r="3059" spans="1:2" x14ac:dyDescent="0.2">
      <c r="A3059" s="117">
        <v>37756</v>
      </c>
      <c r="B3059" s="116">
        <f t="shared" si="47"/>
        <v>52</v>
      </c>
    </row>
    <row r="3060" spans="1:2" x14ac:dyDescent="0.2">
      <c r="A3060" s="117">
        <v>37757</v>
      </c>
      <c r="B3060" s="116">
        <f t="shared" si="47"/>
        <v>52</v>
      </c>
    </row>
    <row r="3061" spans="1:2" x14ac:dyDescent="0.2">
      <c r="A3061" s="117">
        <v>37758</v>
      </c>
      <c r="B3061" s="116">
        <f t="shared" si="47"/>
        <v>52</v>
      </c>
    </row>
    <row r="3062" spans="1:2" x14ac:dyDescent="0.2">
      <c r="A3062" s="117">
        <v>37759</v>
      </c>
      <c r="B3062" s="116">
        <f t="shared" si="47"/>
        <v>53</v>
      </c>
    </row>
    <row r="3063" spans="1:2" x14ac:dyDescent="0.2">
      <c r="A3063" s="117">
        <v>37760</v>
      </c>
      <c r="B3063" s="116">
        <f t="shared" si="47"/>
        <v>53</v>
      </c>
    </row>
    <row r="3064" spans="1:2" x14ac:dyDescent="0.2">
      <c r="A3064" s="117">
        <v>37761</v>
      </c>
      <c r="B3064" s="116">
        <f t="shared" si="47"/>
        <v>53</v>
      </c>
    </row>
    <row r="3065" spans="1:2" x14ac:dyDescent="0.2">
      <c r="A3065" s="117">
        <v>37762</v>
      </c>
      <c r="B3065" s="116">
        <f t="shared" si="47"/>
        <v>53</v>
      </c>
    </row>
    <row r="3066" spans="1:2" x14ac:dyDescent="0.2">
      <c r="A3066" s="117">
        <v>37763</v>
      </c>
      <c r="B3066" s="116">
        <f t="shared" si="47"/>
        <v>53</v>
      </c>
    </row>
    <row r="3067" spans="1:2" x14ac:dyDescent="0.2">
      <c r="A3067" s="117">
        <v>37764</v>
      </c>
      <c r="B3067" s="116">
        <f t="shared" si="47"/>
        <v>53</v>
      </c>
    </row>
    <row r="3068" spans="1:2" x14ac:dyDescent="0.2">
      <c r="A3068" s="117">
        <v>37765</v>
      </c>
      <c r="B3068" s="116">
        <f t="shared" si="47"/>
        <v>53</v>
      </c>
    </row>
    <row r="3069" spans="1:2" x14ac:dyDescent="0.2">
      <c r="A3069" s="117">
        <v>37766</v>
      </c>
      <c r="B3069" s="116">
        <f t="shared" si="47"/>
        <v>54</v>
      </c>
    </row>
    <row r="3070" spans="1:2" x14ac:dyDescent="0.2">
      <c r="A3070" s="117">
        <v>37767</v>
      </c>
      <c r="B3070" s="116">
        <f t="shared" si="47"/>
        <v>54</v>
      </c>
    </row>
    <row r="3071" spans="1:2" x14ac:dyDescent="0.2">
      <c r="A3071" s="117">
        <v>37768</v>
      </c>
      <c r="B3071" s="116">
        <f t="shared" si="47"/>
        <v>54</v>
      </c>
    </row>
    <row r="3072" spans="1:2" x14ac:dyDescent="0.2">
      <c r="A3072" s="117">
        <v>37769</v>
      </c>
      <c r="B3072" s="116">
        <f t="shared" si="47"/>
        <v>54</v>
      </c>
    </row>
    <row r="3073" spans="1:2" x14ac:dyDescent="0.2">
      <c r="A3073" s="117">
        <v>37770</v>
      </c>
      <c r="B3073" s="116">
        <f t="shared" si="47"/>
        <v>54</v>
      </c>
    </row>
    <row r="3074" spans="1:2" x14ac:dyDescent="0.2">
      <c r="A3074" s="117">
        <v>37771</v>
      </c>
      <c r="B3074" s="116">
        <f t="shared" si="47"/>
        <v>54</v>
      </c>
    </row>
    <row r="3075" spans="1:2" x14ac:dyDescent="0.2">
      <c r="A3075" s="117">
        <v>37772</v>
      </c>
      <c r="B3075" s="116">
        <f t="shared" si="47"/>
        <v>54</v>
      </c>
    </row>
    <row r="3076" spans="1:2" x14ac:dyDescent="0.2">
      <c r="A3076" s="117">
        <v>37773</v>
      </c>
      <c r="B3076" s="116">
        <f t="shared" ref="B3076:B3139" si="48">VLOOKUP(WEEKNUM(A3076),$D$4:$E$59,2)</f>
        <v>61</v>
      </c>
    </row>
    <row r="3077" spans="1:2" x14ac:dyDescent="0.2">
      <c r="A3077" s="117">
        <v>37774</v>
      </c>
      <c r="B3077" s="116">
        <f t="shared" si="48"/>
        <v>61</v>
      </c>
    </row>
    <row r="3078" spans="1:2" x14ac:dyDescent="0.2">
      <c r="A3078" s="117">
        <v>37775</v>
      </c>
      <c r="B3078" s="116">
        <f t="shared" si="48"/>
        <v>61</v>
      </c>
    </row>
    <row r="3079" spans="1:2" x14ac:dyDescent="0.2">
      <c r="A3079" s="117">
        <v>37776</v>
      </c>
      <c r="B3079" s="116">
        <f t="shared" si="48"/>
        <v>61</v>
      </c>
    </row>
    <row r="3080" spans="1:2" x14ac:dyDescent="0.2">
      <c r="A3080" s="117">
        <v>37777</v>
      </c>
      <c r="B3080" s="116">
        <f t="shared" si="48"/>
        <v>61</v>
      </c>
    </row>
    <row r="3081" spans="1:2" x14ac:dyDescent="0.2">
      <c r="A3081" s="117">
        <v>37778</v>
      </c>
      <c r="B3081" s="116">
        <f t="shared" si="48"/>
        <v>61</v>
      </c>
    </row>
    <row r="3082" spans="1:2" x14ac:dyDescent="0.2">
      <c r="A3082" s="117">
        <v>37779</v>
      </c>
      <c r="B3082" s="116">
        <f t="shared" si="48"/>
        <v>61</v>
      </c>
    </row>
    <row r="3083" spans="1:2" x14ac:dyDescent="0.2">
      <c r="A3083" s="117">
        <v>37780</v>
      </c>
      <c r="B3083" s="116">
        <f t="shared" si="48"/>
        <v>62</v>
      </c>
    </row>
    <row r="3084" spans="1:2" x14ac:dyDescent="0.2">
      <c r="A3084" s="117">
        <v>37781</v>
      </c>
      <c r="B3084" s="116">
        <f t="shared" si="48"/>
        <v>62</v>
      </c>
    </row>
    <row r="3085" spans="1:2" x14ac:dyDescent="0.2">
      <c r="A3085" s="117">
        <v>37782</v>
      </c>
      <c r="B3085" s="116">
        <f t="shared" si="48"/>
        <v>62</v>
      </c>
    </row>
    <row r="3086" spans="1:2" x14ac:dyDescent="0.2">
      <c r="A3086" s="117">
        <v>37783</v>
      </c>
      <c r="B3086" s="116">
        <f t="shared" si="48"/>
        <v>62</v>
      </c>
    </row>
    <row r="3087" spans="1:2" x14ac:dyDescent="0.2">
      <c r="A3087" s="117">
        <v>37784</v>
      </c>
      <c r="B3087" s="116">
        <f t="shared" si="48"/>
        <v>62</v>
      </c>
    </row>
    <row r="3088" spans="1:2" x14ac:dyDescent="0.2">
      <c r="A3088" s="117">
        <v>37785</v>
      </c>
      <c r="B3088" s="116">
        <f t="shared" si="48"/>
        <v>62</v>
      </c>
    </row>
    <row r="3089" spans="1:2" x14ac:dyDescent="0.2">
      <c r="A3089" s="117">
        <v>37786</v>
      </c>
      <c r="B3089" s="116">
        <f t="shared" si="48"/>
        <v>62</v>
      </c>
    </row>
    <row r="3090" spans="1:2" x14ac:dyDescent="0.2">
      <c r="A3090" s="117">
        <v>37787</v>
      </c>
      <c r="B3090" s="116">
        <f t="shared" si="48"/>
        <v>63</v>
      </c>
    </row>
    <row r="3091" spans="1:2" x14ac:dyDescent="0.2">
      <c r="A3091" s="117">
        <v>37788</v>
      </c>
      <c r="B3091" s="116">
        <f t="shared" si="48"/>
        <v>63</v>
      </c>
    </row>
    <row r="3092" spans="1:2" x14ac:dyDescent="0.2">
      <c r="A3092" s="117">
        <v>37789</v>
      </c>
      <c r="B3092" s="116">
        <f t="shared" si="48"/>
        <v>63</v>
      </c>
    </row>
    <row r="3093" spans="1:2" x14ac:dyDescent="0.2">
      <c r="A3093" s="117">
        <v>37790</v>
      </c>
      <c r="B3093" s="116">
        <f t="shared" si="48"/>
        <v>63</v>
      </c>
    </row>
    <row r="3094" spans="1:2" x14ac:dyDescent="0.2">
      <c r="A3094" s="117">
        <v>37791</v>
      </c>
      <c r="B3094" s="116">
        <f t="shared" si="48"/>
        <v>63</v>
      </c>
    </row>
    <row r="3095" spans="1:2" x14ac:dyDescent="0.2">
      <c r="A3095" s="117">
        <v>37792</v>
      </c>
      <c r="B3095" s="116">
        <f t="shared" si="48"/>
        <v>63</v>
      </c>
    </row>
    <row r="3096" spans="1:2" x14ac:dyDescent="0.2">
      <c r="A3096" s="117">
        <v>37793</v>
      </c>
      <c r="B3096" s="116">
        <f t="shared" si="48"/>
        <v>63</v>
      </c>
    </row>
    <row r="3097" spans="1:2" x14ac:dyDescent="0.2">
      <c r="A3097" s="117">
        <v>37794</v>
      </c>
      <c r="B3097" s="116">
        <f t="shared" si="48"/>
        <v>64</v>
      </c>
    </row>
    <row r="3098" spans="1:2" x14ac:dyDescent="0.2">
      <c r="A3098" s="117">
        <v>37795</v>
      </c>
      <c r="B3098" s="116">
        <f t="shared" si="48"/>
        <v>64</v>
      </c>
    </row>
    <row r="3099" spans="1:2" x14ac:dyDescent="0.2">
      <c r="A3099" s="117">
        <v>37796</v>
      </c>
      <c r="B3099" s="116">
        <f t="shared" si="48"/>
        <v>64</v>
      </c>
    </row>
    <row r="3100" spans="1:2" x14ac:dyDescent="0.2">
      <c r="A3100" s="117">
        <v>37797</v>
      </c>
      <c r="B3100" s="116">
        <f t="shared" si="48"/>
        <v>64</v>
      </c>
    </row>
    <row r="3101" spans="1:2" x14ac:dyDescent="0.2">
      <c r="A3101" s="117">
        <v>37798</v>
      </c>
      <c r="B3101" s="116">
        <f t="shared" si="48"/>
        <v>64</v>
      </c>
    </row>
    <row r="3102" spans="1:2" x14ac:dyDescent="0.2">
      <c r="A3102" s="117">
        <v>37799</v>
      </c>
      <c r="B3102" s="116">
        <f t="shared" si="48"/>
        <v>64</v>
      </c>
    </row>
    <row r="3103" spans="1:2" x14ac:dyDescent="0.2">
      <c r="A3103" s="117">
        <v>37800</v>
      </c>
      <c r="B3103" s="116">
        <f t="shared" si="48"/>
        <v>64</v>
      </c>
    </row>
    <row r="3104" spans="1:2" x14ac:dyDescent="0.2">
      <c r="A3104" s="117">
        <v>37801</v>
      </c>
      <c r="B3104" s="116">
        <f t="shared" si="48"/>
        <v>71</v>
      </c>
    </row>
    <row r="3105" spans="1:2" x14ac:dyDescent="0.2">
      <c r="A3105" s="117">
        <v>37802</v>
      </c>
      <c r="B3105" s="116">
        <f t="shared" si="48"/>
        <v>71</v>
      </c>
    </row>
    <row r="3106" spans="1:2" x14ac:dyDescent="0.2">
      <c r="A3106" s="117">
        <v>37803</v>
      </c>
      <c r="B3106" s="116">
        <f t="shared" si="48"/>
        <v>71</v>
      </c>
    </row>
    <row r="3107" spans="1:2" x14ac:dyDescent="0.2">
      <c r="A3107" s="117">
        <v>37804</v>
      </c>
      <c r="B3107" s="116">
        <f t="shared" si="48"/>
        <v>71</v>
      </c>
    </row>
    <row r="3108" spans="1:2" x14ac:dyDescent="0.2">
      <c r="A3108" s="117">
        <v>37805</v>
      </c>
      <c r="B3108" s="116">
        <f t="shared" si="48"/>
        <v>71</v>
      </c>
    </row>
    <row r="3109" spans="1:2" x14ac:dyDescent="0.2">
      <c r="A3109" s="117">
        <v>37806</v>
      </c>
      <c r="B3109" s="116">
        <f t="shared" si="48"/>
        <v>71</v>
      </c>
    </row>
    <row r="3110" spans="1:2" x14ac:dyDescent="0.2">
      <c r="A3110" s="117">
        <v>37807</v>
      </c>
      <c r="B3110" s="116">
        <f t="shared" si="48"/>
        <v>71</v>
      </c>
    </row>
    <row r="3111" spans="1:2" x14ac:dyDescent="0.2">
      <c r="A3111" s="117">
        <v>37808</v>
      </c>
      <c r="B3111" s="116">
        <f t="shared" si="48"/>
        <v>72</v>
      </c>
    </row>
    <row r="3112" spans="1:2" x14ac:dyDescent="0.2">
      <c r="A3112" s="117">
        <v>37809</v>
      </c>
      <c r="B3112" s="116">
        <f t="shared" si="48"/>
        <v>72</v>
      </c>
    </row>
    <row r="3113" spans="1:2" x14ac:dyDescent="0.2">
      <c r="A3113" s="117">
        <v>37810</v>
      </c>
      <c r="B3113" s="116">
        <f t="shared" si="48"/>
        <v>72</v>
      </c>
    </row>
    <row r="3114" spans="1:2" x14ac:dyDescent="0.2">
      <c r="A3114" s="117">
        <v>37811</v>
      </c>
      <c r="B3114" s="116">
        <f t="shared" si="48"/>
        <v>72</v>
      </c>
    </row>
    <row r="3115" spans="1:2" x14ac:dyDescent="0.2">
      <c r="A3115" s="117">
        <v>37812</v>
      </c>
      <c r="B3115" s="116">
        <f t="shared" si="48"/>
        <v>72</v>
      </c>
    </row>
    <row r="3116" spans="1:2" x14ac:dyDescent="0.2">
      <c r="A3116" s="117">
        <v>37813</v>
      </c>
      <c r="B3116" s="116">
        <f t="shared" si="48"/>
        <v>72</v>
      </c>
    </row>
    <row r="3117" spans="1:2" x14ac:dyDescent="0.2">
      <c r="A3117" s="117">
        <v>37814</v>
      </c>
      <c r="B3117" s="116">
        <f t="shared" si="48"/>
        <v>72</v>
      </c>
    </row>
    <row r="3118" spans="1:2" x14ac:dyDescent="0.2">
      <c r="A3118" s="117">
        <v>37815</v>
      </c>
      <c r="B3118" s="116">
        <f t="shared" si="48"/>
        <v>73</v>
      </c>
    </row>
    <row r="3119" spans="1:2" x14ac:dyDescent="0.2">
      <c r="A3119" s="117">
        <v>37816</v>
      </c>
      <c r="B3119" s="116">
        <f t="shared" si="48"/>
        <v>73</v>
      </c>
    </row>
    <row r="3120" spans="1:2" x14ac:dyDescent="0.2">
      <c r="A3120" s="117">
        <v>37817</v>
      </c>
      <c r="B3120" s="116">
        <f t="shared" si="48"/>
        <v>73</v>
      </c>
    </row>
    <row r="3121" spans="1:2" x14ac:dyDescent="0.2">
      <c r="A3121" s="117">
        <v>37818</v>
      </c>
      <c r="B3121" s="116">
        <f t="shared" si="48"/>
        <v>73</v>
      </c>
    </row>
    <row r="3122" spans="1:2" x14ac:dyDescent="0.2">
      <c r="A3122" s="117">
        <v>37819</v>
      </c>
      <c r="B3122" s="116">
        <f t="shared" si="48"/>
        <v>73</v>
      </c>
    </row>
    <row r="3123" spans="1:2" x14ac:dyDescent="0.2">
      <c r="A3123" s="117">
        <v>37820</v>
      </c>
      <c r="B3123" s="116">
        <f t="shared" si="48"/>
        <v>73</v>
      </c>
    </row>
    <row r="3124" spans="1:2" x14ac:dyDescent="0.2">
      <c r="A3124" s="117">
        <v>37821</v>
      </c>
      <c r="B3124" s="116">
        <f t="shared" si="48"/>
        <v>73</v>
      </c>
    </row>
    <row r="3125" spans="1:2" x14ac:dyDescent="0.2">
      <c r="A3125" s="117">
        <v>37822</v>
      </c>
      <c r="B3125" s="116">
        <f t="shared" si="48"/>
        <v>74</v>
      </c>
    </row>
    <row r="3126" spans="1:2" x14ac:dyDescent="0.2">
      <c r="A3126" s="117">
        <v>37823</v>
      </c>
      <c r="B3126" s="116">
        <f t="shared" si="48"/>
        <v>74</v>
      </c>
    </row>
    <row r="3127" spans="1:2" x14ac:dyDescent="0.2">
      <c r="A3127" s="117">
        <v>37824</v>
      </c>
      <c r="B3127" s="116">
        <f t="shared" si="48"/>
        <v>74</v>
      </c>
    </row>
    <row r="3128" spans="1:2" x14ac:dyDescent="0.2">
      <c r="A3128" s="117">
        <v>37825</v>
      </c>
      <c r="B3128" s="116">
        <f t="shared" si="48"/>
        <v>74</v>
      </c>
    </row>
    <row r="3129" spans="1:2" x14ac:dyDescent="0.2">
      <c r="A3129" s="117">
        <v>37826</v>
      </c>
      <c r="B3129" s="116">
        <f t="shared" si="48"/>
        <v>74</v>
      </c>
    </row>
    <row r="3130" spans="1:2" x14ac:dyDescent="0.2">
      <c r="A3130" s="117">
        <v>37827</v>
      </c>
      <c r="B3130" s="116">
        <f t="shared" si="48"/>
        <v>74</v>
      </c>
    </row>
    <row r="3131" spans="1:2" x14ac:dyDescent="0.2">
      <c r="A3131" s="117">
        <v>37828</v>
      </c>
      <c r="B3131" s="116">
        <f t="shared" si="48"/>
        <v>74</v>
      </c>
    </row>
    <row r="3132" spans="1:2" x14ac:dyDescent="0.2">
      <c r="A3132" s="117">
        <v>37829</v>
      </c>
      <c r="B3132" s="116">
        <f t="shared" si="48"/>
        <v>75</v>
      </c>
    </row>
    <row r="3133" spans="1:2" x14ac:dyDescent="0.2">
      <c r="A3133" s="117">
        <v>37830</v>
      </c>
      <c r="B3133" s="116">
        <f t="shared" si="48"/>
        <v>75</v>
      </c>
    </row>
    <row r="3134" spans="1:2" x14ac:dyDescent="0.2">
      <c r="A3134" s="117">
        <v>37831</v>
      </c>
      <c r="B3134" s="116">
        <f t="shared" si="48"/>
        <v>75</v>
      </c>
    </row>
    <row r="3135" spans="1:2" x14ac:dyDescent="0.2">
      <c r="A3135" s="117">
        <v>37832</v>
      </c>
      <c r="B3135" s="116">
        <f t="shared" si="48"/>
        <v>75</v>
      </c>
    </row>
    <row r="3136" spans="1:2" x14ac:dyDescent="0.2">
      <c r="A3136" s="117">
        <v>37833</v>
      </c>
      <c r="B3136" s="116">
        <f t="shared" si="48"/>
        <v>75</v>
      </c>
    </row>
    <row r="3137" spans="1:2" x14ac:dyDescent="0.2">
      <c r="A3137" s="117">
        <v>37834</v>
      </c>
      <c r="B3137" s="116">
        <f t="shared" si="48"/>
        <v>75</v>
      </c>
    </row>
    <row r="3138" spans="1:2" x14ac:dyDescent="0.2">
      <c r="A3138" s="117">
        <v>37835</v>
      </c>
      <c r="B3138" s="116">
        <f t="shared" si="48"/>
        <v>75</v>
      </c>
    </row>
    <row r="3139" spans="1:2" x14ac:dyDescent="0.2">
      <c r="A3139" s="117">
        <v>37836</v>
      </c>
      <c r="B3139" s="116">
        <f t="shared" si="48"/>
        <v>81</v>
      </c>
    </row>
    <row r="3140" spans="1:2" x14ac:dyDescent="0.2">
      <c r="A3140" s="117">
        <v>37837</v>
      </c>
      <c r="B3140" s="116">
        <f t="shared" ref="B3140:B3203" si="49">VLOOKUP(WEEKNUM(A3140),$D$4:$E$59,2)</f>
        <v>81</v>
      </c>
    </row>
    <row r="3141" spans="1:2" x14ac:dyDescent="0.2">
      <c r="A3141" s="117">
        <v>37838</v>
      </c>
      <c r="B3141" s="116">
        <f t="shared" si="49"/>
        <v>81</v>
      </c>
    </row>
    <row r="3142" spans="1:2" x14ac:dyDescent="0.2">
      <c r="A3142" s="117">
        <v>37839</v>
      </c>
      <c r="B3142" s="116">
        <f t="shared" si="49"/>
        <v>81</v>
      </c>
    </row>
    <row r="3143" spans="1:2" x14ac:dyDescent="0.2">
      <c r="A3143" s="117">
        <v>37840</v>
      </c>
      <c r="B3143" s="116">
        <f t="shared" si="49"/>
        <v>81</v>
      </c>
    </row>
    <row r="3144" spans="1:2" x14ac:dyDescent="0.2">
      <c r="A3144" s="117">
        <v>37841</v>
      </c>
      <c r="B3144" s="116">
        <f t="shared" si="49"/>
        <v>81</v>
      </c>
    </row>
    <row r="3145" spans="1:2" x14ac:dyDescent="0.2">
      <c r="A3145" s="117">
        <v>37842</v>
      </c>
      <c r="B3145" s="116">
        <f t="shared" si="49"/>
        <v>81</v>
      </c>
    </row>
    <row r="3146" spans="1:2" x14ac:dyDescent="0.2">
      <c r="A3146" s="117">
        <v>37843</v>
      </c>
      <c r="B3146" s="116">
        <f t="shared" si="49"/>
        <v>82</v>
      </c>
    </row>
    <row r="3147" spans="1:2" x14ac:dyDescent="0.2">
      <c r="A3147" s="117">
        <v>37844</v>
      </c>
      <c r="B3147" s="116">
        <f t="shared" si="49"/>
        <v>82</v>
      </c>
    </row>
    <row r="3148" spans="1:2" x14ac:dyDescent="0.2">
      <c r="A3148" s="117">
        <v>37845</v>
      </c>
      <c r="B3148" s="116">
        <f t="shared" si="49"/>
        <v>82</v>
      </c>
    </row>
    <row r="3149" spans="1:2" x14ac:dyDescent="0.2">
      <c r="A3149" s="117">
        <v>37846</v>
      </c>
      <c r="B3149" s="116">
        <f t="shared" si="49"/>
        <v>82</v>
      </c>
    </row>
    <row r="3150" spans="1:2" x14ac:dyDescent="0.2">
      <c r="A3150" s="117">
        <v>37847</v>
      </c>
      <c r="B3150" s="116">
        <f t="shared" si="49"/>
        <v>82</v>
      </c>
    </row>
    <row r="3151" spans="1:2" x14ac:dyDescent="0.2">
      <c r="A3151" s="117">
        <v>37848</v>
      </c>
      <c r="B3151" s="116">
        <f t="shared" si="49"/>
        <v>82</v>
      </c>
    </row>
    <row r="3152" spans="1:2" x14ac:dyDescent="0.2">
      <c r="A3152" s="117">
        <v>37849</v>
      </c>
      <c r="B3152" s="116">
        <f t="shared" si="49"/>
        <v>82</v>
      </c>
    </row>
    <row r="3153" spans="1:2" x14ac:dyDescent="0.2">
      <c r="A3153" s="117">
        <v>37850</v>
      </c>
      <c r="B3153" s="116">
        <f t="shared" si="49"/>
        <v>83</v>
      </c>
    </row>
    <row r="3154" spans="1:2" x14ac:dyDescent="0.2">
      <c r="A3154" s="117">
        <v>37851</v>
      </c>
      <c r="B3154" s="116">
        <f t="shared" si="49"/>
        <v>83</v>
      </c>
    </row>
    <row r="3155" spans="1:2" x14ac:dyDescent="0.2">
      <c r="A3155" s="117">
        <v>37852</v>
      </c>
      <c r="B3155" s="116">
        <f t="shared" si="49"/>
        <v>83</v>
      </c>
    </row>
    <row r="3156" spans="1:2" x14ac:dyDescent="0.2">
      <c r="A3156" s="117">
        <v>37853</v>
      </c>
      <c r="B3156" s="116">
        <f t="shared" si="49"/>
        <v>83</v>
      </c>
    </row>
    <row r="3157" spans="1:2" x14ac:dyDescent="0.2">
      <c r="A3157" s="117">
        <v>37854</v>
      </c>
      <c r="B3157" s="116">
        <f t="shared" si="49"/>
        <v>83</v>
      </c>
    </row>
    <row r="3158" spans="1:2" x14ac:dyDescent="0.2">
      <c r="A3158" s="117">
        <v>37855</v>
      </c>
      <c r="B3158" s="116">
        <f t="shared" si="49"/>
        <v>83</v>
      </c>
    </row>
    <row r="3159" spans="1:2" x14ac:dyDescent="0.2">
      <c r="A3159" s="117">
        <v>37856</v>
      </c>
      <c r="B3159" s="116">
        <f t="shared" si="49"/>
        <v>83</v>
      </c>
    </row>
    <row r="3160" spans="1:2" x14ac:dyDescent="0.2">
      <c r="A3160" s="117">
        <v>37857</v>
      </c>
      <c r="B3160" s="116">
        <f t="shared" si="49"/>
        <v>84</v>
      </c>
    </row>
    <row r="3161" spans="1:2" x14ac:dyDescent="0.2">
      <c r="A3161" s="117">
        <v>37858</v>
      </c>
      <c r="B3161" s="116">
        <f t="shared" si="49"/>
        <v>84</v>
      </c>
    </row>
    <row r="3162" spans="1:2" x14ac:dyDescent="0.2">
      <c r="A3162" s="117">
        <v>37859</v>
      </c>
      <c r="B3162" s="116">
        <f t="shared" si="49"/>
        <v>84</v>
      </c>
    </row>
    <row r="3163" spans="1:2" x14ac:dyDescent="0.2">
      <c r="A3163" s="117">
        <v>37860</v>
      </c>
      <c r="B3163" s="116">
        <f t="shared" si="49"/>
        <v>84</v>
      </c>
    </row>
    <row r="3164" spans="1:2" x14ac:dyDescent="0.2">
      <c r="A3164" s="117">
        <v>37861</v>
      </c>
      <c r="B3164" s="116">
        <f t="shared" si="49"/>
        <v>84</v>
      </c>
    </row>
    <row r="3165" spans="1:2" x14ac:dyDescent="0.2">
      <c r="A3165" s="117">
        <v>37862</v>
      </c>
      <c r="B3165" s="116">
        <f t="shared" si="49"/>
        <v>84</v>
      </c>
    </row>
    <row r="3166" spans="1:2" x14ac:dyDescent="0.2">
      <c r="A3166" s="117">
        <v>37863</v>
      </c>
      <c r="B3166" s="116">
        <f t="shared" si="49"/>
        <v>84</v>
      </c>
    </row>
    <row r="3167" spans="1:2" x14ac:dyDescent="0.2">
      <c r="A3167" s="117">
        <v>37864</v>
      </c>
      <c r="B3167" s="116">
        <f t="shared" si="49"/>
        <v>91</v>
      </c>
    </row>
    <row r="3168" spans="1:2" x14ac:dyDescent="0.2">
      <c r="A3168" s="117">
        <v>37865</v>
      </c>
      <c r="B3168" s="116">
        <f t="shared" si="49"/>
        <v>91</v>
      </c>
    </row>
    <row r="3169" spans="1:2" x14ac:dyDescent="0.2">
      <c r="A3169" s="117">
        <v>37866</v>
      </c>
      <c r="B3169" s="116">
        <f t="shared" si="49"/>
        <v>91</v>
      </c>
    </row>
    <row r="3170" spans="1:2" x14ac:dyDescent="0.2">
      <c r="A3170" s="117">
        <v>37867</v>
      </c>
      <c r="B3170" s="116">
        <f t="shared" si="49"/>
        <v>91</v>
      </c>
    </row>
    <row r="3171" spans="1:2" x14ac:dyDescent="0.2">
      <c r="A3171" s="117">
        <v>37868</v>
      </c>
      <c r="B3171" s="116">
        <f t="shared" si="49"/>
        <v>91</v>
      </c>
    </row>
    <row r="3172" spans="1:2" x14ac:dyDescent="0.2">
      <c r="A3172" s="117">
        <v>37869</v>
      </c>
      <c r="B3172" s="116">
        <f t="shared" si="49"/>
        <v>91</v>
      </c>
    </row>
    <row r="3173" spans="1:2" x14ac:dyDescent="0.2">
      <c r="A3173" s="117">
        <v>37870</v>
      </c>
      <c r="B3173" s="116">
        <f t="shared" si="49"/>
        <v>91</v>
      </c>
    </row>
    <row r="3174" spans="1:2" x14ac:dyDescent="0.2">
      <c r="A3174" s="117">
        <v>37871</v>
      </c>
      <c r="B3174" s="116">
        <f t="shared" si="49"/>
        <v>92</v>
      </c>
    </row>
    <row r="3175" spans="1:2" x14ac:dyDescent="0.2">
      <c r="A3175" s="117">
        <v>37872</v>
      </c>
      <c r="B3175" s="116">
        <f t="shared" si="49"/>
        <v>92</v>
      </c>
    </row>
    <row r="3176" spans="1:2" x14ac:dyDescent="0.2">
      <c r="A3176" s="117">
        <v>37873</v>
      </c>
      <c r="B3176" s="116">
        <f t="shared" si="49"/>
        <v>92</v>
      </c>
    </row>
    <row r="3177" spans="1:2" x14ac:dyDescent="0.2">
      <c r="A3177" s="117">
        <v>37874</v>
      </c>
      <c r="B3177" s="116">
        <f t="shared" si="49"/>
        <v>92</v>
      </c>
    </row>
    <row r="3178" spans="1:2" x14ac:dyDescent="0.2">
      <c r="A3178" s="117">
        <v>37875</v>
      </c>
      <c r="B3178" s="116">
        <f t="shared" si="49"/>
        <v>92</v>
      </c>
    </row>
    <row r="3179" spans="1:2" x14ac:dyDescent="0.2">
      <c r="A3179" s="117">
        <v>37876</v>
      </c>
      <c r="B3179" s="116">
        <f t="shared" si="49"/>
        <v>92</v>
      </c>
    </row>
    <row r="3180" spans="1:2" x14ac:dyDescent="0.2">
      <c r="A3180" s="117">
        <v>37877</v>
      </c>
      <c r="B3180" s="116">
        <f t="shared" si="49"/>
        <v>92</v>
      </c>
    </row>
    <row r="3181" spans="1:2" x14ac:dyDescent="0.2">
      <c r="A3181" s="117">
        <v>37878</v>
      </c>
      <c r="B3181" s="116">
        <f t="shared" si="49"/>
        <v>93</v>
      </c>
    </row>
    <row r="3182" spans="1:2" x14ac:dyDescent="0.2">
      <c r="A3182" s="117">
        <v>37879</v>
      </c>
      <c r="B3182" s="116">
        <f t="shared" si="49"/>
        <v>93</v>
      </c>
    </row>
    <row r="3183" spans="1:2" x14ac:dyDescent="0.2">
      <c r="A3183" s="117">
        <v>37880</v>
      </c>
      <c r="B3183" s="116">
        <f t="shared" si="49"/>
        <v>93</v>
      </c>
    </row>
    <row r="3184" spans="1:2" x14ac:dyDescent="0.2">
      <c r="A3184" s="117">
        <v>37881</v>
      </c>
      <c r="B3184" s="116">
        <f t="shared" si="49"/>
        <v>93</v>
      </c>
    </row>
    <row r="3185" spans="1:2" x14ac:dyDescent="0.2">
      <c r="A3185" s="117">
        <v>37882</v>
      </c>
      <c r="B3185" s="116">
        <f t="shared" si="49"/>
        <v>93</v>
      </c>
    </row>
    <row r="3186" spans="1:2" x14ac:dyDescent="0.2">
      <c r="A3186" s="117">
        <v>37883</v>
      </c>
      <c r="B3186" s="116">
        <f t="shared" si="49"/>
        <v>93</v>
      </c>
    </row>
    <row r="3187" spans="1:2" x14ac:dyDescent="0.2">
      <c r="A3187" s="117">
        <v>37884</v>
      </c>
      <c r="B3187" s="116">
        <f t="shared" si="49"/>
        <v>93</v>
      </c>
    </row>
    <row r="3188" spans="1:2" x14ac:dyDescent="0.2">
      <c r="A3188" s="117">
        <v>37885</v>
      </c>
      <c r="B3188" s="116">
        <f t="shared" si="49"/>
        <v>94</v>
      </c>
    </row>
    <row r="3189" spans="1:2" x14ac:dyDescent="0.2">
      <c r="A3189" s="117">
        <v>37886</v>
      </c>
      <c r="B3189" s="116">
        <f t="shared" si="49"/>
        <v>94</v>
      </c>
    </row>
    <row r="3190" spans="1:2" x14ac:dyDescent="0.2">
      <c r="A3190" s="117">
        <v>37887</v>
      </c>
      <c r="B3190" s="116">
        <f t="shared" si="49"/>
        <v>94</v>
      </c>
    </row>
    <row r="3191" spans="1:2" x14ac:dyDescent="0.2">
      <c r="A3191" s="117">
        <v>37888</v>
      </c>
      <c r="B3191" s="116">
        <f t="shared" si="49"/>
        <v>94</v>
      </c>
    </row>
    <row r="3192" spans="1:2" x14ac:dyDescent="0.2">
      <c r="A3192" s="117">
        <v>37889</v>
      </c>
      <c r="B3192" s="116">
        <f t="shared" si="49"/>
        <v>94</v>
      </c>
    </row>
    <row r="3193" spans="1:2" x14ac:dyDescent="0.2">
      <c r="A3193" s="117">
        <v>37890</v>
      </c>
      <c r="B3193" s="116">
        <f t="shared" si="49"/>
        <v>94</v>
      </c>
    </row>
    <row r="3194" spans="1:2" x14ac:dyDescent="0.2">
      <c r="A3194" s="117">
        <v>37891</v>
      </c>
      <c r="B3194" s="116">
        <f t="shared" si="49"/>
        <v>94</v>
      </c>
    </row>
    <row r="3195" spans="1:2" x14ac:dyDescent="0.2">
      <c r="A3195" s="117">
        <v>37892</v>
      </c>
      <c r="B3195" s="116">
        <f t="shared" si="49"/>
        <v>101</v>
      </c>
    </row>
    <row r="3196" spans="1:2" x14ac:dyDescent="0.2">
      <c r="A3196" s="117">
        <v>37893</v>
      </c>
      <c r="B3196" s="116">
        <f t="shared" si="49"/>
        <v>101</v>
      </c>
    </row>
    <row r="3197" spans="1:2" x14ac:dyDescent="0.2">
      <c r="A3197" s="117">
        <v>37894</v>
      </c>
      <c r="B3197" s="116">
        <f t="shared" si="49"/>
        <v>101</v>
      </c>
    </row>
    <row r="3198" spans="1:2" x14ac:dyDescent="0.2">
      <c r="A3198" s="117">
        <v>37895</v>
      </c>
      <c r="B3198" s="116">
        <f t="shared" si="49"/>
        <v>101</v>
      </c>
    </row>
    <row r="3199" spans="1:2" x14ac:dyDescent="0.2">
      <c r="A3199" s="117">
        <v>37896</v>
      </c>
      <c r="B3199" s="116">
        <f t="shared" si="49"/>
        <v>101</v>
      </c>
    </row>
    <row r="3200" spans="1:2" x14ac:dyDescent="0.2">
      <c r="A3200" s="117">
        <v>37897</v>
      </c>
      <c r="B3200" s="116">
        <f t="shared" si="49"/>
        <v>101</v>
      </c>
    </row>
    <row r="3201" spans="1:2" x14ac:dyDescent="0.2">
      <c r="A3201" s="117">
        <v>37898</v>
      </c>
      <c r="B3201" s="116">
        <f t="shared" si="49"/>
        <v>101</v>
      </c>
    </row>
    <row r="3202" spans="1:2" x14ac:dyDescent="0.2">
      <c r="A3202" s="117">
        <v>37899</v>
      </c>
      <c r="B3202" s="116">
        <f t="shared" si="49"/>
        <v>102</v>
      </c>
    </row>
    <row r="3203" spans="1:2" x14ac:dyDescent="0.2">
      <c r="A3203" s="117">
        <v>37900</v>
      </c>
      <c r="B3203" s="116">
        <f t="shared" si="49"/>
        <v>102</v>
      </c>
    </row>
    <row r="3204" spans="1:2" x14ac:dyDescent="0.2">
      <c r="A3204" s="117">
        <v>37901</v>
      </c>
      <c r="B3204" s="116">
        <f t="shared" ref="B3204:B3267" si="50">VLOOKUP(WEEKNUM(A3204),$D$4:$E$59,2)</f>
        <v>102</v>
      </c>
    </row>
    <row r="3205" spans="1:2" x14ac:dyDescent="0.2">
      <c r="A3205" s="117">
        <v>37902</v>
      </c>
      <c r="B3205" s="116">
        <f t="shared" si="50"/>
        <v>102</v>
      </c>
    </row>
    <row r="3206" spans="1:2" x14ac:dyDescent="0.2">
      <c r="A3206" s="117">
        <v>37903</v>
      </c>
      <c r="B3206" s="116">
        <f t="shared" si="50"/>
        <v>102</v>
      </c>
    </row>
    <row r="3207" spans="1:2" x14ac:dyDescent="0.2">
      <c r="A3207" s="117">
        <v>37904</v>
      </c>
      <c r="B3207" s="116">
        <f t="shared" si="50"/>
        <v>102</v>
      </c>
    </row>
    <row r="3208" spans="1:2" x14ac:dyDescent="0.2">
      <c r="A3208" s="117">
        <v>37905</v>
      </c>
      <c r="B3208" s="116">
        <f t="shared" si="50"/>
        <v>102</v>
      </c>
    </row>
    <row r="3209" spans="1:2" x14ac:dyDescent="0.2">
      <c r="A3209" s="117">
        <v>37906</v>
      </c>
      <c r="B3209" s="116">
        <f t="shared" si="50"/>
        <v>103</v>
      </c>
    </row>
    <row r="3210" spans="1:2" x14ac:dyDescent="0.2">
      <c r="A3210" s="117">
        <v>37907</v>
      </c>
      <c r="B3210" s="116">
        <f t="shared" si="50"/>
        <v>103</v>
      </c>
    </row>
    <row r="3211" spans="1:2" x14ac:dyDescent="0.2">
      <c r="A3211" s="117">
        <v>37908</v>
      </c>
      <c r="B3211" s="116">
        <f t="shared" si="50"/>
        <v>103</v>
      </c>
    </row>
    <row r="3212" spans="1:2" x14ac:dyDescent="0.2">
      <c r="A3212" s="117">
        <v>37909</v>
      </c>
      <c r="B3212" s="116">
        <f t="shared" si="50"/>
        <v>103</v>
      </c>
    </row>
    <row r="3213" spans="1:2" x14ac:dyDescent="0.2">
      <c r="A3213" s="117">
        <v>37910</v>
      </c>
      <c r="B3213" s="116">
        <f t="shared" si="50"/>
        <v>103</v>
      </c>
    </row>
    <row r="3214" spans="1:2" x14ac:dyDescent="0.2">
      <c r="A3214" s="117">
        <v>37911</v>
      </c>
      <c r="B3214" s="116">
        <f t="shared" si="50"/>
        <v>103</v>
      </c>
    </row>
    <row r="3215" spans="1:2" x14ac:dyDescent="0.2">
      <c r="A3215" s="117">
        <v>37912</v>
      </c>
      <c r="B3215" s="116">
        <f t="shared" si="50"/>
        <v>103</v>
      </c>
    </row>
    <row r="3216" spans="1:2" x14ac:dyDescent="0.2">
      <c r="A3216" s="117">
        <v>37913</v>
      </c>
      <c r="B3216" s="116">
        <f t="shared" si="50"/>
        <v>104</v>
      </c>
    </row>
    <row r="3217" spans="1:2" x14ac:dyDescent="0.2">
      <c r="A3217" s="117">
        <v>37914</v>
      </c>
      <c r="B3217" s="116">
        <f t="shared" si="50"/>
        <v>104</v>
      </c>
    </row>
    <row r="3218" spans="1:2" x14ac:dyDescent="0.2">
      <c r="A3218" s="117">
        <v>37915</v>
      </c>
      <c r="B3218" s="116">
        <f t="shared" si="50"/>
        <v>104</v>
      </c>
    </row>
    <row r="3219" spans="1:2" x14ac:dyDescent="0.2">
      <c r="A3219" s="117">
        <v>37916</v>
      </c>
      <c r="B3219" s="116">
        <f t="shared" si="50"/>
        <v>104</v>
      </c>
    </row>
    <row r="3220" spans="1:2" x14ac:dyDescent="0.2">
      <c r="A3220" s="117">
        <v>37917</v>
      </c>
      <c r="B3220" s="116">
        <f t="shared" si="50"/>
        <v>104</v>
      </c>
    </row>
    <row r="3221" spans="1:2" x14ac:dyDescent="0.2">
      <c r="A3221" s="117">
        <v>37918</v>
      </c>
      <c r="B3221" s="116">
        <f t="shared" si="50"/>
        <v>104</v>
      </c>
    </row>
    <row r="3222" spans="1:2" x14ac:dyDescent="0.2">
      <c r="A3222" s="117">
        <v>37919</v>
      </c>
      <c r="B3222" s="116">
        <f t="shared" si="50"/>
        <v>104</v>
      </c>
    </row>
    <row r="3223" spans="1:2" x14ac:dyDescent="0.2">
      <c r="A3223" s="117">
        <v>37920</v>
      </c>
      <c r="B3223" s="116">
        <f t="shared" si="50"/>
        <v>105</v>
      </c>
    </row>
    <row r="3224" spans="1:2" x14ac:dyDescent="0.2">
      <c r="A3224" s="117">
        <v>37921</v>
      </c>
      <c r="B3224" s="116">
        <f t="shared" si="50"/>
        <v>105</v>
      </c>
    </row>
    <row r="3225" spans="1:2" x14ac:dyDescent="0.2">
      <c r="A3225" s="117">
        <v>37922</v>
      </c>
      <c r="B3225" s="116">
        <f t="shared" si="50"/>
        <v>105</v>
      </c>
    </row>
    <row r="3226" spans="1:2" x14ac:dyDescent="0.2">
      <c r="A3226" s="117">
        <v>37923</v>
      </c>
      <c r="B3226" s="116">
        <f t="shared" si="50"/>
        <v>105</v>
      </c>
    </row>
    <row r="3227" spans="1:2" x14ac:dyDescent="0.2">
      <c r="A3227" s="117">
        <v>37924</v>
      </c>
      <c r="B3227" s="116">
        <f t="shared" si="50"/>
        <v>105</v>
      </c>
    </row>
    <row r="3228" spans="1:2" x14ac:dyDescent="0.2">
      <c r="A3228" s="117">
        <v>37925</v>
      </c>
      <c r="B3228" s="116">
        <f t="shared" si="50"/>
        <v>105</v>
      </c>
    </row>
    <row r="3229" spans="1:2" x14ac:dyDescent="0.2">
      <c r="A3229" s="117">
        <v>37926</v>
      </c>
      <c r="B3229" s="116">
        <f t="shared" si="50"/>
        <v>105</v>
      </c>
    </row>
    <row r="3230" spans="1:2" x14ac:dyDescent="0.2">
      <c r="A3230" s="117">
        <v>37927</v>
      </c>
      <c r="B3230" s="116">
        <f t="shared" si="50"/>
        <v>111</v>
      </c>
    </row>
    <row r="3231" spans="1:2" x14ac:dyDescent="0.2">
      <c r="A3231" s="117">
        <v>37928</v>
      </c>
      <c r="B3231" s="116">
        <f t="shared" si="50"/>
        <v>111</v>
      </c>
    </row>
    <row r="3232" spans="1:2" x14ac:dyDescent="0.2">
      <c r="A3232" s="117">
        <v>37929</v>
      </c>
      <c r="B3232" s="116">
        <f t="shared" si="50"/>
        <v>111</v>
      </c>
    </row>
    <row r="3233" spans="1:2" x14ac:dyDescent="0.2">
      <c r="A3233" s="117">
        <v>37930</v>
      </c>
      <c r="B3233" s="116">
        <f t="shared" si="50"/>
        <v>111</v>
      </c>
    </row>
    <row r="3234" spans="1:2" x14ac:dyDescent="0.2">
      <c r="A3234" s="117">
        <v>37931</v>
      </c>
      <c r="B3234" s="116">
        <f t="shared" si="50"/>
        <v>111</v>
      </c>
    </row>
    <row r="3235" spans="1:2" x14ac:dyDescent="0.2">
      <c r="A3235" s="117">
        <v>37932</v>
      </c>
      <c r="B3235" s="116">
        <f t="shared" si="50"/>
        <v>111</v>
      </c>
    </row>
    <row r="3236" spans="1:2" x14ac:dyDescent="0.2">
      <c r="A3236" s="117">
        <v>37933</v>
      </c>
      <c r="B3236" s="116">
        <f t="shared" si="50"/>
        <v>111</v>
      </c>
    </row>
    <row r="3237" spans="1:2" x14ac:dyDescent="0.2">
      <c r="A3237" s="117">
        <v>37934</v>
      </c>
      <c r="B3237" s="116">
        <f t="shared" si="50"/>
        <v>112</v>
      </c>
    </row>
    <row r="3238" spans="1:2" x14ac:dyDescent="0.2">
      <c r="A3238" s="117">
        <v>37935</v>
      </c>
      <c r="B3238" s="116">
        <f t="shared" si="50"/>
        <v>112</v>
      </c>
    </row>
    <row r="3239" spans="1:2" x14ac:dyDescent="0.2">
      <c r="A3239" s="117">
        <v>37936</v>
      </c>
      <c r="B3239" s="116">
        <f t="shared" si="50"/>
        <v>112</v>
      </c>
    </row>
    <row r="3240" spans="1:2" x14ac:dyDescent="0.2">
      <c r="A3240" s="117">
        <v>37937</v>
      </c>
      <c r="B3240" s="116">
        <f t="shared" si="50"/>
        <v>112</v>
      </c>
    </row>
    <row r="3241" spans="1:2" x14ac:dyDescent="0.2">
      <c r="A3241" s="117">
        <v>37938</v>
      </c>
      <c r="B3241" s="116">
        <f t="shared" si="50"/>
        <v>112</v>
      </c>
    </row>
    <row r="3242" spans="1:2" x14ac:dyDescent="0.2">
      <c r="A3242" s="117">
        <v>37939</v>
      </c>
      <c r="B3242" s="116">
        <f t="shared" si="50"/>
        <v>112</v>
      </c>
    </row>
    <row r="3243" spans="1:2" x14ac:dyDescent="0.2">
      <c r="A3243" s="117">
        <v>37940</v>
      </c>
      <c r="B3243" s="116">
        <f t="shared" si="50"/>
        <v>112</v>
      </c>
    </row>
    <row r="3244" spans="1:2" x14ac:dyDescent="0.2">
      <c r="A3244" s="117">
        <v>37941</v>
      </c>
      <c r="B3244" s="116">
        <f t="shared" si="50"/>
        <v>113</v>
      </c>
    </row>
    <row r="3245" spans="1:2" x14ac:dyDescent="0.2">
      <c r="A3245" s="117">
        <v>37942</v>
      </c>
      <c r="B3245" s="116">
        <f t="shared" si="50"/>
        <v>113</v>
      </c>
    </row>
    <row r="3246" spans="1:2" x14ac:dyDescent="0.2">
      <c r="A3246" s="117">
        <v>37943</v>
      </c>
      <c r="B3246" s="116">
        <f t="shared" si="50"/>
        <v>113</v>
      </c>
    </row>
    <row r="3247" spans="1:2" x14ac:dyDescent="0.2">
      <c r="A3247" s="117">
        <v>37944</v>
      </c>
      <c r="B3247" s="116">
        <f t="shared" si="50"/>
        <v>113</v>
      </c>
    </row>
    <row r="3248" spans="1:2" x14ac:dyDescent="0.2">
      <c r="A3248" s="117">
        <v>37945</v>
      </c>
      <c r="B3248" s="116">
        <f t="shared" si="50"/>
        <v>113</v>
      </c>
    </row>
    <row r="3249" spans="1:2" x14ac:dyDescent="0.2">
      <c r="A3249" s="117">
        <v>37946</v>
      </c>
      <c r="B3249" s="116">
        <f t="shared" si="50"/>
        <v>113</v>
      </c>
    </row>
    <row r="3250" spans="1:2" x14ac:dyDescent="0.2">
      <c r="A3250" s="117">
        <v>37947</v>
      </c>
      <c r="B3250" s="116">
        <f t="shared" si="50"/>
        <v>113</v>
      </c>
    </row>
    <row r="3251" spans="1:2" x14ac:dyDescent="0.2">
      <c r="A3251" s="117">
        <v>37948</v>
      </c>
      <c r="B3251" s="116">
        <f t="shared" si="50"/>
        <v>114</v>
      </c>
    </row>
    <row r="3252" spans="1:2" x14ac:dyDescent="0.2">
      <c r="A3252" s="117">
        <v>37949</v>
      </c>
      <c r="B3252" s="116">
        <f t="shared" si="50"/>
        <v>114</v>
      </c>
    </row>
    <row r="3253" spans="1:2" x14ac:dyDescent="0.2">
      <c r="A3253" s="117">
        <v>37950</v>
      </c>
      <c r="B3253" s="116">
        <f t="shared" si="50"/>
        <v>114</v>
      </c>
    </row>
    <row r="3254" spans="1:2" x14ac:dyDescent="0.2">
      <c r="A3254" s="117">
        <v>37951</v>
      </c>
      <c r="B3254" s="116">
        <f t="shared" si="50"/>
        <v>114</v>
      </c>
    </row>
    <row r="3255" spans="1:2" x14ac:dyDescent="0.2">
      <c r="A3255" s="117">
        <v>37952</v>
      </c>
      <c r="B3255" s="116">
        <f t="shared" si="50"/>
        <v>114</v>
      </c>
    </row>
    <row r="3256" spans="1:2" x14ac:dyDescent="0.2">
      <c r="A3256" s="117">
        <v>37953</v>
      </c>
      <c r="B3256" s="116">
        <f t="shared" si="50"/>
        <v>114</v>
      </c>
    </row>
    <row r="3257" spans="1:2" x14ac:dyDescent="0.2">
      <c r="A3257" s="117">
        <v>37954</v>
      </c>
      <c r="B3257" s="116">
        <f t="shared" si="50"/>
        <v>114</v>
      </c>
    </row>
    <row r="3258" spans="1:2" x14ac:dyDescent="0.2">
      <c r="A3258" s="117">
        <v>37955</v>
      </c>
      <c r="B3258" s="116">
        <f t="shared" si="50"/>
        <v>115</v>
      </c>
    </row>
    <row r="3259" spans="1:2" x14ac:dyDescent="0.2">
      <c r="A3259" s="117">
        <v>37956</v>
      </c>
      <c r="B3259" s="116">
        <f t="shared" si="50"/>
        <v>115</v>
      </c>
    </row>
    <row r="3260" spans="1:2" x14ac:dyDescent="0.2">
      <c r="A3260" s="117">
        <v>37957</v>
      </c>
      <c r="B3260" s="116">
        <f t="shared" si="50"/>
        <v>115</v>
      </c>
    </row>
    <row r="3261" spans="1:2" x14ac:dyDescent="0.2">
      <c r="A3261" s="117">
        <v>37958</v>
      </c>
      <c r="B3261" s="116">
        <f t="shared" si="50"/>
        <v>115</v>
      </c>
    </row>
    <row r="3262" spans="1:2" x14ac:dyDescent="0.2">
      <c r="A3262" s="117">
        <v>37959</v>
      </c>
      <c r="B3262" s="116">
        <f t="shared" si="50"/>
        <v>115</v>
      </c>
    </row>
    <row r="3263" spans="1:2" x14ac:dyDescent="0.2">
      <c r="A3263" s="117">
        <v>37960</v>
      </c>
      <c r="B3263" s="116">
        <f t="shared" si="50"/>
        <v>115</v>
      </c>
    </row>
    <row r="3264" spans="1:2" x14ac:dyDescent="0.2">
      <c r="A3264" s="117">
        <v>37961</v>
      </c>
      <c r="B3264" s="116">
        <f t="shared" si="50"/>
        <v>115</v>
      </c>
    </row>
    <row r="3265" spans="1:2" x14ac:dyDescent="0.2">
      <c r="A3265" s="117">
        <v>37962</v>
      </c>
      <c r="B3265" s="116">
        <f t="shared" si="50"/>
        <v>121</v>
      </c>
    </row>
    <row r="3266" spans="1:2" x14ac:dyDescent="0.2">
      <c r="A3266" s="117">
        <v>37963</v>
      </c>
      <c r="B3266" s="116">
        <f t="shared" si="50"/>
        <v>121</v>
      </c>
    </row>
    <row r="3267" spans="1:2" x14ac:dyDescent="0.2">
      <c r="A3267" s="117">
        <v>37964</v>
      </c>
      <c r="B3267" s="116">
        <f t="shared" si="50"/>
        <v>121</v>
      </c>
    </row>
    <row r="3268" spans="1:2" x14ac:dyDescent="0.2">
      <c r="A3268" s="117">
        <v>37965</v>
      </c>
      <c r="B3268" s="116">
        <f t="shared" ref="B3268:B3331" si="51">VLOOKUP(WEEKNUM(A3268),$D$4:$E$59,2)</f>
        <v>121</v>
      </c>
    </row>
    <row r="3269" spans="1:2" x14ac:dyDescent="0.2">
      <c r="A3269" s="117">
        <v>37966</v>
      </c>
      <c r="B3269" s="116">
        <f t="shared" si="51"/>
        <v>121</v>
      </c>
    </row>
    <row r="3270" spans="1:2" x14ac:dyDescent="0.2">
      <c r="A3270" s="117">
        <v>37967</v>
      </c>
      <c r="B3270" s="116">
        <f t="shared" si="51"/>
        <v>121</v>
      </c>
    </row>
    <row r="3271" spans="1:2" x14ac:dyDescent="0.2">
      <c r="A3271" s="117">
        <v>37968</v>
      </c>
      <c r="B3271" s="116">
        <f t="shared" si="51"/>
        <v>121</v>
      </c>
    </row>
    <row r="3272" spans="1:2" x14ac:dyDescent="0.2">
      <c r="A3272" s="117">
        <v>37969</v>
      </c>
      <c r="B3272" s="116">
        <f t="shared" si="51"/>
        <v>122</v>
      </c>
    </row>
    <row r="3273" spans="1:2" x14ac:dyDescent="0.2">
      <c r="A3273" s="117">
        <v>37970</v>
      </c>
      <c r="B3273" s="116">
        <f t="shared" si="51"/>
        <v>122</v>
      </c>
    </row>
    <row r="3274" spans="1:2" x14ac:dyDescent="0.2">
      <c r="A3274" s="117">
        <v>37971</v>
      </c>
      <c r="B3274" s="116">
        <f t="shared" si="51"/>
        <v>122</v>
      </c>
    </row>
    <row r="3275" spans="1:2" x14ac:dyDescent="0.2">
      <c r="A3275" s="117">
        <v>37972</v>
      </c>
      <c r="B3275" s="116">
        <f t="shared" si="51"/>
        <v>122</v>
      </c>
    </row>
    <row r="3276" spans="1:2" x14ac:dyDescent="0.2">
      <c r="A3276" s="117">
        <v>37973</v>
      </c>
      <c r="B3276" s="116">
        <f t="shared" si="51"/>
        <v>122</v>
      </c>
    </row>
    <row r="3277" spans="1:2" x14ac:dyDescent="0.2">
      <c r="A3277" s="117">
        <v>37974</v>
      </c>
      <c r="B3277" s="116">
        <f t="shared" si="51"/>
        <v>122</v>
      </c>
    </row>
    <row r="3278" spans="1:2" x14ac:dyDescent="0.2">
      <c r="A3278" s="117">
        <v>37975</v>
      </c>
      <c r="B3278" s="116">
        <f t="shared" si="51"/>
        <v>122</v>
      </c>
    </row>
    <row r="3279" spans="1:2" x14ac:dyDescent="0.2">
      <c r="A3279" s="117">
        <v>37976</v>
      </c>
      <c r="B3279" s="116">
        <f t="shared" si="51"/>
        <v>123</v>
      </c>
    </row>
    <row r="3280" spans="1:2" x14ac:dyDescent="0.2">
      <c r="A3280" s="117">
        <v>37977</v>
      </c>
      <c r="B3280" s="116">
        <f t="shared" si="51"/>
        <v>123</v>
      </c>
    </row>
    <row r="3281" spans="1:2" x14ac:dyDescent="0.2">
      <c r="A3281" s="117">
        <v>37978</v>
      </c>
      <c r="B3281" s="116">
        <f t="shared" si="51"/>
        <v>123</v>
      </c>
    </row>
    <row r="3282" spans="1:2" x14ac:dyDescent="0.2">
      <c r="A3282" s="117">
        <v>37979</v>
      </c>
      <c r="B3282" s="116">
        <f t="shared" si="51"/>
        <v>123</v>
      </c>
    </row>
    <row r="3283" spans="1:2" x14ac:dyDescent="0.2">
      <c r="A3283" s="117">
        <v>37980</v>
      </c>
      <c r="B3283" s="116">
        <f t="shared" si="51"/>
        <v>123</v>
      </c>
    </row>
    <row r="3284" spans="1:2" x14ac:dyDescent="0.2">
      <c r="A3284" s="117">
        <v>37981</v>
      </c>
      <c r="B3284" s="116">
        <f t="shared" si="51"/>
        <v>123</v>
      </c>
    </row>
    <row r="3285" spans="1:2" x14ac:dyDescent="0.2">
      <c r="A3285" s="117">
        <v>37982</v>
      </c>
      <c r="B3285" s="116">
        <f t="shared" si="51"/>
        <v>123</v>
      </c>
    </row>
    <row r="3286" spans="1:2" x14ac:dyDescent="0.2">
      <c r="A3286" s="117">
        <v>37983</v>
      </c>
      <c r="B3286" s="116">
        <f t="shared" si="51"/>
        <v>124</v>
      </c>
    </row>
    <row r="3287" spans="1:2" x14ac:dyDescent="0.2">
      <c r="A3287" s="117">
        <v>37984</v>
      </c>
      <c r="B3287" s="116">
        <f t="shared" si="51"/>
        <v>124</v>
      </c>
    </row>
    <row r="3288" spans="1:2" x14ac:dyDescent="0.2">
      <c r="A3288" s="117">
        <v>37985</v>
      </c>
      <c r="B3288" s="116">
        <f t="shared" si="51"/>
        <v>124</v>
      </c>
    </row>
    <row r="3289" spans="1:2" x14ac:dyDescent="0.2">
      <c r="A3289" s="117">
        <v>37986</v>
      </c>
      <c r="B3289" s="116">
        <f t="shared" si="51"/>
        <v>124</v>
      </c>
    </row>
    <row r="3290" spans="1:2" x14ac:dyDescent="0.2">
      <c r="A3290" s="117">
        <v>37987</v>
      </c>
      <c r="B3290" s="116">
        <f t="shared" si="51"/>
        <v>11</v>
      </c>
    </row>
    <row r="3291" spans="1:2" x14ac:dyDescent="0.2">
      <c r="A3291" s="117">
        <v>37988</v>
      </c>
      <c r="B3291" s="116">
        <f t="shared" si="51"/>
        <v>11</v>
      </c>
    </row>
    <row r="3292" spans="1:2" x14ac:dyDescent="0.2">
      <c r="A3292" s="117">
        <v>37989</v>
      </c>
      <c r="B3292" s="116">
        <f t="shared" si="51"/>
        <v>11</v>
      </c>
    </row>
    <row r="3293" spans="1:2" x14ac:dyDescent="0.2">
      <c r="A3293" s="117">
        <v>37990</v>
      </c>
      <c r="B3293" s="116">
        <f t="shared" si="51"/>
        <v>12</v>
      </c>
    </row>
    <row r="3294" spans="1:2" x14ac:dyDescent="0.2">
      <c r="A3294" s="117">
        <v>37991</v>
      </c>
      <c r="B3294" s="116">
        <f t="shared" si="51"/>
        <v>12</v>
      </c>
    </row>
    <row r="3295" spans="1:2" x14ac:dyDescent="0.2">
      <c r="A3295" s="117">
        <v>37992</v>
      </c>
      <c r="B3295" s="116">
        <f t="shared" si="51"/>
        <v>12</v>
      </c>
    </row>
    <row r="3296" spans="1:2" x14ac:dyDescent="0.2">
      <c r="A3296" s="117">
        <v>37993</v>
      </c>
      <c r="B3296" s="116">
        <f t="shared" si="51"/>
        <v>12</v>
      </c>
    </row>
    <row r="3297" spans="1:2" x14ac:dyDescent="0.2">
      <c r="A3297" s="117">
        <v>37994</v>
      </c>
      <c r="B3297" s="116">
        <f t="shared" si="51"/>
        <v>12</v>
      </c>
    </row>
    <row r="3298" spans="1:2" x14ac:dyDescent="0.2">
      <c r="A3298" s="117">
        <v>37995</v>
      </c>
      <c r="B3298" s="116">
        <f t="shared" si="51"/>
        <v>12</v>
      </c>
    </row>
    <row r="3299" spans="1:2" x14ac:dyDescent="0.2">
      <c r="A3299" s="117">
        <v>37996</v>
      </c>
      <c r="B3299" s="116">
        <f t="shared" si="51"/>
        <v>12</v>
      </c>
    </row>
    <row r="3300" spans="1:2" x14ac:dyDescent="0.2">
      <c r="A3300" s="117">
        <v>37997</v>
      </c>
      <c r="B3300" s="116">
        <f t="shared" si="51"/>
        <v>13</v>
      </c>
    </row>
    <row r="3301" spans="1:2" x14ac:dyDescent="0.2">
      <c r="A3301" s="117">
        <v>37998</v>
      </c>
      <c r="B3301" s="116">
        <f t="shared" si="51"/>
        <v>13</v>
      </c>
    </row>
    <row r="3302" spans="1:2" x14ac:dyDescent="0.2">
      <c r="A3302" s="117">
        <v>37999</v>
      </c>
      <c r="B3302" s="116">
        <f t="shared" si="51"/>
        <v>13</v>
      </c>
    </row>
    <row r="3303" spans="1:2" x14ac:dyDescent="0.2">
      <c r="A3303" s="117">
        <v>38000</v>
      </c>
      <c r="B3303" s="116">
        <f t="shared" si="51"/>
        <v>13</v>
      </c>
    </row>
    <row r="3304" spans="1:2" x14ac:dyDescent="0.2">
      <c r="A3304" s="117">
        <v>38001</v>
      </c>
      <c r="B3304" s="116">
        <f t="shared" si="51"/>
        <v>13</v>
      </c>
    </row>
    <row r="3305" spans="1:2" x14ac:dyDescent="0.2">
      <c r="A3305" s="117">
        <v>38002</v>
      </c>
      <c r="B3305" s="116">
        <f t="shared" si="51"/>
        <v>13</v>
      </c>
    </row>
    <row r="3306" spans="1:2" x14ac:dyDescent="0.2">
      <c r="A3306" s="117">
        <v>38003</v>
      </c>
      <c r="B3306" s="116">
        <f t="shared" si="51"/>
        <v>13</v>
      </c>
    </row>
    <row r="3307" spans="1:2" x14ac:dyDescent="0.2">
      <c r="A3307" s="117">
        <v>38004</v>
      </c>
      <c r="B3307" s="116">
        <f t="shared" si="51"/>
        <v>14</v>
      </c>
    </row>
    <row r="3308" spans="1:2" x14ac:dyDescent="0.2">
      <c r="A3308" s="117">
        <v>38005</v>
      </c>
      <c r="B3308" s="116">
        <f t="shared" si="51"/>
        <v>14</v>
      </c>
    </row>
    <row r="3309" spans="1:2" x14ac:dyDescent="0.2">
      <c r="A3309" s="117">
        <v>38006</v>
      </c>
      <c r="B3309" s="116">
        <f t="shared" si="51"/>
        <v>14</v>
      </c>
    </row>
    <row r="3310" spans="1:2" x14ac:dyDescent="0.2">
      <c r="A3310" s="117">
        <v>38007</v>
      </c>
      <c r="B3310" s="116">
        <f t="shared" si="51"/>
        <v>14</v>
      </c>
    </row>
    <row r="3311" spans="1:2" x14ac:dyDescent="0.2">
      <c r="A3311" s="117">
        <v>38008</v>
      </c>
      <c r="B3311" s="116">
        <f t="shared" si="51"/>
        <v>14</v>
      </c>
    </row>
    <row r="3312" spans="1:2" x14ac:dyDescent="0.2">
      <c r="A3312" s="117">
        <v>38009</v>
      </c>
      <c r="B3312" s="116">
        <f t="shared" si="51"/>
        <v>14</v>
      </c>
    </row>
    <row r="3313" spans="1:2" x14ac:dyDescent="0.2">
      <c r="A3313" s="117">
        <v>38010</v>
      </c>
      <c r="B3313" s="116">
        <f t="shared" si="51"/>
        <v>14</v>
      </c>
    </row>
    <row r="3314" spans="1:2" x14ac:dyDescent="0.2">
      <c r="A3314" s="117">
        <v>38011</v>
      </c>
      <c r="B3314" s="116">
        <f t="shared" si="51"/>
        <v>15</v>
      </c>
    </row>
    <row r="3315" spans="1:2" x14ac:dyDescent="0.2">
      <c r="A3315" s="117">
        <v>38012</v>
      </c>
      <c r="B3315" s="116">
        <f t="shared" si="51"/>
        <v>15</v>
      </c>
    </row>
    <row r="3316" spans="1:2" x14ac:dyDescent="0.2">
      <c r="A3316" s="117">
        <v>38013</v>
      </c>
      <c r="B3316" s="116">
        <f t="shared" si="51"/>
        <v>15</v>
      </c>
    </row>
    <row r="3317" spans="1:2" x14ac:dyDescent="0.2">
      <c r="A3317" s="117">
        <v>38014</v>
      </c>
      <c r="B3317" s="116">
        <f t="shared" si="51"/>
        <v>15</v>
      </c>
    </row>
    <row r="3318" spans="1:2" x14ac:dyDescent="0.2">
      <c r="A3318" s="117">
        <v>38015</v>
      </c>
      <c r="B3318" s="116">
        <f t="shared" si="51"/>
        <v>15</v>
      </c>
    </row>
    <row r="3319" spans="1:2" x14ac:dyDescent="0.2">
      <c r="A3319" s="117">
        <v>38016</v>
      </c>
      <c r="B3319" s="116">
        <f t="shared" si="51"/>
        <v>15</v>
      </c>
    </row>
    <row r="3320" spans="1:2" x14ac:dyDescent="0.2">
      <c r="A3320" s="117">
        <v>38017</v>
      </c>
      <c r="B3320" s="116">
        <f t="shared" si="51"/>
        <v>15</v>
      </c>
    </row>
    <row r="3321" spans="1:2" x14ac:dyDescent="0.2">
      <c r="A3321" s="117">
        <v>38018</v>
      </c>
      <c r="B3321" s="116">
        <f t="shared" si="51"/>
        <v>21</v>
      </c>
    </row>
    <row r="3322" spans="1:2" x14ac:dyDescent="0.2">
      <c r="A3322" s="117">
        <v>38019</v>
      </c>
      <c r="B3322" s="116">
        <f t="shared" si="51"/>
        <v>21</v>
      </c>
    </row>
    <row r="3323" spans="1:2" x14ac:dyDescent="0.2">
      <c r="A3323" s="117">
        <v>38020</v>
      </c>
      <c r="B3323" s="116">
        <f t="shared" si="51"/>
        <v>21</v>
      </c>
    </row>
    <row r="3324" spans="1:2" x14ac:dyDescent="0.2">
      <c r="A3324" s="117">
        <v>38021</v>
      </c>
      <c r="B3324" s="116">
        <f t="shared" si="51"/>
        <v>21</v>
      </c>
    </row>
    <row r="3325" spans="1:2" x14ac:dyDescent="0.2">
      <c r="A3325" s="117">
        <v>38022</v>
      </c>
      <c r="B3325" s="116">
        <f t="shared" si="51"/>
        <v>21</v>
      </c>
    </row>
    <row r="3326" spans="1:2" x14ac:dyDescent="0.2">
      <c r="A3326" s="117">
        <v>38023</v>
      </c>
      <c r="B3326" s="116">
        <f t="shared" si="51"/>
        <v>21</v>
      </c>
    </row>
    <row r="3327" spans="1:2" x14ac:dyDescent="0.2">
      <c r="A3327" s="117">
        <v>38024</v>
      </c>
      <c r="B3327" s="116">
        <f t="shared" si="51"/>
        <v>21</v>
      </c>
    </row>
    <row r="3328" spans="1:2" x14ac:dyDescent="0.2">
      <c r="A3328" s="117">
        <v>38025</v>
      </c>
      <c r="B3328" s="116">
        <f t="shared" si="51"/>
        <v>22</v>
      </c>
    </row>
    <row r="3329" spans="1:2" x14ac:dyDescent="0.2">
      <c r="A3329" s="117">
        <v>38026</v>
      </c>
      <c r="B3329" s="116">
        <f t="shared" si="51"/>
        <v>22</v>
      </c>
    </row>
    <row r="3330" spans="1:2" x14ac:dyDescent="0.2">
      <c r="A3330" s="117">
        <v>38027</v>
      </c>
      <c r="B3330" s="116">
        <f t="shared" si="51"/>
        <v>22</v>
      </c>
    </row>
    <row r="3331" spans="1:2" x14ac:dyDescent="0.2">
      <c r="A3331" s="117">
        <v>38028</v>
      </c>
      <c r="B3331" s="116">
        <f t="shared" si="51"/>
        <v>22</v>
      </c>
    </row>
    <row r="3332" spans="1:2" x14ac:dyDescent="0.2">
      <c r="A3332" s="117">
        <v>38029</v>
      </c>
      <c r="B3332" s="116">
        <f t="shared" ref="B3332:B3395" si="52">VLOOKUP(WEEKNUM(A3332),$D$4:$E$59,2)</f>
        <v>22</v>
      </c>
    </row>
    <row r="3333" spans="1:2" x14ac:dyDescent="0.2">
      <c r="A3333" s="117">
        <v>38030</v>
      </c>
      <c r="B3333" s="116">
        <f t="shared" si="52"/>
        <v>22</v>
      </c>
    </row>
    <row r="3334" spans="1:2" x14ac:dyDescent="0.2">
      <c r="A3334" s="117">
        <v>38031</v>
      </c>
      <c r="B3334" s="116">
        <f t="shared" si="52"/>
        <v>22</v>
      </c>
    </row>
    <row r="3335" spans="1:2" x14ac:dyDescent="0.2">
      <c r="A3335" s="117">
        <v>38032</v>
      </c>
      <c r="B3335" s="116">
        <f t="shared" si="52"/>
        <v>23</v>
      </c>
    </row>
    <row r="3336" spans="1:2" x14ac:dyDescent="0.2">
      <c r="A3336" s="117">
        <v>38033</v>
      </c>
      <c r="B3336" s="116">
        <f t="shared" si="52"/>
        <v>23</v>
      </c>
    </row>
    <row r="3337" spans="1:2" x14ac:dyDescent="0.2">
      <c r="A3337" s="117">
        <v>38034</v>
      </c>
      <c r="B3337" s="116">
        <f t="shared" si="52"/>
        <v>23</v>
      </c>
    </row>
    <row r="3338" spans="1:2" x14ac:dyDescent="0.2">
      <c r="A3338" s="117">
        <v>38035</v>
      </c>
      <c r="B3338" s="116">
        <f t="shared" si="52"/>
        <v>23</v>
      </c>
    </row>
    <row r="3339" spans="1:2" x14ac:dyDescent="0.2">
      <c r="A3339" s="117">
        <v>38036</v>
      </c>
      <c r="B3339" s="116">
        <f t="shared" si="52"/>
        <v>23</v>
      </c>
    </row>
    <row r="3340" spans="1:2" x14ac:dyDescent="0.2">
      <c r="A3340" s="117">
        <v>38037</v>
      </c>
      <c r="B3340" s="116">
        <f t="shared" si="52"/>
        <v>23</v>
      </c>
    </row>
    <row r="3341" spans="1:2" x14ac:dyDescent="0.2">
      <c r="A3341" s="117">
        <v>38038</v>
      </c>
      <c r="B3341" s="116">
        <f t="shared" si="52"/>
        <v>23</v>
      </c>
    </row>
    <row r="3342" spans="1:2" x14ac:dyDescent="0.2">
      <c r="A3342" s="117">
        <v>38039</v>
      </c>
      <c r="B3342" s="116">
        <f t="shared" si="52"/>
        <v>24</v>
      </c>
    </row>
    <row r="3343" spans="1:2" x14ac:dyDescent="0.2">
      <c r="A3343" s="117">
        <v>38040</v>
      </c>
      <c r="B3343" s="116">
        <f t="shared" si="52"/>
        <v>24</v>
      </c>
    </row>
    <row r="3344" spans="1:2" x14ac:dyDescent="0.2">
      <c r="A3344" s="117">
        <v>38041</v>
      </c>
      <c r="B3344" s="116">
        <f t="shared" si="52"/>
        <v>24</v>
      </c>
    </row>
    <row r="3345" spans="1:2" x14ac:dyDescent="0.2">
      <c r="A3345" s="117">
        <v>38042</v>
      </c>
      <c r="B3345" s="116">
        <f t="shared" si="52"/>
        <v>24</v>
      </c>
    </row>
    <row r="3346" spans="1:2" x14ac:dyDescent="0.2">
      <c r="A3346" s="117">
        <v>38043</v>
      </c>
      <c r="B3346" s="116">
        <f t="shared" si="52"/>
        <v>24</v>
      </c>
    </row>
    <row r="3347" spans="1:2" x14ac:dyDescent="0.2">
      <c r="A3347" s="117">
        <v>38044</v>
      </c>
      <c r="B3347" s="116">
        <f t="shared" si="52"/>
        <v>24</v>
      </c>
    </row>
    <row r="3348" spans="1:2" x14ac:dyDescent="0.2">
      <c r="A3348" s="117">
        <v>38045</v>
      </c>
      <c r="B3348" s="116">
        <f t="shared" si="52"/>
        <v>24</v>
      </c>
    </row>
    <row r="3349" spans="1:2" x14ac:dyDescent="0.2">
      <c r="A3349" s="117">
        <v>38046</v>
      </c>
      <c r="B3349" s="116">
        <f t="shared" si="52"/>
        <v>31</v>
      </c>
    </row>
    <row r="3350" spans="1:2" x14ac:dyDescent="0.2">
      <c r="A3350" s="117">
        <v>38047</v>
      </c>
      <c r="B3350" s="116">
        <f t="shared" si="52"/>
        <v>31</v>
      </c>
    </row>
    <row r="3351" spans="1:2" x14ac:dyDescent="0.2">
      <c r="A3351" s="117">
        <v>38048</v>
      </c>
      <c r="B3351" s="116">
        <f t="shared" si="52"/>
        <v>31</v>
      </c>
    </row>
    <row r="3352" spans="1:2" x14ac:dyDescent="0.2">
      <c r="A3352" s="117">
        <v>38049</v>
      </c>
      <c r="B3352" s="116">
        <f t="shared" si="52"/>
        <v>31</v>
      </c>
    </row>
    <row r="3353" spans="1:2" x14ac:dyDescent="0.2">
      <c r="A3353" s="117">
        <v>38050</v>
      </c>
      <c r="B3353" s="116">
        <f t="shared" si="52"/>
        <v>31</v>
      </c>
    </row>
    <row r="3354" spans="1:2" x14ac:dyDescent="0.2">
      <c r="A3354" s="117">
        <v>38051</v>
      </c>
      <c r="B3354" s="116">
        <f t="shared" si="52"/>
        <v>31</v>
      </c>
    </row>
    <row r="3355" spans="1:2" x14ac:dyDescent="0.2">
      <c r="A3355" s="117">
        <v>38052</v>
      </c>
      <c r="B3355" s="116">
        <f t="shared" si="52"/>
        <v>31</v>
      </c>
    </row>
    <row r="3356" spans="1:2" x14ac:dyDescent="0.2">
      <c r="A3356" s="117">
        <v>38053</v>
      </c>
      <c r="B3356" s="116">
        <f t="shared" si="52"/>
        <v>32</v>
      </c>
    </row>
    <row r="3357" spans="1:2" x14ac:dyDescent="0.2">
      <c r="A3357" s="117">
        <v>38054</v>
      </c>
      <c r="B3357" s="116">
        <f t="shared" si="52"/>
        <v>32</v>
      </c>
    </row>
    <row r="3358" spans="1:2" x14ac:dyDescent="0.2">
      <c r="A3358" s="117">
        <v>38055</v>
      </c>
      <c r="B3358" s="116">
        <f t="shared" si="52"/>
        <v>32</v>
      </c>
    </row>
    <row r="3359" spans="1:2" x14ac:dyDescent="0.2">
      <c r="A3359" s="117">
        <v>38056</v>
      </c>
      <c r="B3359" s="116">
        <f t="shared" si="52"/>
        <v>32</v>
      </c>
    </row>
    <row r="3360" spans="1:2" x14ac:dyDescent="0.2">
      <c r="A3360" s="117">
        <v>38057</v>
      </c>
      <c r="B3360" s="116">
        <f t="shared" si="52"/>
        <v>32</v>
      </c>
    </row>
    <row r="3361" spans="1:2" x14ac:dyDescent="0.2">
      <c r="A3361" s="117">
        <v>38058</v>
      </c>
      <c r="B3361" s="116">
        <f t="shared" si="52"/>
        <v>32</v>
      </c>
    </row>
    <row r="3362" spans="1:2" x14ac:dyDescent="0.2">
      <c r="A3362" s="117">
        <v>38059</v>
      </c>
      <c r="B3362" s="116">
        <f t="shared" si="52"/>
        <v>32</v>
      </c>
    </row>
    <row r="3363" spans="1:2" x14ac:dyDescent="0.2">
      <c r="A3363" s="117">
        <v>38060</v>
      </c>
      <c r="B3363" s="116">
        <f t="shared" si="52"/>
        <v>33</v>
      </c>
    </row>
    <row r="3364" spans="1:2" x14ac:dyDescent="0.2">
      <c r="A3364" s="117">
        <v>38061</v>
      </c>
      <c r="B3364" s="116">
        <f t="shared" si="52"/>
        <v>33</v>
      </c>
    </row>
    <row r="3365" spans="1:2" x14ac:dyDescent="0.2">
      <c r="A3365" s="117">
        <v>38062</v>
      </c>
      <c r="B3365" s="116">
        <f t="shared" si="52"/>
        <v>33</v>
      </c>
    </row>
    <row r="3366" spans="1:2" x14ac:dyDescent="0.2">
      <c r="A3366" s="117">
        <v>38063</v>
      </c>
      <c r="B3366" s="116">
        <f t="shared" si="52"/>
        <v>33</v>
      </c>
    </row>
    <row r="3367" spans="1:2" x14ac:dyDescent="0.2">
      <c r="A3367" s="117">
        <v>38064</v>
      </c>
      <c r="B3367" s="116">
        <f t="shared" si="52"/>
        <v>33</v>
      </c>
    </row>
    <row r="3368" spans="1:2" x14ac:dyDescent="0.2">
      <c r="A3368" s="117">
        <v>38065</v>
      </c>
      <c r="B3368" s="116">
        <f t="shared" si="52"/>
        <v>33</v>
      </c>
    </row>
    <row r="3369" spans="1:2" x14ac:dyDescent="0.2">
      <c r="A3369" s="117">
        <v>38066</v>
      </c>
      <c r="B3369" s="116">
        <f t="shared" si="52"/>
        <v>33</v>
      </c>
    </row>
    <row r="3370" spans="1:2" x14ac:dyDescent="0.2">
      <c r="A3370" s="117">
        <v>38067</v>
      </c>
      <c r="B3370" s="116">
        <f t="shared" si="52"/>
        <v>34</v>
      </c>
    </row>
    <row r="3371" spans="1:2" x14ac:dyDescent="0.2">
      <c r="A3371" s="117">
        <v>38068</v>
      </c>
      <c r="B3371" s="116">
        <f t="shared" si="52"/>
        <v>34</v>
      </c>
    </row>
    <row r="3372" spans="1:2" x14ac:dyDescent="0.2">
      <c r="A3372" s="117">
        <v>38069</v>
      </c>
      <c r="B3372" s="116">
        <f t="shared" si="52"/>
        <v>34</v>
      </c>
    </row>
    <row r="3373" spans="1:2" x14ac:dyDescent="0.2">
      <c r="A3373" s="117">
        <v>38070</v>
      </c>
      <c r="B3373" s="116">
        <f t="shared" si="52"/>
        <v>34</v>
      </c>
    </row>
    <row r="3374" spans="1:2" x14ac:dyDescent="0.2">
      <c r="A3374" s="117">
        <v>38071</v>
      </c>
      <c r="B3374" s="116">
        <f t="shared" si="52"/>
        <v>34</v>
      </c>
    </row>
    <row r="3375" spans="1:2" x14ac:dyDescent="0.2">
      <c r="A3375" s="117">
        <v>38072</v>
      </c>
      <c r="B3375" s="116">
        <f t="shared" si="52"/>
        <v>34</v>
      </c>
    </row>
    <row r="3376" spans="1:2" x14ac:dyDescent="0.2">
      <c r="A3376" s="117">
        <v>38073</v>
      </c>
      <c r="B3376" s="116">
        <f t="shared" si="52"/>
        <v>34</v>
      </c>
    </row>
    <row r="3377" spans="1:2" x14ac:dyDescent="0.2">
      <c r="A3377" s="117">
        <v>38074</v>
      </c>
      <c r="B3377" s="116">
        <f t="shared" si="52"/>
        <v>41</v>
      </c>
    </row>
    <row r="3378" spans="1:2" x14ac:dyDescent="0.2">
      <c r="A3378" s="117">
        <v>38075</v>
      </c>
      <c r="B3378" s="116">
        <f t="shared" si="52"/>
        <v>41</v>
      </c>
    </row>
    <row r="3379" spans="1:2" x14ac:dyDescent="0.2">
      <c r="A3379" s="117">
        <v>38076</v>
      </c>
      <c r="B3379" s="116">
        <f t="shared" si="52"/>
        <v>41</v>
      </c>
    </row>
    <row r="3380" spans="1:2" x14ac:dyDescent="0.2">
      <c r="A3380" s="117">
        <v>38077</v>
      </c>
      <c r="B3380" s="116">
        <f t="shared" si="52"/>
        <v>41</v>
      </c>
    </row>
    <row r="3381" spans="1:2" x14ac:dyDescent="0.2">
      <c r="A3381" s="117">
        <v>38078</v>
      </c>
      <c r="B3381" s="116">
        <f t="shared" si="52"/>
        <v>41</v>
      </c>
    </row>
    <row r="3382" spans="1:2" x14ac:dyDescent="0.2">
      <c r="A3382" s="117">
        <v>38079</v>
      </c>
      <c r="B3382" s="116">
        <f t="shared" si="52"/>
        <v>41</v>
      </c>
    </row>
    <row r="3383" spans="1:2" x14ac:dyDescent="0.2">
      <c r="A3383" s="117">
        <v>38080</v>
      </c>
      <c r="B3383" s="116">
        <f t="shared" si="52"/>
        <v>41</v>
      </c>
    </row>
    <row r="3384" spans="1:2" x14ac:dyDescent="0.2">
      <c r="A3384" s="117">
        <v>38081</v>
      </c>
      <c r="B3384" s="116">
        <f t="shared" si="52"/>
        <v>42</v>
      </c>
    </row>
    <row r="3385" spans="1:2" x14ac:dyDescent="0.2">
      <c r="A3385" s="117">
        <v>38082</v>
      </c>
      <c r="B3385" s="116">
        <f t="shared" si="52"/>
        <v>42</v>
      </c>
    </row>
    <row r="3386" spans="1:2" x14ac:dyDescent="0.2">
      <c r="A3386" s="117">
        <v>38083</v>
      </c>
      <c r="B3386" s="116">
        <f t="shared" si="52"/>
        <v>42</v>
      </c>
    </row>
    <row r="3387" spans="1:2" x14ac:dyDescent="0.2">
      <c r="A3387" s="117">
        <v>38084</v>
      </c>
      <c r="B3387" s="116">
        <f t="shared" si="52"/>
        <v>42</v>
      </c>
    </row>
    <row r="3388" spans="1:2" x14ac:dyDescent="0.2">
      <c r="A3388" s="117">
        <v>38085</v>
      </c>
      <c r="B3388" s="116">
        <f t="shared" si="52"/>
        <v>42</v>
      </c>
    </row>
    <row r="3389" spans="1:2" x14ac:dyDescent="0.2">
      <c r="A3389" s="117">
        <v>38086</v>
      </c>
      <c r="B3389" s="116">
        <f t="shared" si="52"/>
        <v>42</v>
      </c>
    </row>
    <row r="3390" spans="1:2" x14ac:dyDescent="0.2">
      <c r="A3390" s="117">
        <v>38087</v>
      </c>
      <c r="B3390" s="116">
        <f t="shared" si="52"/>
        <v>42</v>
      </c>
    </row>
    <row r="3391" spans="1:2" x14ac:dyDescent="0.2">
      <c r="A3391" s="117">
        <v>38088</v>
      </c>
      <c r="B3391" s="116">
        <f t="shared" si="52"/>
        <v>43</v>
      </c>
    </row>
    <row r="3392" spans="1:2" x14ac:dyDescent="0.2">
      <c r="A3392" s="117">
        <v>38089</v>
      </c>
      <c r="B3392" s="116">
        <f t="shared" si="52"/>
        <v>43</v>
      </c>
    </row>
    <row r="3393" spans="1:2" x14ac:dyDescent="0.2">
      <c r="A3393" s="117">
        <v>38090</v>
      </c>
      <c r="B3393" s="116">
        <f t="shared" si="52"/>
        <v>43</v>
      </c>
    </row>
    <row r="3394" spans="1:2" x14ac:dyDescent="0.2">
      <c r="A3394" s="117">
        <v>38091</v>
      </c>
      <c r="B3394" s="116">
        <f t="shared" si="52"/>
        <v>43</v>
      </c>
    </row>
    <row r="3395" spans="1:2" x14ac:dyDescent="0.2">
      <c r="A3395" s="117">
        <v>38092</v>
      </c>
      <c r="B3395" s="116">
        <f t="shared" si="52"/>
        <v>43</v>
      </c>
    </row>
    <row r="3396" spans="1:2" x14ac:dyDescent="0.2">
      <c r="A3396" s="117">
        <v>38093</v>
      </c>
      <c r="B3396" s="116">
        <f t="shared" ref="B3396:B3459" si="53">VLOOKUP(WEEKNUM(A3396),$D$4:$E$59,2)</f>
        <v>43</v>
      </c>
    </row>
    <row r="3397" spans="1:2" x14ac:dyDescent="0.2">
      <c r="A3397" s="117">
        <v>38094</v>
      </c>
      <c r="B3397" s="116">
        <f t="shared" si="53"/>
        <v>43</v>
      </c>
    </row>
    <row r="3398" spans="1:2" x14ac:dyDescent="0.2">
      <c r="A3398" s="117">
        <v>38095</v>
      </c>
      <c r="B3398" s="116">
        <f t="shared" si="53"/>
        <v>44</v>
      </c>
    </row>
    <row r="3399" spans="1:2" x14ac:dyDescent="0.2">
      <c r="A3399" s="117">
        <v>38096</v>
      </c>
      <c r="B3399" s="116">
        <f t="shared" si="53"/>
        <v>44</v>
      </c>
    </row>
    <row r="3400" spans="1:2" x14ac:dyDescent="0.2">
      <c r="A3400" s="117">
        <v>38097</v>
      </c>
      <c r="B3400" s="116">
        <f t="shared" si="53"/>
        <v>44</v>
      </c>
    </row>
    <row r="3401" spans="1:2" x14ac:dyDescent="0.2">
      <c r="A3401" s="117">
        <v>38098</v>
      </c>
      <c r="B3401" s="116">
        <f t="shared" si="53"/>
        <v>44</v>
      </c>
    </row>
    <row r="3402" spans="1:2" x14ac:dyDescent="0.2">
      <c r="A3402" s="117">
        <v>38099</v>
      </c>
      <c r="B3402" s="116">
        <f t="shared" si="53"/>
        <v>44</v>
      </c>
    </row>
    <row r="3403" spans="1:2" x14ac:dyDescent="0.2">
      <c r="A3403" s="117">
        <v>38100</v>
      </c>
      <c r="B3403" s="116">
        <f t="shared" si="53"/>
        <v>44</v>
      </c>
    </row>
    <row r="3404" spans="1:2" x14ac:dyDescent="0.2">
      <c r="A3404" s="117">
        <v>38101</v>
      </c>
      <c r="B3404" s="116">
        <f t="shared" si="53"/>
        <v>44</v>
      </c>
    </row>
    <row r="3405" spans="1:2" x14ac:dyDescent="0.2">
      <c r="A3405" s="117">
        <v>38102</v>
      </c>
      <c r="B3405" s="116">
        <f t="shared" si="53"/>
        <v>45</v>
      </c>
    </row>
    <row r="3406" spans="1:2" x14ac:dyDescent="0.2">
      <c r="A3406" s="117">
        <v>38103</v>
      </c>
      <c r="B3406" s="116">
        <f t="shared" si="53"/>
        <v>45</v>
      </c>
    </row>
    <row r="3407" spans="1:2" x14ac:dyDescent="0.2">
      <c r="A3407" s="117">
        <v>38104</v>
      </c>
      <c r="B3407" s="116">
        <f t="shared" si="53"/>
        <v>45</v>
      </c>
    </row>
    <row r="3408" spans="1:2" x14ac:dyDescent="0.2">
      <c r="A3408" s="117">
        <v>38105</v>
      </c>
      <c r="B3408" s="116">
        <f t="shared" si="53"/>
        <v>45</v>
      </c>
    </row>
    <row r="3409" spans="1:2" x14ac:dyDescent="0.2">
      <c r="A3409" s="117">
        <v>38106</v>
      </c>
      <c r="B3409" s="116">
        <f t="shared" si="53"/>
        <v>45</v>
      </c>
    </row>
    <row r="3410" spans="1:2" x14ac:dyDescent="0.2">
      <c r="A3410" s="117">
        <v>38107</v>
      </c>
      <c r="B3410" s="116">
        <f t="shared" si="53"/>
        <v>45</v>
      </c>
    </row>
    <row r="3411" spans="1:2" x14ac:dyDescent="0.2">
      <c r="A3411" s="117">
        <v>38108</v>
      </c>
      <c r="B3411" s="116">
        <f t="shared" si="53"/>
        <v>45</v>
      </c>
    </row>
    <row r="3412" spans="1:2" x14ac:dyDescent="0.2">
      <c r="A3412" s="117">
        <v>38109</v>
      </c>
      <c r="B3412" s="116">
        <f t="shared" si="53"/>
        <v>51</v>
      </c>
    </row>
    <row r="3413" spans="1:2" x14ac:dyDescent="0.2">
      <c r="A3413" s="117">
        <v>38110</v>
      </c>
      <c r="B3413" s="116">
        <f t="shared" si="53"/>
        <v>51</v>
      </c>
    </row>
    <row r="3414" spans="1:2" x14ac:dyDescent="0.2">
      <c r="A3414" s="117">
        <v>38111</v>
      </c>
      <c r="B3414" s="116">
        <f t="shared" si="53"/>
        <v>51</v>
      </c>
    </row>
    <row r="3415" spans="1:2" x14ac:dyDescent="0.2">
      <c r="A3415" s="117">
        <v>38112</v>
      </c>
      <c r="B3415" s="116">
        <f t="shared" si="53"/>
        <v>51</v>
      </c>
    </row>
    <row r="3416" spans="1:2" x14ac:dyDescent="0.2">
      <c r="A3416" s="117">
        <v>38113</v>
      </c>
      <c r="B3416" s="116">
        <f t="shared" si="53"/>
        <v>51</v>
      </c>
    </row>
    <row r="3417" spans="1:2" x14ac:dyDescent="0.2">
      <c r="A3417" s="117">
        <v>38114</v>
      </c>
      <c r="B3417" s="116">
        <f t="shared" si="53"/>
        <v>51</v>
      </c>
    </row>
    <row r="3418" spans="1:2" x14ac:dyDescent="0.2">
      <c r="A3418" s="117">
        <v>38115</v>
      </c>
      <c r="B3418" s="116">
        <f t="shared" si="53"/>
        <v>51</v>
      </c>
    </row>
    <row r="3419" spans="1:2" x14ac:dyDescent="0.2">
      <c r="A3419" s="117">
        <v>38116</v>
      </c>
      <c r="B3419" s="116">
        <f t="shared" si="53"/>
        <v>52</v>
      </c>
    </row>
    <row r="3420" spans="1:2" x14ac:dyDescent="0.2">
      <c r="A3420" s="117">
        <v>38117</v>
      </c>
      <c r="B3420" s="116">
        <f t="shared" si="53"/>
        <v>52</v>
      </c>
    </row>
    <row r="3421" spans="1:2" x14ac:dyDescent="0.2">
      <c r="A3421" s="117">
        <v>38118</v>
      </c>
      <c r="B3421" s="116">
        <f t="shared" si="53"/>
        <v>52</v>
      </c>
    </row>
    <row r="3422" spans="1:2" x14ac:dyDescent="0.2">
      <c r="A3422" s="117">
        <v>38119</v>
      </c>
      <c r="B3422" s="116">
        <f t="shared" si="53"/>
        <v>52</v>
      </c>
    </row>
    <row r="3423" spans="1:2" x14ac:dyDescent="0.2">
      <c r="A3423" s="117">
        <v>38120</v>
      </c>
      <c r="B3423" s="116">
        <f t="shared" si="53"/>
        <v>52</v>
      </c>
    </row>
    <row r="3424" spans="1:2" x14ac:dyDescent="0.2">
      <c r="A3424" s="117">
        <v>38121</v>
      </c>
      <c r="B3424" s="116">
        <f t="shared" si="53"/>
        <v>52</v>
      </c>
    </row>
    <row r="3425" spans="1:2" x14ac:dyDescent="0.2">
      <c r="A3425" s="117">
        <v>38122</v>
      </c>
      <c r="B3425" s="116">
        <f t="shared" si="53"/>
        <v>52</v>
      </c>
    </row>
    <row r="3426" spans="1:2" x14ac:dyDescent="0.2">
      <c r="A3426" s="117">
        <v>38123</v>
      </c>
      <c r="B3426" s="116">
        <f t="shared" si="53"/>
        <v>53</v>
      </c>
    </row>
    <row r="3427" spans="1:2" x14ac:dyDescent="0.2">
      <c r="A3427" s="117">
        <v>38124</v>
      </c>
      <c r="B3427" s="116">
        <f t="shared" si="53"/>
        <v>53</v>
      </c>
    </row>
    <row r="3428" spans="1:2" x14ac:dyDescent="0.2">
      <c r="A3428" s="117">
        <v>38125</v>
      </c>
      <c r="B3428" s="116">
        <f t="shared" si="53"/>
        <v>53</v>
      </c>
    </row>
    <row r="3429" spans="1:2" x14ac:dyDescent="0.2">
      <c r="A3429" s="117">
        <v>38126</v>
      </c>
      <c r="B3429" s="116">
        <f t="shared" si="53"/>
        <v>53</v>
      </c>
    </row>
    <row r="3430" spans="1:2" x14ac:dyDescent="0.2">
      <c r="A3430" s="117">
        <v>38127</v>
      </c>
      <c r="B3430" s="116">
        <f t="shared" si="53"/>
        <v>53</v>
      </c>
    </row>
    <row r="3431" spans="1:2" x14ac:dyDescent="0.2">
      <c r="A3431" s="117">
        <v>38128</v>
      </c>
      <c r="B3431" s="116">
        <f t="shared" si="53"/>
        <v>53</v>
      </c>
    </row>
    <row r="3432" spans="1:2" x14ac:dyDescent="0.2">
      <c r="A3432" s="117">
        <v>38129</v>
      </c>
      <c r="B3432" s="116">
        <f t="shared" si="53"/>
        <v>53</v>
      </c>
    </row>
    <row r="3433" spans="1:2" x14ac:dyDescent="0.2">
      <c r="A3433" s="117">
        <v>38130</v>
      </c>
      <c r="B3433" s="116">
        <f t="shared" si="53"/>
        <v>54</v>
      </c>
    </row>
    <row r="3434" spans="1:2" x14ac:dyDescent="0.2">
      <c r="A3434" s="117">
        <v>38131</v>
      </c>
      <c r="B3434" s="116">
        <f t="shared" si="53"/>
        <v>54</v>
      </c>
    </row>
    <row r="3435" spans="1:2" x14ac:dyDescent="0.2">
      <c r="A3435" s="117">
        <v>38132</v>
      </c>
      <c r="B3435" s="116">
        <f t="shared" si="53"/>
        <v>54</v>
      </c>
    </row>
    <row r="3436" spans="1:2" x14ac:dyDescent="0.2">
      <c r="A3436" s="117">
        <v>38133</v>
      </c>
      <c r="B3436" s="116">
        <f t="shared" si="53"/>
        <v>54</v>
      </c>
    </row>
    <row r="3437" spans="1:2" x14ac:dyDescent="0.2">
      <c r="A3437" s="117">
        <v>38134</v>
      </c>
      <c r="B3437" s="116">
        <f t="shared" si="53"/>
        <v>54</v>
      </c>
    </row>
    <row r="3438" spans="1:2" x14ac:dyDescent="0.2">
      <c r="A3438" s="117">
        <v>38135</v>
      </c>
      <c r="B3438" s="116">
        <f t="shared" si="53"/>
        <v>54</v>
      </c>
    </row>
    <row r="3439" spans="1:2" x14ac:dyDescent="0.2">
      <c r="A3439" s="117">
        <v>38136</v>
      </c>
      <c r="B3439" s="116">
        <f t="shared" si="53"/>
        <v>54</v>
      </c>
    </row>
    <row r="3440" spans="1:2" x14ac:dyDescent="0.2">
      <c r="A3440" s="117">
        <v>38137</v>
      </c>
      <c r="B3440" s="116">
        <f t="shared" si="53"/>
        <v>61</v>
      </c>
    </row>
    <row r="3441" spans="1:2" x14ac:dyDescent="0.2">
      <c r="A3441" s="117">
        <v>38138</v>
      </c>
      <c r="B3441" s="116">
        <f t="shared" si="53"/>
        <v>61</v>
      </c>
    </row>
    <row r="3442" spans="1:2" x14ac:dyDescent="0.2">
      <c r="A3442" s="117">
        <v>38139</v>
      </c>
      <c r="B3442" s="116">
        <f t="shared" si="53"/>
        <v>61</v>
      </c>
    </row>
    <row r="3443" spans="1:2" x14ac:dyDescent="0.2">
      <c r="A3443" s="117">
        <v>38140</v>
      </c>
      <c r="B3443" s="116">
        <f t="shared" si="53"/>
        <v>61</v>
      </c>
    </row>
    <row r="3444" spans="1:2" x14ac:dyDescent="0.2">
      <c r="A3444" s="117">
        <v>38141</v>
      </c>
      <c r="B3444" s="116">
        <f t="shared" si="53"/>
        <v>61</v>
      </c>
    </row>
    <row r="3445" spans="1:2" x14ac:dyDescent="0.2">
      <c r="A3445" s="117">
        <v>38142</v>
      </c>
      <c r="B3445" s="116">
        <f t="shared" si="53"/>
        <v>61</v>
      </c>
    </row>
    <row r="3446" spans="1:2" x14ac:dyDescent="0.2">
      <c r="A3446" s="117">
        <v>38143</v>
      </c>
      <c r="B3446" s="116">
        <f t="shared" si="53"/>
        <v>61</v>
      </c>
    </row>
    <row r="3447" spans="1:2" x14ac:dyDescent="0.2">
      <c r="A3447" s="117">
        <v>38144</v>
      </c>
      <c r="B3447" s="116">
        <f t="shared" si="53"/>
        <v>62</v>
      </c>
    </row>
    <row r="3448" spans="1:2" x14ac:dyDescent="0.2">
      <c r="A3448" s="117">
        <v>38145</v>
      </c>
      <c r="B3448" s="116">
        <f t="shared" si="53"/>
        <v>62</v>
      </c>
    </row>
    <row r="3449" spans="1:2" x14ac:dyDescent="0.2">
      <c r="A3449" s="117">
        <v>38146</v>
      </c>
      <c r="B3449" s="116">
        <f t="shared" si="53"/>
        <v>62</v>
      </c>
    </row>
    <row r="3450" spans="1:2" x14ac:dyDescent="0.2">
      <c r="A3450" s="117">
        <v>38147</v>
      </c>
      <c r="B3450" s="116">
        <f t="shared" si="53"/>
        <v>62</v>
      </c>
    </row>
    <row r="3451" spans="1:2" x14ac:dyDescent="0.2">
      <c r="A3451" s="117">
        <v>38148</v>
      </c>
      <c r="B3451" s="116">
        <f t="shared" si="53"/>
        <v>62</v>
      </c>
    </row>
    <row r="3452" spans="1:2" x14ac:dyDescent="0.2">
      <c r="A3452" s="117">
        <v>38149</v>
      </c>
      <c r="B3452" s="116">
        <f t="shared" si="53"/>
        <v>62</v>
      </c>
    </row>
    <row r="3453" spans="1:2" x14ac:dyDescent="0.2">
      <c r="A3453" s="117">
        <v>38150</v>
      </c>
      <c r="B3453" s="116">
        <f t="shared" si="53"/>
        <v>62</v>
      </c>
    </row>
    <row r="3454" spans="1:2" x14ac:dyDescent="0.2">
      <c r="A3454" s="117">
        <v>38151</v>
      </c>
      <c r="B3454" s="116">
        <f t="shared" si="53"/>
        <v>63</v>
      </c>
    </row>
    <row r="3455" spans="1:2" x14ac:dyDescent="0.2">
      <c r="A3455" s="117">
        <v>38152</v>
      </c>
      <c r="B3455" s="116">
        <f t="shared" si="53"/>
        <v>63</v>
      </c>
    </row>
    <row r="3456" spans="1:2" x14ac:dyDescent="0.2">
      <c r="A3456" s="117">
        <v>38153</v>
      </c>
      <c r="B3456" s="116">
        <f t="shared" si="53"/>
        <v>63</v>
      </c>
    </row>
    <row r="3457" spans="1:2" x14ac:dyDescent="0.2">
      <c r="A3457" s="117">
        <v>38154</v>
      </c>
      <c r="B3457" s="116">
        <f t="shared" si="53"/>
        <v>63</v>
      </c>
    </row>
    <row r="3458" spans="1:2" x14ac:dyDescent="0.2">
      <c r="A3458" s="117">
        <v>38155</v>
      </c>
      <c r="B3458" s="116">
        <f t="shared" si="53"/>
        <v>63</v>
      </c>
    </row>
    <row r="3459" spans="1:2" x14ac:dyDescent="0.2">
      <c r="A3459" s="117">
        <v>38156</v>
      </c>
      <c r="B3459" s="116">
        <f t="shared" si="53"/>
        <v>63</v>
      </c>
    </row>
    <row r="3460" spans="1:2" x14ac:dyDescent="0.2">
      <c r="A3460" s="117">
        <v>38157</v>
      </c>
      <c r="B3460" s="116">
        <f t="shared" ref="B3460:B3523" si="54">VLOOKUP(WEEKNUM(A3460),$D$4:$E$59,2)</f>
        <v>63</v>
      </c>
    </row>
    <row r="3461" spans="1:2" x14ac:dyDescent="0.2">
      <c r="A3461" s="117">
        <v>38158</v>
      </c>
      <c r="B3461" s="116">
        <f t="shared" si="54"/>
        <v>64</v>
      </c>
    </row>
    <row r="3462" spans="1:2" x14ac:dyDescent="0.2">
      <c r="A3462" s="117">
        <v>38159</v>
      </c>
      <c r="B3462" s="116">
        <f t="shared" si="54"/>
        <v>64</v>
      </c>
    </row>
    <row r="3463" spans="1:2" x14ac:dyDescent="0.2">
      <c r="A3463" s="117">
        <v>38160</v>
      </c>
      <c r="B3463" s="116">
        <f t="shared" si="54"/>
        <v>64</v>
      </c>
    </row>
    <row r="3464" spans="1:2" x14ac:dyDescent="0.2">
      <c r="A3464" s="117">
        <v>38161</v>
      </c>
      <c r="B3464" s="116">
        <f t="shared" si="54"/>
        <v>64</v>
      </c>
    </row>
    <row r="3465" spans="1:2" x14ac:dyDescent="0.2">
      <c r="A3465" s="117">
        <v>38162</v>
      </c>
      <c r="B3465" s="116">
        <f t="shared" si="54"/>
        <v>64</v>
      </c>
    </row>
    <row r="3466" spans="1:2" x14ac:dyDescent="0.2">
      <c r="A3466" s="117">
        <v>38163</v>
      </c>
      <c r="B3466" s="116">
        <f t="shared" si="54"/>
        <v>64</v>
      </c>
    </row>
    <row r="3467" spans="1:2" x14ac:dyDescent="0.2">
      <c r="A3467" s="117">
        <v>38164</v>
      </c>
      <c r="B3467" s="116">
        <f t="shared" si="54"/>
        <v>64</v>
      </c>
    </row>
    <row r="3468" spans="1:2" x14ac:dyDescent="0.2">
      <c r="A3468" s="117">
        <v>38165</v>
      </c>
      <c r="B3468" s="116">
        <f t="shared" si="54"/>
        <v>71</v>
      </c>
    </row>
    <row r="3469" spans="1:2" x14ac:dyDescent="0.2">
      <c r="A3469" s="117">
        <v>38166</v>
      </c>
      <c r="B3469" s="116">
        <f t="shared" si="54"/>
        <v>71</v>
      </c>
    </row>
    <row r="3470" spans="1:2" x14ac:dyDescent="0.2">
      <c r="A3470" s="117">
        <v>38167</v>
      </c>
      <c r="B3470" s="116">
        <f t="shared" si="54"/>
        <v>71</v>
      </c>
    </row>
    <row r="3471" spans="1:2" x14ac:dyDescent="0.2">
      <c r="A3471" s="117">
        <v>38168</v>
      </c>
      <c r="B3471" s="116">
        <f t="shared" si="54"/>
        <v>71</v>
      </c>
    </row>
    <row r="3472" spans="1:2" x14ac:dyDescent="0.2">
      <c r="A3472" s="117">
        <v>38169</v>
      </c>
      <c r="B3472" s="116">
        <f t="shared" si="54"/>
        <v>71</v>
      </c>
    </row>
    <row r="3473" spans="1:2" x14ac:dyDescent="0.2">
      <c r="A3473" s="117">
        <v>38170</v>
      </c>
      <c r="B3473" s="116">
        <f t="shared" si="54"/>
        <v>71</v>
      </c>
    </row>
    <row r="3474" spans="1:2" x14ac:dyDescent="0.2">
      <c r="A3474" s="117">
        <v>38171</v>
      </c>
      <c r="B3474" s="116">
        <f t="shared" si="54"/>
        <v>71</v>
      </c>
    </row>
    <row r="3475" spans="1:2" x14ac:dyDescent="0.2">
      <c r="A3475" s="117">
        <v>38172</v>
      </c>
      <c r="B3475" s="116">
        <f t="shared" si="54"/>
        <v>72</v>
      </c>
    </row>
    <row r="3476" spans="1:2" x14ac:dyDescent="0.2">
      <c r="A3476" s="117">
        <v>38173</v>
      </c>
      <c r="B3476" s="116">
        <f t="shared" si="54"/>
        <v>72</v>
      </c>
    </row>
    <row r="3477" spans="1:2" x14ac:dyDescent="0.2">
      <c r="A3477" s="117">
        <v>38174</v>
      </c>
      <c r="B3477" s="116">
        <f t="shared" si="54"/>
        <v>72</v>
      </c>
    </row>
    <row r="3478" spans="1:2" x14ac:dyDescent="0.2">
      <c r="A3478" s="117">
        <v>38175</v>
      </c>
      <c r="B3478" s="116">
        <f t="shared" si="54"/>
        <v>72</v>
      </c>
    </row>
    <row r="3479" spans="1:2" x14ac:dyDescent="0.2">
      <c r="A3479" s="117">
        <v>38176</v>
      </c>
      <c r="B3479" s="116">
        <f t="shared" si="54"/>
        <v>72</v>
      </c>
    </row>
    <row r="3480" spans="1:2" x14ac:dyDescent="0.2">
      <c r="A3480" s="117">
        <v>38177</v>
      </c>
      <c r="B3480" s="116">
        <f t="shared" si="54"/>
        <v>72</v>
      </c>
    </row>
    <row r="3481" spans="1:2" x14ac:dyDescent="0.2">
      <c r="A3481" s="117">
        <v>38178</v>
      </c>
      <c r="B3481" s="116">
        <f t="shared" si="54"/>
        <v>72</v>
      </c>
    </row>
    <row r="3482" spans="1:2" x14ac:dyDescent="0.2">
      <c r="A3482" s="117">
        <v>38179</v>
      </c>
      <c r="B3482" s="116">
        <f t="shared" si="54"/>
        <v>73</v>
      </c>
    </row>
    <row r="3483" spans="1:2" x14ac:dyDescent="0.2">
      <c r="A3483" s="117">
        <v>38180</v>
      </c>
      <c r="B3483" s="116">
        <f t="shared" si="54"/>
        <v>73</v>
      </c>
    </row>
    <row r="3484" spans="1:2" x14ac:dyDescent="0.2">
      <c r="A3484" s="117">
        <v>38181</v>
      </c>
      <c r="B3484" s="116">
        <f t="shared" si="54"/>
        <v>73</v>
      </c>
    </row>
    <row r="3485" spans="1:2" x14ac:dyDescent="0.2">
      <c r="A3485" s="117">
        <v>38182</v>
      </c>
      <c r="B3485" s="116">
        <f t="shared" si="54"/>
        <v>73</v>
      </c>
    </row>
    <row r="3486" spans="1:2" x14ac:dyDescent="0.2">
      <c r="A3486" s="117">
        <v>38183</v>
      </c>
      <c r="B3486" s="116">
        <f t="shared" si="54"/>
        <v>73</v>
      </c>
    </row>
    <row r="3487" spans="1:2" x14ac:dyDescent="0.2">
      <c r="A3487" s="117">
        <v>38184</v>
      </c>
      <c r="B3487" s="116">
        <f t="shared" si="54"/>
        <v>73</v>
      </c>
    </row>
    <row r="3488" spans="1:2" x14ac:dyDescent="0.2">
      <c r="A3488" s="117">
        <v>38185</v>
      </c>
      <c r="B3488" s="116">
        <f t="shared" si="54"/>
        <v>73</v>
      </c>
    </row>
    <row r="3489" spans="1:2" x14ac:dyDescent="0.2">
      <c r="A3489" s="117">
        <v>38186</v>
      </c>
      <c r="B3489" s="116">
        <f t="shared" si="54"/>
        <v>74</v>
      </c>
    </row>
    <row r="3490" spans="1:2" x14ac:dyDescent="0.2">
      <c r="A3490" s="117">
        <v>38187</v>
      </c>
      <c r="B3490" s="116">
        <f t="shared" si="54"/>
        <v>74</v>
      </c>
    </row>
    <row r="3491" spans="1:2" x14ac:dyDescent="0.2">
      <c r="A3491" s="117">
        <v>38188</v>
      </c>
      <c r="B3491" s="116">
        <f t="shared" si="54"/>
        <v>74</v>
      </c>
    </row>
    <row r="3492" spans="1:2" x14ac:dyDescent="0.2">
      <c r="A3492" s="117">
        <v>38189</v>
      </c>
      <c r="B3492" s="116">
        <f t="shared" si="54"/>
        <v>74</v>
      </c>
    </row>
    <row r="3493" spans="1:2" x14ac:dyDescent="0.2">
      <c r="A3493" s="117">
        <v>38190</v>
      </c>
      <c r="B3493" s="116">
        <f t="shared" si="54"/>
        <v>74</v>
      </c>
    </row>
    <row r="3494" spans="1:2" x14ac:dyDescent="0.2">
      <c r="A3494" s="117">
        <v>38191</v>
      </c>
      <c r="B3494" s="116">
        <f t="shared" si="54"/>
        <v>74</v>
      </c>
    </row>
    <row r="3495" spans="1:2" x14ac:dyDescent="0.2">
      <c r="A3495" s="117">
        <v>38192</v>
      </c>
      <c r="B3495" s="116">
        <f t="shared" si="54"/>
        <v>74</v>
      </c>
    </row>
    <row r="3496" spans="1:2" x14ac:dyDescent="0.2">
      <c r="A3496" s="117">
        <v>38193</v>
      </c>
      <c r="B3496" s="116">
        <f t="shared" si="54"/>
        <v>75</v>
      </c>
    </row>
    <row r="3497" spans="1:2" x14ac:dyDescent="0.2">
      <c r="A3497" s="117">
        <v>38194</v>
      </c>
      <c r="B3497" s="116">
        <f t="shared" si="54"/>
        <v>75</v>
      </c>
    </row>
    <row r="3498" spans="1:2" x14ac:dyDescent="0.2">
      <c r="A3498" s="117">
        <v>38195</v>
      </c>
      <c r="B3498" s="116">
        <f t="shared" si="54"/>
        <v>75</v>
      </c>
    </row>
    <row r="3499" spans="1:2" x14ac:dyDescent="0.2">
      <c r="A3499" s="117">
        <v>38196</v>
      </c>
      <c r="B3499" s="116">
        <f t="shared" si="54"/>
        <v>75</v>
      </c>
    </row>
    <row r="3500" spans="1:2" x14ac:dyDescent="0.2">
      <c r="A3500" s="117">
        <v>38197</v>
      </c>
      <c r="B3500" s="116">
        <f t="shared" si="54"/>
        <v>75</v>
      </c>
    </row>
    <row r="3501" spans="1:2" x14ac:dyDescent="0.2">
      <c r="A3501" s="117">
        <v>38198</v>
      </c>
      <c r="B3501" s="116">
        <f t="shared" si="54"/>
        <v>75</v>
      </c>
    </row>
    <row r="3502" spans="1:2" x14ac:dyDescent="0.2">
      <c r="A3502" s="117">
        <v>38199</v>
      </c>
      <c r="B3502" s="116">
        <f t="shared" si="54"/>
        <v>75</v>
      </c>
    </row>
    <row r="3503" spans="1:2" x14ac:dyDescent="0.2">
      <c r="A3503" s="117">
        <v>38200</v>
      </c>
      <c r="B3503" s="116">
        <f t="shared" si="54"/>
        <v>81</v>
      </c>
    </row>
    <row r="3504" spans="1:2" x14ac:dyDescent="0.2">
      <c r="A3504" s="117">
        <v>38201</v>
      </c>
      <c r="B3504" s="116">
        <f t="shared" si="54"/>
        <v>81</v>
      </c>
    </row>
    <row r="3505" spans="1:2" x14ac:dyDescent="0.2">
      <c r="A3505" s="117">
        <v>38202</v>
      </c>
      <c r="B3505" s="116">
        <f t="shared" si="54"/>
        <v>81</v>
      </c>
    </row>
    <row r="3506" spans="1:2" x14ac:dyDescent="0.2">
      <c r="A3506" s="117">
        <v>38203</v>
      </c>
      <c r="B3506" s="116">
        <f t="shared" si="54"/>
        <v>81</v>
      </c>
    </row>
    <row r="3507" spans="1:2" x14ac:dyDescent="0.2">
      <c r="A3507" s="117">
        <v>38204</v>
      </c>
      <c r="B3507" s="116">
        <f t="shared" si="54"/>
        <v>81</v>
      </c>
    </row>
    <row r="3508" spans="1:2" x14ac:dyDescent="0.2">
      <c r="A3508" s="117">
        <v>38205</v>
      </c>
      <c r="B3508" s="116">
        <f t="shared" si="54"/>
        <v>81</v>
      </c>
    </row>
    <row r="3509" spans="1:2" x14ac:dyDescent="0.2">
      <c r="A3509" s="117">
        <v>38206</v>
      </c>
      <c r="B3509" s="116">
        <f t="shared" si="54"/>
        <v>81</v>
      </c>
    </row>
    <row r="3510" spans="1:2" x14ac:dyDescent="0.2">
      <c r="A3510" s="117">
        <v>38207</v>
      </c>
      <c r="B3510" s="116">
        <f t="shared" si="54"/>
        <v>82</v>
      </c>
    </row>
    <row r="3511" spans="1:2" x14ac:dyDescent="0.2">
      <c r="A3511" s="117">
        <v>38208</v>
      </c>
      <c r="B3511" s="116">
        <f t="shared" si="54"/>
        <v>82</v>
      </c>
    </row>
    <row r="3512" spans="1:2" x14ac:dyDescent="0.2">
      <c r="A3512" s="117">
        <v>38209</v>
      </c>
      <c r="B3512" s="116">
        <f t="shared" si="54"/>
        <v>82</v>
      </c>
    </row>
    <row r="3513" spans="1:2" x14ac:dyDescent="0.2">
      <c r="A3513" s="117">
        <v>38210</v>
      </c>
      <c r="B3513" s="116">
        <f t="shared" si="54"/>
        <v>82</v>
      </c>
    </row>
    <row r="3514" spans="1:2" x14ac:dyDescent="0.2">
      <c r="A3514" s="117">
        <v>38211</v>
      </c>
      <c r="B3514" s="116">
        <f t="shared" si="54"/>
        <v>82</v>
      </c>
    </row>
    <row r="3515" spans="1:2" x14ac:dyDescent="0.2">
      <c r="A3515" s="117">
        <v>38212</v>
      </c>
      <c r="B3515" s="116">
        <f t="shared" si="54"/>
        <v>82</v>
      </c>
    </row>
    <row r="3516" spans="1:2" x14ac:dyDescent="0.2">
      <c r="A3516" s="117">
        <v>38213</v>
      </c>
      <c r="B3516" s="116">
        <f t="shared" si="54"/>
        <v>82</v>
      </c>
    </row>
    <row r="3517" spans="1:2" x14ac:dyDescent="0.2">
      <c r="A3517" s="117">
        <v>38214</v>
      </c>
      <c r="B3517" s="116">
        <f t="shared" si="54"/>
        <v>83</v>
      </c>
    </row>
    <row r="3518" spans="1:2" x14ac:dyDescent="0.2">
      <c r="A3518" s="117">
        <v>38215</v>
      </c>
      <c r="B3518" s="116">
        <f t="shared" si="54"/>
        <v>83</v>
      </c>
    </row>
    <row r="3519" spans="1:2" x14ac:dyDescent="0.2">
      <c r="A3519" s="117">
        <v>38216</v>
      </c>
      <c r="B3519" s="116">
        <f t="shared" si="54"/>
        <v>83</v>
      </c>
    </row>
    <row r="3520" spans="1:2" x14ac:dyDescent="0.2">
      <c r="A3520" s="117">
        <v>38217</v>
      </c>
      <c r="B3520" s="116">
        <f t="shared" si="54"/>
        <v>83</v>
      </c>
    </row>
    <row r="3521" spans="1:2" x14ac:dyDescent="0.2">
      <c r="A3521" s="117">
        <v>38218</v>
      </c>
      <c r="B3521" s="116">
        <f t="shared" si="54"/>
        <v>83</v>
      </c>
    </row>
    <row r="3522" spans="1:2" x14ac:dyDescent="0.2">
      <c r="A3522" s="117">
        <v>38219</v>
      </c>
      <c r="B3522" s="116">
        <f t="shared" si="54"/>
        <v>83</v>
      </c>
    </row>
    <row r="3523" spans="1:2" x14ac:dyDescent="0.2">
      <c r="A3523" s="117">
        <v>38220</v>
      </c>
      <c r="B3523" s="116">
        <f t="shared" si="54"/>
        <v>83</v>
      </c>
    </row>
    <row r="3524" spans="1:2" x14ac:dyDescent="0.2">
      <c r="A3524" s="117">
        <v>38221</v>
      </c>
      <c r="B3524" s="116">
        <f t="shared" ref="B3524:B3587" si="55">VLOOKUP(WEEKNUM(A3524),$D$4:$E$59,2)</f>
        <v>84</v>
      </c>
    </row>
    <row r="3525" spans="1:2" x14ac:dyDescent="0.2">
      <c r="A3525" s="117">
        <v>38222</v>
      </c>
      <c r="B3525" s="116">
        <f t="shared" si="55"/>
        <v>84</v>
      </c>
    </row>
    <row r="3526" spans="1:2" x14ac:dyDescent="0.2">
      <c r="A3526" s="117">
        <v>38223</v>
      </c>
      <c r="B3526" s="116">
        <f t="shared" si="55"/>
        <v>84</v>
      </c>
    </row>
    <row r="3527" spans="1:2" x14ac:dyDescent="0.2">
      <c r="A3527" s="117">
        <v>38224</v>
      </c>
      <c r="B3527" s="116">
        <f t="shared" si="55"/>
        <v>84</v>
      </c>
    </row>
    <row r="3528" spans="1:2" x14ac:dyDescent="0.2">
      <c r="A3528" s="117">
        <v>38225</v>
      </c>
      <c r="B3528" s="116">
        <f t="shared" si="55"/>
        <v>84</v>
      </c>
    </row>
    <row r="3529" spans="1:2" x14ac:dyDescent="0.2">
      <c r="A3529" s="117">
        <v>38226</v>
      </c>
      <c r="B3529" s="116">
        <f t="shared" si="55"/>
        <v>84</v>
      </c>
    </row>
    <row r="3530" spans="1:2" x14ac:dyDescent="0.2">
      <c r="A3530" s="117">
        <v>38227</v>
      </c>
      <c r="B3530" s="116">
        <f t="shared" si="55"/>
        <v>84</v>
      </c>
    </row>
    <row r="3531" spans="1:2" x14ac:dyDescent="0.2">
      <c r="A3531" s="117">
        <v>38228</v>
      </c>
      <c r="B3531" s="116">
        <f t="shared" si="55"/>
        <v>91</v>
      </c>
    </row>
    <row r="3532" spans="1:2" x14ac:dyDescent="0.2">
      <c r="A3532" s="117">
        <v>38229</v>
      </c>
      <c r="B3532" s="116">
        <f t="shared" si="55"/>
        <v>91</v>
      </c>
    </row>
    <row r="3533" spans="1:2" x14ac:dyDescent="0.2">
      <c r="A3533" s="117">
        <v>38230</v>
      </c>
      <c r="B3533" s="116">
        <f t="shared" si="55"/>
        <v>91</v>
      </c>
    </row>
    <row r="3534" spans="1:2" x14ac:dyDescent="0.2">
      <c r="A3534" s="117">
        <v>38231</v>
      </c>
      <c r="B3534" s="116">
        <f t="shared" si="55"/>
        <v>91</v>
      </c>
    </row>
    <row r="3535" spans="1:2" x14ac:dyDescent="0.2">
      <c r="A3535" s="117">
        <v>38232</v>
      </c>
      <c r="B3535" s="116">
        <f t="shared" si="55"/>
        <v>91</v>
      </c>
    </row>
    <row r="3536" spans="1:2" x14ac:dyDescent="0.2">
      <c r="A3536" s="117">
        <v>38233</v>
      </c>
      <c r="B3536" s="116">
        <f t="shared" si="55"/>
        <v>91</v>
      </c>
    </row>
    <row r="3537" spans="1:2" x14ac:dyDescent="0.2">
      <c r="A3537" s="117">
        <v>38234</v>
      </c>
      <c r="B3537" s="116">
        <f t="shared" si="55"/>
        <v>91</v>
      </c>
    </row>
    <row r="3538" spans="1:2" x14ac:dyDescent="0.2">
      <c r="A3538" s="117">
        <v>38235</v>
      </c>
      <c r="B3538" s="116">
        <f t="shared" si="55"/>
        <v>92</v>
      </c>
    </row>
    <row r="3539" spans="1:2" x14ac:dyDescent="0.2">
      <c r="A3539" s="117">
        <v>38236</v>
      </c>
      <c r="B3539" s="116">
        <f t="shared" si="55"/>
        <v>92</v>
      </c>
    </row>
    <row r="3540" spans="1:2" x14ac:dyDescent="0.2">
      <c r="A3540" s="117">
        <v>38237</v>
      </c>
      <c r="B3540" s="116">
        <f t="shared" si="55"/>
        <v>92</v>
      </c>
    </row>
    <row r="3541" spans="1:2" x14ac:dyDescent="0.2">
      <c r="A3541" s="117">
        <v>38238</v>
      </c>
      <c r="B3541" s="116">
        <f t="shared" si="55"/>
        <v>92</v>
      </c>
    </row>
    <row r="3542" spans="1:2" x14ac:dyDescent="0.2">
      <c r="A3542" s="117">
        <v>38239</v>
      </c>
      <c r="B3542" s="116">
        <f t="shared" si="55"/>
        <v>92</v>
      </c>
    </row>
    <row r="3543" spans="1:2" x14ac:dyDescent="0.2">
      <c r="A3543" s="117">
        <v>38240</v>
      </c>
      <c r="B3543" s="116">
        <f t="shared" si="55"/>
        <v>92</v>
      </c>
    </row>
    <row r="3544" spans="1:2" x14ac:dyDescent="0.2">
      <c r="A3544" s="117">
        <v>38241</v>
      </c>
      <c r="B3544" s="116">
        <f t="shared" si="55"/>
        <v>92</v>
      </c>
    </row>
    <row r="3545" spans="1:2" x14ac:dyDescent="0.2">
      <c r="A3545" s="117">
        <v>38242</v>
      </c>
      <c r="B3545" s="116">
        <f t="shared" si="55"/>
        <v>93</v>
      </c>
    </row>
    <row r="3546" spans="1:2" x14ac:dyDescent="0.2">
      <c r="A3546" s="117">
        <v>38243</v>
      </c>
      <c r="B3546" s="116">
        <f t="shared" si="55"/>
        <v>93</v>
      </c>
    </row>
    <row r="3547" spans="1:2" x14ac:dyDescent="0.2">
      <c r="A3547" s="117">
        <v>38244</v>
      </c>
      <c r="B3547" s="116">
        <f t="shared" si="55"/>
        <v>93</v>
      </c>
    </row>
    <row r="3548" spans="1:2" x14ac:dyDescent="0.2">
      <c r="A3548" s="117">
        <v>38245</v>
      </c>
      <c r="B3548" s="116">
        <f t="shared" si="55"/>
        <v>93</v>
      </c>
    </row>
    <row r="3549" spans="1:2" x14ac:dyDescent="0.2">
      <c r="A3549" s="117">
        <v>38246</v>
      </c>
      <c r="B3549" s="116">
        <f t="shared" si="55"/>
        <v>93</v>
      </c>
    </row>
    <row r="3550" spans="1:2" x14ac:dyDescent="0.2">
      <c r="A3550" s="117">
        <v>38247</v>
      </c>
      <c r="B3550" s="116">
        <f t="shared" si="55"/>
        <v>93</v>
      </c>
    </row>
    <row r="3551" spans="1:2" x14ac:dyDescent="0.2">
      <c r="A3551" s="117">
        <v>38248</v>
      </c>
      <c r="B3551" s="116">
        <f t="shared" si="55"/>
        <v>93</v>
      </c>
    </row>
    <row r="3552" spans="1:2" x14ac:dyDescent="0.2">
      <c r="A3552" s="117">
        <v>38249</v>
      </c>
      <c r="B3552" s="116">
        <f t="shared" si="55"/>
        <v>94</v>
      </c>
    </row>
    <row r="3553" spans="1:2" x14ac:dyDescent="0.2">
      <c r="A3553" s="117">
        <v>38250</v>
      </c>
      <c r="B3553" s="116">
        <f t="shared" si="55"/>
        <v>94</v>
      </c>
    </row>
    <row r="3554" spans="1:2" x14ac:dyDescent="0.2">
      <c r="A3554" s="117">
        <v>38251</v>
      </c>
      <c r="B3554" s="116">
        <f t="shared" si="55"/>
        <v>94</v>
      </c>
    </row>
    <row r="3555" spans="1:2" x14ac:dyDescent="0.2">
      <c r="A3555" s="117">
        <v>38252</v>
      </c>
      <c r="B3555" s="116">
        <f t="shared" si="55"/>
        <v>94</v>
      </c>
    </row>
    <row r="3556" spans="1:2" x14ac:dyDescent="0.2">
      <c r="A3556" s="117">
        <v>38253</v>
      </c>
      <c r="B3556" s="116">
        <f t="shared" si="55"/>
        <v>94</v>
      </c>
    </row>
    <row r="3557" spans="1:2" x14ac:dyDescent="0.2">
      <c r="A3557" s="117">
        <v>38254</v>
      </c>
      <c r="B3557" s="116">
        <f t="shared" si="55"/>
        <v>94</v>
      </c>
    </row>
    <row r="3558" spans="1:2" x14ac:dyDescent="0.2">
      <c r="A3558" s="117">
        <v>38255</v>
      </c>
      <c r="B3558" s="116">
        <f t="shared" si="55"/>
        <v>94</v>
      </c>
    </row>
    <row r="3559" spans="1:2" x14ac:dyDescent="0.2">
      <c r="A3559" s="117">
        <v>38256</v>
      </c>
      <c r="B3559" s="116">
        <f t="shared" si="55"/>
        <v>101</v>
      </c>
    </row>
    <row r="3560" spans="1:2" x14ac:dyDescent="0.2">
      <c r="A3560" s="117">
        <v>38257</v>
      </c>
      <c r="B3560" s="116">
        <f t="shared" si="55"/>
        <v>101</v>
      </c>
    </row>
    <row r="3561" spans="1:2" x14ac:dyDescent="0.2">
      <c r="A3561" s="117">
        <v>38258</v>
      </c>
      <c r="B3561" s="116">
        <f t="shared" si="55"/>
        <v>101</v>
      </c>
    </row>
    <row r="3562" spans="1:2" x14ac:dyDescent="0.2">
      <c r="A3562" s="117">
        <v>38259</v>
      </c>
      <c r="B3562" s="116">
        <f t="shared" si="55"/>
        <v>101</v>
      </c>
    </row>
    <row r="3563" spans="1:2" x14ac:dyDescent="0.2">
      <c r="A3563" s="117">
        <v>38260</v>
      </c>
      <c r="B3563" s="116">
        <f t="shared" si="55"/>
        <v>101</v>
      </c>
    </row>
    <row r="3564" spans="1:2" x14ac:dyDescent="0.2">
      <c r="A3564" s="117">
        <v>38261</v>
      </c>
      <c r="B3564" s="116">
        <f t="shared" si="55"/>
        <v>101</v>
      </c>
    </row>
    <row r="3565" spans="1:2" x14ac:dyDescent="0.2">
      <c r="A3565" s="117">
        <v>38262</v>
      </c>
      <c r="B3565" s="116">
        <f t="shared" si="55"/>
        <v>101</v>
      </c>
    </row>
    <row r="3566" spans="1:2" x14ac:dyDescent="0.2">
      <c r="A3566" s="117">
        <v>38263</v>
      </c>
      <c r="B3566" s="116">
        <f t="shared" si="55"/>
        <v>102</v>
      </c>
    </row>
    <row r="3567" spans="1:2" x14ac:dyDescent="0.2">
      <c r="A3567" s="117">
        <v>38264</v>
      </c>
      <c r="B3567" s="116">
        <f t="shared" si="55"/>
        <v>102</v>
      </c>
    </row>
    <row r="3568" spans="1:2" x14ac:dyDescent="0.2">
      <c r="A3568" s="117">
        <v>38265</v>
      </c>
      <c r="B3568" s="116">
        <f t="shared" si="55"/>
        <v>102</v>
      </c>
    </row>
    <row r="3569" spans="1:2" x14ac:dyDescent="0.2">
      <c r="A3569" s="117">
        <v>38266</v>
      </c>
      <c r="B3569" s="116">
        <f t="shared" si="55"/>
        <v>102</v>
      </c>
    </row>
    <row r="3570" spans="1:2" x14ac:dyDescent="0.2">
      <c r="A3570" s="117">
        <v>38267</v>
      </c>
      <c r="B3570" s="116">
        <f t="shared" si="55"/>
        <v>102</v>
      </c>
    </row>
    <row r="3571" spans="1:2" x14ac:dyDescent="0.2">
      <c r="A3571" s="117">
        <v>38268</v>
      </c>
      <c r="B3571" s="116">
        <f t="shared" si="55"/>
        <v>102</v>
      </c>
    </row>
    <row r="3572" spans="1:2" x14ac:dyDescent="0.2">
      <c r="A3572" s="117">
        <v>38269</v>
      </c>
      <c r="B3572" s="116">
        <f t="shared" si="55"/>
        <v>102</v>
      </c>
    </row>
    <row r="3573" spans="1:2" x14ac:dyDescent="0.2">
      <c r="A3573" s="117">
        <v>38270</v>
      </c>
      <c r="B3573" s="116">
        <f t="shared" si="55"/>
        <v>103</v>
      </c>
    </row>
    <row r="3574" spans="1:2" x14ac:dyDescent="0.2">
      <c r="A3574" s="117">
        <v>38271</v>
      </c>
      <c r="B3574" s="116">
        <f t="shared" si="55"/>
        <v>103</v>
      </c>
    </row>
    <row r="3575" spans="1:2" x14ac:dyDescent="0.2">
      <c r="A3575" s="117">
        <v>38272</v>
      </c>
      <c r="B3575" s="116">
        <f t="shared" si="55"/>
        <v>103</v>
      </c>
    </row>
    <row r="3576" spans="1:2" x14ac:dyDescent="0.2">
      <c r="A3576" s="117">
        <v>38273</v>
      </c>
      <c r="B3576" s="116">
        <f t="shared" si="55"/>
        <v>103</v>
      </c>
    </row>
    <row r="3577" spans="1:2" x14ac:dyDescent="0.2">
      <c r="A3577" s="117">
        <v>38274</v>
      </c>
      <c r="B3577" s="116">
        <f t="shared" si="55"/>
        <v>103</v>
      </c>
    </row>
    <row r="3578" spans="1:2" x14ac:dyDescent="0.2">
      <c r="A3578" s="117">
        <v>38275</v>
      </c>
      <c r="B3578" s="116">
        <f t="shared" si="55"/>
        <v>103</v>
      </c>
    </row>
    <row r="3579" spans="1:2" x14ac:dyDescent="0.2">
      <c r="A3579" s="117">
        <v>38276</v>
      </c>
      <c r="B3579" s="116">
        <f t="shared" si="55"/>
        <v>103</v>
      </c>
    </row>
    <row r="3580" spans="1:2" x14ac:dyDescent="0.2">
      <c r="A3580" s="117">
        <v>38277</v>
      </c>
      <c r="B3580" s="116">
        <f t="shared" si="55"/>
        <v>104</v>
      </c>
    </row>
    <row r="3581" spans="1:2" x14ac:dyDescent="0.2">
      <c r="A3581" s="117">
        <v>38278</v>
      </c>
      <c r="B3581" s="116">
        <f t="shared" si="55"/>
        <v>104</v>
      </c>
    </row>
    <row r="3582" spans="1:2" x14ac:dyDescent="0.2">
      <c r="A3582" s="117">
        <v>38279</v>
      </c>
      <c r="B3582" s="116">
        <f t="shared" si="55"/>
        <v>104</v>
      </c>
    </row>
    <row r="3583" spans="1:2" x14ac:dyDescent="0.2">
      <c r="A3583" s="117">
        <v>38280</v>
      </c>
      <c r="B3583" s="116">
        <f t="shared" si="55"/>
        <v>104</v>
      </c>
    </row>
    <row r="3584" spans="1:2" x14ac:dyDescent="0.2">
      <c r="A3584" s="117">
        <v>38281</v>
      </c>
      <c r="B3584" s="116">
        <f t="shared" si="55"/>
        <v>104</v>
      </c>
    </row>
    <row r="3585" spans="1:2" x14ac:dyDescent="0.2">
      <c r="A3585" s="117">
        <v>38282</v>
      </c>
      <c r="B3585" s="116">
        <f t="shared" si="55"/>
        <v>104</v>
      </c>
    </row>
    <row r="3586" spans="1:2" x14ac:dyDescent="0.2">
      <c r="A3586" s="117">
        <v>38283</v>
      </c>
      <c r="B3586" s="116">
        <f t="shared" si="55"/>
        <v>104</v>
      </c>
    </row>
    <row r="3587" spans="1:2" x14ac:dyDescent="0.2">
      <c r="A3587" s="117">
        <v>38284</v>
      </c>
      <c r="B3587" s="116">
        <f t="shared" si="55"/>
        <v>105</v>
      </c>
    </row>
    <row r="3588" spans="1:2" x14ac:dyDescent="0.2">
      <c r="A3588" s="117">
        <v>38285</v>
      </c>
      <c r="B3588" s="116">
        <f t="shared" ref="B3588:B3651" si="56">VLOOKUP(WEEKNUM(A3588),$D$4:$E$59,2)</f>
        <v>105</v>
      </c>
    </row>
    <row r="3589" spans="1:2" x14ac:dyDescent="0.2">
      <c r="A3589" s="117">
        <v>38286</v>
      </c>
      <c r="B3589" s="116">
        <f t="shared" si="56"/>
        <v>105</v>
      </c>
    </row>
    <row r="3590" spans="1:2" x14ac:dyDescent="0.2">
      <c r="A3590" s="117">
        <v>38287</v>
      </c>
      <c r="B3590" s="116">
        <f t="shared" si="56"/>
        <v>105</v>
      </c>
    </row>
    <row r="3591" spans="1:2" x14ac:dyDescent="0.2">
      <c r="A3591" s="117">
        <v>38288</v>
      </c>
      <c r="B3591" s="116">
        <f t="shared" si="56"/>
        <v>105</v>
      </c>
    </row>
    <row r="3592" spans="1:2" x14ac:dyDescent="0.2">
      <c r="A3592" s="117">
        <v>38289</v>
      </c>
      <c r="B3592" s="116">
        <f t="shared" si="56"/>
        <v>105</v>
      </c>
    </row>
    <row r="3593" spans="1:2" x14ac:dyDescent="0.2">
      <c r="A3593" s="117">
        <v>38290</v>
      </c>
      <c r="B3593" s="116">
        <f t="shared" si="56"/>
        <v>105</v>
      </c>
    </row>
    <row r="3594" spans="1:2" x14ac:dyDescent="0.2">
      <c r="A3594" s="117">
        <v>38291</v>
      </c>
      <c r="B3594" s="116">
        <f t="shared" si="56"/>
        <v>111</v>
      </c>
    </row>
    <row r="3595" spans="1:2" x14ac:dyDescent="0.2">
      <c r="A3595" s="117">
        <v>38292</v>
      </c>
      <c r="B3595" s="116">
        <f t="shared" si="56"/>
        <v>111</v>
      </c>
    </row>
    <row r="3596" spans="1:2" x14ac:dyDescent="0.2">
      <c r="A3596" s="117">
        <v>38293</v>
      </c>
      <c r="B3596" s="116">
        <f t="shared" si="56"/>
        <v>111</v>
      </c>
    </row>
    <row r="3597" spans="1:2" x14ac:dyDescent="0.2">
      <c r="A3597" s="117">
        <v>38294</v>
      </c>
      <c r="B3597" s="116">
        <f t="shared" si="56"/>
        <v>111</v>
      </c>
    </row>
    <row r="3598" spans="1:2" x14ac:dyDescent="0.2">
      <c r="A3598" s="117">
        <v>38295</v>
      </c>
      <c r="B3598" s="116">
        <f t="shared" si="56"/>
        <v>111</v>
      </c>
    </row>
    <row r="3599" spans="1:2" x14ac:dyDescent="0.2">
      <c r="A3599" s="117">
        <v>38296</v>
      </c>
      <c r="B3599" s="116">
        <f t="shared" si="56"/>
        <v>111</v>
      </c>
    </row>
    <row r="3600" spans="1:2" x14ac:dyDescent="0.2">
      <c r="A3600" s="117">
        <v>38297</v>
      </c>
      <c r="B3600" s="116">
        <f t="shared" si="56"/>
        <v>111</v>
      </c>
    </row>
    <row r="3601" spans="1:2" x14ac:dyDescent="0.2">
      <c r="A3601" s="117">
        <v>38298</v>
      </c>
      <c r="B3601" s="116">
        <f t="shared" si="56"/>
        <v>112</v>
      </c>
    </row>
    <row r="3602" spans="1:2" x14ac:dyDescent="0.2">
      <c r="A3602" s="117">
        <v>38299</v>
      </c>
      <c r="B3602" s="116">
        <f t="shared" si="56"/>
        <v>112</v>
      </c>
    </row>
    <row r="3603" spans="1:2" x14ac:dyDescent="0.2">
      <c r="A3603" s="117">
        <v>38300</v>
      </c>
      <c r="B3603" s="116">
        <f t="shared" si="56"/>
        <v>112</v>
      </c>
    </row>
    <row r="3604" spans="1:2" x14ac:dyDescent="0.2">
      <c r="A3604" s="117">
        <v>38301</v>
      </c>
      <c r="B3604" s="116">
        <f t="shared" si="56"/>
        <v>112</v>
      </c>
    </row>
    <row r="3605" spans="1:2" x14ac:dyDescent="0.2">
      <c r="A3605" s="117">
        <v>38302</v>
      </c>
      <c r="B3605" s="116">
        <f t="shared" si="56"/>
        <v>112</v>
      </c>
    </row>
    <row r="3606" spans="1:2" x14ac:dyDescent="0.2">
      <c r="A3606" s="117">
        <v>38303</v>
      </c>
      <c r="B3606" s="116">
        <f t="shared" si="56"/>
        <v>112</v>
      </c>
    </row>
    <row r="3607" spans="1:2" x14ac:dyDescent="0.2">
      <c r="A3607" s="117">
        <v>38304</v>
      </c>
      <c r="B3607" s="116">
        <f t="shared" si="56"/>
        <v>112</v>
      </c>
    </row>
    <row r="3608" spans="1:2" x14ac:dyDescent="0.2">
      <c r="A3608" s="117">
        <v>38305</v>
      </c>
      <c r="B3608" s="116">
        <f t="shared" si="56"/>
        <v>113</v>
      </c>
    </row>
    <row r="3609" spans="1:2" x14ac:dyDescent="0.2">
      <c r="A3609" s="117">
        <v>38306</v>
      </c>
      <c r="B3609" s="116">
        <f t="shared" si="56"/>
        <v>113</v>
      </c>
    </row>
    <row r="3610" spans="1:2" x14ac:dyDescent="0.2">
      <c r="A3610" s="117">
        <v>38307</v>
      </c>
      <c r="B3610" s="116">
        <f t="shared" si="56"/>
        <v>113</v>
      </c>
    </row>
    <row r="3611" spans="1:2" x14ac:dyDescent="0.2">
      <c r="A3611" s="117">
        <v>38308</v>
      </c>
      <c r="B3611" s="116">
        <f t="shared" si="56"/>
        <v>113</v>
      </c>
    </row>
    <row r="3612" spans="1:2" x14ac:dyDescent="0.2">
      <c r="A3612" s="117">
        <v>38309</v>
      </c>
      <c r="B3612" s="116">
        <f t="shared" si="56"/>
        <v>113</v>
      </c>
    </row>
    <row r="3613" spans="1:2" x14ac:dyDescent="0.2">
      <c r="A3613" s="117">
        <v>38310</v>
      </c>
      <c r="B3613" s="116">
        <f t="shared" si="56"/>
        <v>113</v>
      </c>
    </row>
    <row r="3614" spans="1:2" x14ac:dyDescent="0.2">
      <c r="A3614" s="117">
        <v>38311</v>
      </c>
      <c r="B3614" s="116">
        <f t="shared" si="56"/>
        <v>113</v>
      </c>
    </row>
    <row r="3615" spans="1:2" x14ac:dyDescent="0.2">
      <c r="A3615" s="117">
        <v>38312</v>
      </c>
      <c r="B3615" s="116">
        <f t="shared" si="56"/>
        <v>114</v>
      </c>
    </row>
    <row r="3616" spans="1:2" x14ac:dyDescent="0.2">
      <c r="A3616" s="117">
        <v>38313</v>
      </c>
      <c r="B3616" s="116">
        <f t="shared" si="56"/>
        <v>114</v>
      </c>
    </row>
    <row r="3617" spans="1:2" x14ac:dyDescent="0.2">
      <c r="A3617" s="117">
        <v>38314</v>
      </c>
      <c r="B3617" s="116">
        <f t="shared" si="56"/>
        <v>114</v>
      </c>
    </row>
    <row r="3618" spans="1:2" x14ac:dyDescent="0.2">
      <c r="A3618" s="117">
        <v>38315</v>
      </c>
      <c r="B3618" s="116">
        <f t="shared" si="56"/>
        <v>114</v>
      </c>
    </row>
    <row r="3619" spans="1:2" x14ac:dyDescent="0.2">
      <c r="A3619" s="117">
        <v>38316</v>
      </c>
      <c r="B3619" s="116">
        <f t="shared" si="56"/>
        <v>114</v>
      </c>
    </row>
    <row r="3620" spans="1:2" x14ac:dyDescent="0.2">
      <c r="A3620" s="117">
        <v>38317</v>
      </c>
      <c r="B3620" s="116">
        <f t="shared" si="56"/>
        <v>114</v>
      </c>
    </row>
    <row r="3621" spans="1:2" x14ac:dyDescent="0.2">
      <c r="A3621" s="117">
        <v>38318</v>
      </c>
      <c r="B3621" s="116">
        <f t="shared" si="56"/>
        <v>114</v>
      </c>
    </row>
    <row r="3622" spans="1:2" x14ac:dyDescent="0.2">
      <c r="A3622" s="117">
        <v>38319</v>
      </c>
      <c r="B3622" s="116">
        <f t="shared" si="56"/>
        <v>115</v>
      </c>
    </row>
    <row r="3623" spans="1:2" x14ac:dyDescent="0.2">
      <c r="A3623" s="117">
        <v>38320</v>
      </c>
      <c r="B3623" s="116">
        <f t="shared" si="56"/>
        <v>115</v>
      </c>
    </row>
    <row r="3624" spans="1:2" x14ac:dyDescent="0.2">
      <c r="A3624" s="117">
        <v>38321</v>
      </c>
      <c r="B3624" s="116">
        <f t="shared" si="56"/>
        <v>115</v>
      </c>
    </row>
    <row r="3625" spans="1:2" x14ac:dyDescent="0.2">
      <c r="A3625" s="117">
        <v>38322</v>
      </c>
      <c r="B3625" s="116">
        <f t="shared" si="56"/>
        <v>115</v>
      </c>
    </row>
    <row r="3626" spans="1:2" x14ac:dyDescent="0.2">
      <c r="A3626" s="117">
        <v>38323</v>
      </c>
      <c r="B3626" s="116">
        <f t="shared" si="56"/>
        <v>115</v>
      </c>
    </row>
    <row r="3627" spans="1:2" x14ac:dyDescent="0.2">
      <c r="A3627" s="117">
        <v>38324</v>
      </c>
      <c r="B3627" s="116">
        <f t="shared" si="56"/>
        <v>115</v>
      </c>
    </row>
    <row r="3628" spans="1:2" x14ac:dyDescent="0.2">
      <c r="A3628" s="117">
        <v>38325</v>
      </c>
      <c r="B3628" s="116">
        <f t="shared" si="56"/>
        <v>115</v>
      </c>
    </row>
    <row r="3629" spans="1:2" x14ac:dyDescent="0.2">
      <c r="A3629" s="117">
        <v>38326</v>
      </c>
      <c r="B3629" s="116">
        <f t="shared" si="56"/>
        <v>121</v>
      </c>
    </row>
    <row r="3630" spans="1:2" x14ac:dyDescent="0.2">
      <c r="A3630" s="117">
        <v>38327</v>
      </c>
      <c r="B3630" s="116">
        <f t="shared" si="56"/>
        <v>121</v>
      </c>
    </row>
    <row r="3631" spans="1:2" x14ac:dyDescent="0.2">
      <c r="A3631" s="117">
        <v>38328</v>
      </c>
      <c r="B3631" s="116">
        <f t="shared" si="56"/>
        <v>121</v>
      </c>
    </row>
    <row r="3632" spans="1:2" x14ac:dyDescent="0.2">
      <c r="A3632" s="117">
        <v>38329</v>
      </c>
      <c r="B3632" s="116">
        <f t="shared" si="56"/>
        <v>121</v>
      </c>
    </row>
    <row r="3633" spans="1:2" x14ac:dyDescent="0.2">
      <c r="A3633" s="117">
        <v>38330</v>
      </c>
      <c r="B3633" s="116">
        <f t="shared" si="56"/>
        <v>121</v>
      </c>
    </row>
    <row r="3634" spans="1:2" x14ac:dyDescent="0.2">
      <c r="A3634" s="117">
        <v>38331</v>
      </c>
      <c r="B3634" s="116">
        <f t="shared" si="56"/>
        <v>121</v>
      </c>
    </row>
    <row r="3635" spans="1:2" x14ac:dyDescent="0.2">
      <c r="A3635" s="117">
        <v>38332</v>
      </c>
      <c r="B3635" s="116">
        <f t="shared" si="56"/>
        <v>121</v>
      </c>
    </row>
    <row r="3636" spans="1:2" x14ac:dyDescent="0.2">
      <c r="A3636" s="117">
        <v>38333</v>
      </c>
      <c r="B3636" s="116">
        <f t="shared" si="56"/>
        <v>122</v>
      </c>
    </row>
    <row r="3637" spans="1:2" x14ac:dyDescent="0.2">
      <c r="A3637" s="117">
        <v>38334</v>
      </c>
      <c r="B3637" s="116">
        <f t="shared" si="56"/>
        <v>122</v>
      </c>
    </row>
    <row r="3638" spans="1:2" x14ac:dyDescent="0.2">
      <c r="A3638" s="117">
        <v>38335</v>
      </c>
      <c r="B3638" s="116">
        <f t="shared" si="56"/>
        <v>122</v>
      </c>
    </row>
    <row r="3639" spans="1:2" x14ac:dyDescent="0.2">
      <c r="A3639" s="117">
        <v>38336</v>
      </c>
      <c r="B3639" s="116">
        <f t="shared" si="56"/>
        <v>122</v>
      </c>
    </row>
    <row r="3640" spans="1:2" x14ac:dyDescent="0.2">
      <c r="A3640" s="117">
        <v>38337</v>
      </c>
      <c r="B3640" s="116">
        <f t="shared" si="56"/>
        <v>122</v>
      </c>
    </row>
    <row r="3641" spans="1:2" x14ac:dyDescent="0.2">
      <c r="A3641" s="117">
        <v>38338</v>
      </c>
      <c r="B3641" s="116">
        <f t="shared" si="56"/>
        <v>122</v>
      </c>
    </row>
    <row r="3642" spans="1:2" x14ac:dyDescent="0.2">
      <c r="A3642" s="117">
        <v>38339</v>
      </c>
      <c r="B3642" s="116">
        <f t="shared" si="56"/>
        <v>122</v>
      </c>
    </row>
    <row r="3643" spans="1:2" x14ac:dyDescent="0.2">
      <c r="A3643" s="117">
        <v>38340</v>
      </c>
      <c r="B3643" s="116">
        <f t="shared" si="56"/>
        <v>123</v>
      </c>
    </row>
    <row r="3644" spans="1:2" x14ac:dyDescent="0.2">
      <c r="A3644" s="117">
        <v>38341</v>
      </c>
      <c r="B3644" s="116">
        <f t="shared" si="56"/>
        <v>123</v>
      </c>
    </row>
    <row r="3645" spans="1:2" x14ac:dyDescent="0.2">
      <c r="A3645" s="117">
        <v>38342</v>
      </c>
      <c r="B3645" s="116">
        <f t="shared" si="56"/>
        <v>123</v>
      </c>
    </row>
    <row r="3646" spans="1:2" x14ac:dyDescent="0.2">
      <c r="A3646" s="117">
        <v>38343</v>
      </c>
      <c r="B3646" s="116">
        <f t="shared" si="56"/>
        <v>123</v>
      </c>
    </row>
    <row r="3647" spans="1:2" x14ac:dyDescent="0.2">
      <c r="A3647" s="117">
        <v>38344</v>
      </c>
      <c r="B3647" s="116">
        <f t="shared" si="56"/>
        <v>123</v>
      </c>
    </row>
    <row r="3648" spans="1:2" x14ac:dyDescent="0.2">
      <c r="A3648" s="117">
        <v>38345</v>
      </c>
      <c r="B3648" s="116">
        <f t="shared" si="56"/>
        <v>123</v>
      </c>
    </row>
    <row r="3649" spans="1:2" x14ac:dyDescent="0.2">
      <c r="A3649" s="117">
        <v>38346</v>
      </c>
      <c r="B3649" s="116">
        <f t="shared" si="56"/>
        <v>123</v>
      </c>
    </row>
    <row r="3650" spans="1:2" x14ac:dyDescent="0.2">
      <c r="A3650" s="117">
        <v>38347</v>
      </c>
      <c r="B3650" s="116">
        <f t="shared" si="56"/>
        <v>124</v>
      </c>
    </row>
    <row r="3651" spans="1:2" x14ac:dyDescent="0.2">
      <c r="A3651" s="117">
        <v>38348</v>
      </c>
      <c r="B3651" s="116">
        <f t="shared" si="56"/>
        <v>124</v>
      </c>
    </row>
    <row r="3652" spans="1:2" x14ac:dyDescent="0.2">
      <c r="A3652" s="117">
        <v>38349</v>
      </c>
      <c r="B3652" s="116">
        <f t="shared" ref="B3652:B3715" si="57">VLOOKUP(WEEKNUM(A3652),$D$4:$E$59,2)</f>
        <v>124</v>
      </c>
    </row>
    <row r="3653" spans="1:2" x14ac:dyDescent="0.2">
      <c r="A3653" s="117">
        <v>38350</v>
      </c>
      <c r="B3653" s="116">
        <f t="shared" si="57"/>
        <v>124</v>
      </c>
    </row>
    <row r="3654" spans="1:2" x14ac:dyDescent="0.2">
      <c r="A3654" s="117">
        <v>38351</v>
      </c>
      <c r="B3654" s="116">
        <f t="shared" si="57"/>
        <v>124</v>
      </c>
    </row>
    <row r="3655" spans="1:2" x14ac:dyDescent="0.2">
      <c r="A3655" s="117">
        <v>38352</v>
      </c>
      <c r="B3655" s="116">
        <f t="shared" si="57"/>
        <v>124</v>
      </c>
    </row>
    <row r="3656" spans="1:2" x14ac:dyDescent="0.2">
      <c r="A3656" s="117">
        <v>38353</v>
      </c>
      <c r="B3656" s="116">
        <f t="shared" si="57"/>
        <v>11</v>
      </c>
    </row>
    <row r="3657" spans="1:2" x14ac:dyDescent="0.2">
      <c r="A3657" s="117">
        <v>38354</v>
      </c>
      <c r="B3657" s="116">
        <f t="shared" si="57"/>
        <v>12</v>
      </c>
    </row>
    <row r="3658" spans="1:2" x14ac:dyDescent="0.2">
      <c r="A3658" s="117">
        <v>38355</v>
      </c>
      <c r="B3658" s="116">
        <f t="shared" si="57"/>
        <v>12</v>
      </c>
    </row>
    <row r="3659" spans="1:2" x14ac:dyDescent="0.2">
      <c r="A3659" s="117">
        <v>38356</v>
      </c>
      <c r="B3659" s="116">
        <f t="shared" si="57"/>
        <v>12</v>
      </c>
    </row>
    <row r="3660" spans="1:2" x14ac:dyDescent="0.2">
      <c r="A3660" s="117">
        <v>38357</v>
      </c>
      <c r="B3660" s="116">
        <f t="shared" si="57"/>
        <v>12</v>
      </c>
    </row>
    <row r="3661" spans="1:2" x14ac:dyDescent="0.2">
      <c r="A3661" s="117">
        <v>38358</v>
      </c>
      <c r="B3661" s="116">
        <f t="shared" si="57"/>
        <v>12</v>
      </c>
    </row>
    <row r="3662" spans="1:2" x14ac:dyDescent="0.2">
      <c r="A3662" s="117">
        <v>38359</v>
      </c>
      <c r="B3662" s="116">
        <f t="shared" si="57"/>
        <v>12</v>
      </c>
    </row>
    <row r="3663" spans="1:2" x14ac:dyDescent="0.2">
      <c r="A3663" s="117">
        <v>38360</v>
      </c>
      <c r="B3663" s="116">
        <f t="shared" si="57"/>
        <v>12</v>
      </c>
    </row>
    <row r="3664" spans="1:2" x14ac:dyDescent="0.2">
      <c r="A3664" s="117">
        <v>38361</v>
      </c>
      <c r="B3664" s="116">
        <f t="shared" si="57"/>
        <v>13</v>
      </c>
    </row>
    <row r="3665" spans="1:2" x14ac:dyDescent="0.2">
      <c r="A3665" s="117">
        <v>38362</v>
      </c>
      <c r="B3665" s="116">
        <f t="shared" si="57"/>
        <v>13</v>
      </c>
    </row>
    <row r="3666" spans="1:2" x14ac:dyDescent="0.2">
      <c r="A3666" s="117">
        <v>38363</v>
      </c>
      <c r="B3666" s="116">
        <f t="shared" si="57"/>
        <v>13</v>
      </c>
    </row>
    <row r="3667" spans="1:2" x14ac:dyDescent="0.2">
      <c r="A3667" s="117">
        <v>38364</v>
      </c>
      <c r="B3667" s="116">
        <f t="shared" si="57"/>
        <v>13</v>
      </c>
    </row>
    <row r="3668" spans="1:2" x14ac:dyDescent="0.2">
      <c r="A3668" s="117">
        <v>38365</v>
      </c>
      <c r="B3668" s="116">
        <f t="shared" si="57"/>
        <v>13</v>
      </c>
    </row>
    <row r="3669" spans="1:2" x14ac:dyDescent="0.2">
      <c r="A3669" s="117">
        <v>38366</v>
      </c>
      <c r="B3669" s="116">
        <f t="shared" si="57"/>
        <v>13</v>
      </c>
    </row>
    <row r="3670" spans="1:2" x14ac:dyDescent="0.2">
      <c r="A3670" s="117">
        <v>38367</v>
      </c>
      <c r="B3670" s="116">
        <f t="shared" si="57"/>
        <v>13</v>
      </c>
    </row>
    <row r="3671" spans="1:2" x14ac:dyDescent="0.2">
      <c r="A3671" s="117">
        <v>38368</v>
      </c>
      <c r="B3671" s="116">
        <f t="shared" si="57"/>
        <v>14</v>
      </c>
    </row>
    <row r="3672" spans="1:2" x14ac:dyDescent="0.2">
      <c r="A3672" s="117">
        <v>38369</v>
      </c>
      <c r="B3672" s="116">
        <f t="shared" si="57"/>
        <v>14</v>
      </c>
    </row>
    <row r="3673" spans="1:2" x14ac:dyDescent="0.2">
      <c r="A3673" s="117">
        <v>38370</v>
      </c>
      <c r="B3673" s="116">
        <f t="shared" si="57"/>
        <v>14</v>
      </c>
    </row>
    <row r="3674" spans="1:2" x14ac:dyDescent="0.2">
      <c r="A3674" s="117">
        <v>38371</v>
      </c>
      <c r="B3674" s="116">
        <f t="shared" si="57"/>
        <v>14</v>
      </c>
    </row>
    <row r="3675" spans="1:2" x14ac:dyDescent="0.2">
      <c r="A3675" s="117">
        <v>38372</v>
      </c>
      <c r="B3675" s="116">
        <f t="shared" si="57"/>
        <v>14</v>
      </c>
    </row>
    <row r="3676" spans="1:2" x14ac:dyDescent="0.2">
      <c r="A3676" s="117">
        <v>38373</v>
      </c>
      <c r="B3676" s="116">
        <f t="shared" si="57"/>
        <v>14</v>
      </c>
    </row>
    <row r="3677" spans="1:2" x14ac:dyDescent="0.2">
      <c r="A3677" s="117">
        <v>38374</v>
      </c>
      <c r="B3677" s="116">
        <f t="shared" si="57"/>
        <v>14</v>
      </c>
    </row>
    <row r="3678" spans="1:2" x14ac:dyDescent="0.2">
      <c r="A3678" s="117">
        <v>38375</v>
      </c>
      <c r="B3678" s="116">
        <f t="shared" si="57"/>
        <v>15</v>
      </c>
    </row>
    <row r="3679" spans="1:2" x14ac:dyDescent="0.2">
      <c r="A3679" s="117">
        <v>38376</v>
      </c>
      <c r="B3679" s="116">
        <f t="shared" si="57"/>
        <v>15</v>
      </c>
    </row>
    <row r="3680" spans="1:2" x14ac:dyDescent="0.2">
      <c r="A3680" s="117">
        <v>38377</v>
      </c>
      <c r="B3680" s="116">
        <f t="shared" si="57"/>
        <v>15</v>
      </c>
    </row>
    <row r="3681" spans="1:2" x14ac:dyDescent="0.2">
      <c r="A3681" s="117">
        <v>38378</v>
      </c>
      <c r="B3681" s="116">
        <f t="shared" si="57"/>
        <v>15</v>
      </c>
    </row>
    <row r="3682" spans="1:2" x14ac:dyDescent="0.2">
      <c r="A3682" s="117">
        <v>38379</v>
      </c>
      <c r="B3682" s="116">
        <f t="shared" si="57"/>
        <v>15</v>
      </c>
    </row>
    <row r="3683" spans="1:2" x14ac:dyDescent="0.2">
      <c r="A3683" s="117">
        <v>38380</v>
      </c>
      <c r="B3683" s="116">
        <f t="shared" si="57"/>
        <v>15</v>
      </c>
    </row>
    <row r="3684" spans="1:2" x14ac:dyDescent="0.2">
      <c r="A3684" s="117">
        <v>38381</v>
      </c>
      <c r="B3684" s="116">
        <f t="shared" si="57"/>
        <v>15</v>
      </c>
    </row>
    <row r="3685" spans="1:2" x14ac:dyDescent="0.2">
      <c r="A3685" s="117">
        <v>38382</v>
      </c>
      <c r="B3685" s="116">
        <f t="shared" si="57"/>
        <v>21</v>
      </c>
    </row>
    <row r="3686" spans="1:2" x14ac:dyDescent="0.2">
      <c r="A3686" s="117">
        <v>38383</v>
      </c>
      <c r="B3686" s="116">
        <f t="shared" si="57"/>
        <v>21</v>
      </c>
    </row>
    <row r="3687" spans="1:2" x14ac:dyDescent="0.2">
      <c r="A3687" s="117">
        <v>38384</v>
      </c>
      <c r="B3687" s="116">
        <f t="shared" si="57"/>
        <v>21</v>
      </c>
    </row>
    <row r="3688" spans="1:2" x14ac:dyDescent="0.2">
      <c r="A3688" s="117">
        <v>38385</v>
      </c>
      <c r="B3688" s="116">
        <f t="shared" si="57"/>
        <v>21</v>
      </c>
    </row>
    <row r="3689" spans="1:2" x14ac:dyDescent="0.2">
      <c r="A3689" s="117">
        <v>38386</v>
      </c>
      <c r="B3689" s="116">
        <f t="shared" si="57"/>
        <v>21</v>
      </c>
    </row>
    <row r="3690" spans="1:2" x14ac:dyDescent="0.2">
      <c r="A3690" s="117">
        <v>38387</v>
      </c>
      <c r="B3690" s="116">
        <f t="shared" si="57"/>
        <v>21</v>
      </c>
    </row>
    <row r="3691" spans="1:2" x14ac:dyDescent="0.2">
      <c r="A3691" s="117">
        <v>38388</v>
      </c>
      <c r="B3691" s="116">
        <f t="shared" si="57"/>
        <v>21</v>
      </c>
    </row>
    <row r="3692" spans="1:2" x14ac:dyDescent="0.2">
      <c r="A3692" s="117">
        <v>38389</v>
      </c>
      <c r="B3692" s="116">
        <f t="shared" si="57"/>
        <v>22</v>
      </c>
    </row>
    <row r="3693" spans="1:2" x14ac:dyDescent="0.2">
      <c r="A3693" s="117">
        <v>38390</v>
      </c>
      <c r="B3693" s="116">
        <f t="shared" si="57"/>
        <v>22</v>
      </c>
    </row>
    <row r="3694" spans="1:2" x14ac:dyDescent="0.2">
      <c r="A3694" s="117">
        <v>38391</v>
      </c>
      <c r="B3694" s="116">
        <f t="shared" si="57"/>
        <v>22</v>
      </c>
    </row>
    <row r="3695" spans="1:2" x14ac:dyDescent="0.2">
      <c r="A3695" s="117">
        <v>38392</v>
      </c>
      <c r="B3695" s="116">
        <f t="shared" si="57"/>
        <v>22</v>
      </c>
    </row>
    <row r="3696" spans="1:2" x14ac:dyDescent="0.2">
      <c r="A3696" s="117">
        <v>38393</v>
      </c>
      <c r="B3696" s="116">
        <f t="shared" si="57"/>
        <v>22</v>
      </c>
    </row>
    <row r="3697" spans="1:2" x14ac:dyDescent="0.2">
      <c r="A3697" s="117">
        <v>38394</v>
      </c>
      <c r="B3697" s="116">
        <f t="shared" si="57"/>
        <v>22</v>
      </c>
    </row>
    <row r="3698" spans="1:2" x14ac:dyDescent="0.2">
      <c r="A3698" s="117">
        <v>38395</v>
      </c>
      <c r="B3698" s="116">
        <f t="shared" si="57"/>
        <v>22</v>
      </c>
    </row>
    <row r="3699" spans="1:2" x14ac:dyDescent="0.2">
      <c r="A3699" s="117">
        <v>38396</v>
      </c>
      <c r="B3699" s="116">
        <f t="shared" si="57"/>
        <v>23</v>
      </c>
    </row>
    <row r="3700" spans="1:2" x14ac:dyDescent="0.2">
      <c r="A3700" s="117">
        <v>38397</v>
      </c>
      <c r="B3700" s="116">
        <f t="shared" si="57"/>
        <v>23</v>
      </c>
    </row>
    <row r="3701" spans="1:2" x14ac:dyDescent="0.2">
      <c r="A3701" s="117">
        <v>38398</v>
      </c>
      <c r="B3701" s="116">
        <f t="shared" si="57"/>
        <v>23</v>
      </c>
    </row>
    <row r="3702" spans="1:2" x14ac:dyDescent="0.2">
      <c r="A3702" s="117">
        <v>38399</v>
      </c>
      <c r="B3702" s="116">
        <f t="shared" si="57"/>
        <v>23</v>
      </c>
    </row>
    <row r="3703" spans="1:2" x14ac:dyDescent="0.2">
      <c r="A3703" s="117">
        <v>38400</v>
      </c>
      <c r="B3703" s="116">
        <f t="shared" si="57"/>
        <v>23</v>
      </c>
    </row>
    <row r="3704" spans="1:2" x14ac:dyDescent="0.2">
      <c r="A3704" s="117">
        <v>38401</v>
      </c>
      <c r="B3704" s="116">
        <f t="shared" si="57"/>
        <v>23</v>
      </c>
    </row>
    <row r="3705" spans="1:2" x14ac:dyDescent="0.2">
      <c r="A3705" s="117">
        <v>38402</v>
      </c>
      <c r="B3705" s="116">
        <f t="shared" si="57"/>
        <v>23</v>
      </c>
    </row>
    <row r="3706" spans="1:2" x14ac:dyDescent="0.2">
      <c r="A3706" s="117">
        <v>38403</v>
      </c>
      <c r="B3706" s="116">
        <f t="shared" si="57"/>
        <v>24</v>
      </c>
    </row>
    <row r="3707" spans="1:2" x14ac:dyDescent="0.2">
      <c r="A3707" s="117">
        <v>38404</v>
      </c>
      <c r="B3707" s="116">
        <f t="shared" si="57"/>
        <v>24</v>
      </c>
    </row>
    <row r="3708" spans="1:2" x14ac:dyDescent="0.2">
      <c r="A3708" s="117">
        <v>38405</v>
      </c>
      <c r="B3708" s="116">
        <f t="shared" si="57"/>
        <v>24</v>
      </c>
    </row>
    <row r="3709" spans="1:2" x14ac:dyDescent="0.2">
      <c r="A3709" s="117">
        <v>38406</v>
      </c>
      <c r="B3709" s="116">
        <f t="shared" si="57"/>
        <v>24</v>
      </c>
    </row>
    <row r="3710" spans="1:2" x14ac:dyDescent="0.2">
      <c r="A3710" s="117">
        <v>38407</v>
      </c>
      <c r="B3710" s="116">
        <f t="shared" si="57"/>
        <v>24</v>
      </c>
    </row>
    <row r="3711" spans="1:2" x14ac:dyDescent="0.2">
      <c r="A3711" s="117">
        <v>38408</v>
      </c>
      <c r="B3711" s="116">
        <f t="shared" si="57"/>
        <v>24</v>
      </c>
    </row>
    <row r="3712" spans="1:2" x14ac:dyDescent="0.2">
      <c r="A3712" s="117">
        <v>38409</v>
      </c>
      <c r="B3712" s="116">
        <f t="shared" si="57"/>
        <v>24</v>
      </c>
    </row>
    <row r="3713" spans="1:2" x14ac:dyDescent="0.2">
      <c r="A3713" s="117">
        <v>38410</v>
      </c>
      <c r="B3713" s="116">
        <f t="shared" si="57"/>
        <v>31</v>
      </c>
    </row>
    <row r="3714" spans="1:2" x14ac:dyDescent="0.2">
      <c r="A3714" s="117">
        <v>38411</v>
      </c>
      <c r="B3714" s="116">
        <f t="shared" si="57"/>
        <v>31</v>
      </c>
    </row>
    <row r="3715" spans="1:2" x14ac:dyDescent="0.2">
      <c r="A3715" s="117">
        <v>38412</v>
      </c>
      <c r="B3715" s="116">
        <f t="shared" si="57"/>
        <v>31</v>
      </c>
    </row>
    <row r="3716" spans="1:2" x14ac:dyDescent="0.2">
      <c r="A3716" s="117">
        <v>38413</v>
      </c>
      <c r="B3716" s="116">
        <f t="shared" ref="B3716:B3779" si="58">VLOOKUP(WEEKNUM(A3716),$D$4:$E$59,2)</f>
        <v>31</v>
      </c>
    </row>
    <row r="3717" spans="1:2" x14ac:dyDescent="0.2">
      <c r="A3717" s="117">
        <v>38414</v>
      </c>
      <c r="B3717" s="116">
        <f t="shared" si="58"/>
        <v>31</v>
      </c>
    </row>
    <row r="3718" spans="1:2" x14ac:dyDescent="0.2">
      <c r="A3718" s="117">
        <v>38415</v>
      </c>
      <c r="B3718" s="116">
        <f t="shared" si="58"/>
        <v>31</v>
      </c>
    </row>
    <row r="3719" spans="1:2" x14ac:dyDescent="0.2">
      <c r="A3719" s="117">
        <v>38416</v>
      </c>
      <c r="B3719" s="116">
        <f t="shared" si="58"/>
        <v>31</v>
      </c>
    </row>
    <row r="3720" spans="1:2" x14ac:dyDescent="0.2">
      <c r="A3720" s="117">
        <v>38417</v>
      </c>
      <c r="B3720" s="116">
        <f t="shared" si="58"/>
        <v>32</v>
      </c>
    </row>
    <row r="3721" spans="1:2" x14ac:dyDescent="0.2">
      <c r="A3721" s="117">
        <v>38418</v>
      </c>
      <c r="B3721" s="116">
        <f t="shared" si="58"/>
        <v>32</v>
      </c>
    </row>
    <row r="3722" spans="1:2" x14ac:dyDescent="0.2">
      <c r="A3722" s="117">
        <v>38419</v>
      </c>
      <c r="B3722" s="116">
        <f t="shared" si="58"/>
        <v>32</v>
      </c>
    </row>
    <row r="3723" spans="1:2" x14ac:dyDescent="0.2">
      <c r="A3723" s="117">
        <v>38420</v>
      </c>
      <c r="B3723" s="116">
        <f t="shared" si="58"/>
        <v>32</v>
      </c>
    </row>
    <row r="3724" spans="1:2" x14ac:dyDescent="0.2">
      <c r="A3724" s="117">
        <v>38421</v>
      </c>
      <c r="B3724" s="116">
        <f t="shared" si="58"/>
        <v>32</v>
      </c>
    </row>
    <row r="3725" spans="1:2" x14ac:dyDescent="0.2">
      <c r="A3725" s="117">
        <v>38422</v>
      </c>
      <c r="B3725" s="116">
        <f t="shared" si="58"/>
        <v>32</v>
      </c>
    </row>
    <row r="3726" spans="1:2" x14ac:dyDescent="0.2">
      <c r="A3726" s="117">
        <v>38423</v>
      </c>
      <c r="B3726" s="116">
        <f t="shared" si="58"/>
        <v>32</v>
      </c>
    </row>
    <row r="3727" spans="1:2" x14ac:dyDescent="0.2">
      <c r="A3727" s="117">
        <v>38424</v>
      </c>
      <c r="B3727" s="116">
        <f t="shared" si="58"/>
        <v>33</v>
      </c>
    </row>
    <row r="3728" spans="1:2" x14ac:dyDescent="0.2">
      <c r="A3728" s="117">
        <v>38425</v>
      </c>
      <c r="B3728" s="116">
        <f t="shared" si="58"/>
        <v>33</v>
      </c>
    </row>
    <row r="3729" spans="1:2" x14ac:dyDescent="0.2">
      <c r="A3729" s="117">
        <v>38426</v>
      </c>
      <c r="B3729" s="116">
        <f t="shared" si="58"/>
        <v>33</v>
      </c>
    </row>
    <row r="3730" spans="1:2" x14ac:dyDescent="0.2">
      <c r="A3730" s="117">
        <v>38427</v>
      </c>
      <c r="B3730" s="116">
        <f t="shared" si="58"/>
        <v>33</v>
      </c>
    </row>
    <row r="3731" spans="1:2" x14ac:dyDescent="0.2">
      <c r="A3731" s="117">
        <v>38428</v>
      </c>
      <c r="B3731" s="116">
        <f t="shared" si="58"/>
        <v>33</v>
      </c>
    </row>
    <row r="3732" spans="1:2" x14ac:dyDescent="0.2">
      <c r="A3732" s="117">
        <v>38429</v>
      </c>
      <c r="B3732" s="116">
        <f t="shared" si="58"/>
        <v>33</v>
      </c>
    </row>
    <row r="3733" spans="1:2" x14ac:dyDescent="0.2">
      <c r="A3733" s="117">
        <v>38430</v>
      </c>
      <c r="B3733" s="116">
        <f t="shared" si="58"/>
        <v>33</v>
      </c>
    </row>
    <row r="3734" spans="1:2" x14ac:dyDescent="0.2">
      <c r="A3734" s="117">
        <v>38431</v>
      </c>
      <c r="B3734" s="116">
        <f t="shared" si="58"/>
        <v>34</v>
      </c>
    </row>
    <row r="3735" spans="1:2" x14ac:dyDescent="0.2">
      <c r="A3735" s="117">
        <v>38432</v>
      </c>
      <c r="B3735" s="116">
        <f t="shared" si="58"/>
        <v>34</v>
      </c>
    </row>
    <row r="3736" spans="1:2" x14ac:dyDescent="0.2">
      <c r="A3736" s="117">
        <v>38433</v>
      </c>
      <c r="B3736" s="116">
        <f t="shared" si="58"/>
        <v>34</v>
      </c>
    </row>
    <row r="3737" spans="1:2" x14ac:dyDescent="0.2">
      <c r="A3737" s="117">
        <v>38434</v>
      </c>
      <c r="B3737" s="116">
        <f t="shared" si="58"/>
        <v>34</v>
      </c>
    </row>
    <row r="3738" spans="1:2" x14ac:dyDescent="0.2">
      <c r="A3738" s="117">
        <v>38435</v>
      </c>
      <c r="B3738" s="116">
        <f t="shared" si="58"/>
        <v>34</v>
      </c>
    </row>
    <row r="3739" spans="1:2" x14ac:dyDescent="0.2">
      <c r="A3739" s="117">
        <v>38436</v>
      </c>
      <c r="B3739" s="116">
        <f t="shared" si="58"/>
        <v>34</v>
      </c>
    </row>
    <row r="3740" spans="1:2" x14ac:dyDescent="0.2">
      <c r="A3740" s="117">
        <v>38437</v>
      </c>
      <c r="B3740" s="116">
        <f t="shared" si="58"/>
        <v>34</v>
      </c>
    </row>
    <row r="3741" spans="1:2" x14ac:dyDescent="0.2">
      <c r="A3741" s="117">
        <v>38438</v>
      </c>
      <c r="B3741" s="116">
        <f t="shared" si="58"/>
        <v>41</v>
      </c>
    </row>
    <row r="3742" spans="1:2" x14ac:dyDescent="0.2">
      <c r="A3742" s="117">
        <v>38439</v>
      </c>
      <c r="B3742" s="116">
        <f t="shared" si="58"/>
        <v>41</v>
      </c>
    </row>
    <row r="3743" spans="1:2" x14ac:dyDescent="0.2">
      <c r="A3743" s="117">
        <v>38440</v>
      </c>
      <c r="B3743" s="116">
        <f t="shared" si="58"/>
        <v>41</v>
      </c>
    </row>
    <row r="3744" spans="1:2" x14ac:dyDescent="0.2">
      <c r="A3744" s="117">
        <v>38441</v>
      </c>
      <c r="B3744" s="116">
        <f t="shared" si="58"/>
        <v>41</v>
      </c>
    </row>
    <row r="3745" spans="1:2" x14ac:dyDescent="0.2">
      <c r="A3745" s="117">
        <v>38442</v>
      </c>
      <c r="B3745" s="116">
        <f t="shared" si="58"/>
        <v>41</v>
      </c>
    </row>
    <row r="3746" spans="1:2" x14ac:dyDescent="0.2">
      <c r="A3746" s="117">
        <v>38443</v>
      </c>
      <c r="B3746" s="116">
        <f t="shared" si="58"/>
        <v>41</v>
      </c>
    </row>
    <row r="3747" spans="1:2" x14ac:dyDescent="0.2">
      <c r="A3747" s="117">
        <v>38444</v>
      </c>
      <c r="B3747" s="116">
        <f t="shared" si="58"/>
        <v>41</v>
      </c>
    </row>
    <row r="3748" spans="1:2" x14ac:dyDescent="0.2">
      <c r="A3748" s="117">
        <v>38445</v>
      </c>
      <c r="B3748" s="116">
        <f t="shared" si="58"/>
        <v>42</v>
      </c>
    </row>
    <row r="3749" spans="1:2" x14ac:dyDescent="0.2">
      <c r="A3749" s="117">
        <v>38446</v>
      </c>
      <c r="B3749" s="116">
        <f t="shared" si="58"/>
        <v>42</v>
      </c>
    </row>
    <row r="3750" spans="1:2" x14ac:dyDescent="0.2">
      <c r="A3750" s="117">
        <v>38447</v>
      </c>
      <c r="B3750" s="116">
        <f t="shared" si="58"/>
        <v>42</v>
      </c>
    </row>
    <row r="3751" spans="1:2" x14ac:dyDescent="0.2">
      <c r="A3751" s="117">
        <v>38448</v>
      </c>
      <c r="B3751" s="116">
        <f t="shared" si="58"/>
        <v>42</v>
      </c>
    </row>
    <row r="3752" spans="1:2" x14ac:dyDescent="0.2">
      <c r="A3752" s="117">
        <v>38449</v>
      </c>
      <c r="B3752" s="116">
        <f t="shared" si="58"/>
        <v>42</v>
      </c>
    </row>
    <row r="3753" spans="1:2" x14ac:dyDescent="0.2">
      <c r="A3753" s="117">
        <v>38450</v>
      </c>
      <c r="B3753" s="116">
        <f t="shared" si="58"/>
        <v>42</v>
      </c>
    </row>
    <row r="3754" spans="1:2" x14ac:dyDescent="0.2">
      <c r="A3754" s="117">
        <v>38451</v>
      </c>
      <c r="B3754" s="116">
        <f t="shared" si="58"/>
        <v>42</v>
      </c>
    </row>
    <row r="3755" spans="1:2" x14ac:dyDescent="0.2">
      <c r="A3755" s="117">
        <v>38452</v>
      </c>
      <c r="B3755" s="116">
        <f t="shared" si="58"/>
        <v>43</v>
      </c>
    </row>
    <row r="3756" spans="1:2" x14ac:dyDescent="0.2">
      <c r="A3756" s="117">
        <v>38453</v>
      </c>
      <c r="B3756" s="116">
        <f t="shared" si="58"/>
        <v>43</v>
      </c>
    </row>
    <row r="3757" spans="1:2" x14ac:dyDescent="0.2">
      <c r="A3757" s="117">
        <v>38454</v>
      </c>
      <c r="B3757" s="116">
        <f t="shared" si="58"/>
        <v>43</v>
      </c>
    </row>
    <row r="3758" spans="1:2" x14ac:dyDescent="0.2">
      <c r="A3758" s="117">
        <v>38455</v>
      </c>
      <c r="B3758" s="116">
        <f t="shared" si="58"/>
        <v>43</v>
      </c>
    </row>
    <row r="3759" spans="1:2" x14ac:dyDescent="0.2">
      <c r="A3759" s="117">
        <v>38456</v>
      </c>
      <c r="B3759" s="116">
        <f t="shared" si="58"/>
        <v>43</v>
      </c>
    </row>
    <row r="3760" spans="1:2" x14ac:dyDescent="0.2">
      <c r="A3760" s="117">
        <v>38457</v>
      </c>
      <c r="B3760" s="116">
        <f t="shared" si="58"/>
        <v>43</v>
      </c>
    </row>
    <row r="3761" spans="1:2" x14ac:dyDescent="0.2">
      <c r="A3761" s="117">
        <v>38458</v>
      </c>
      <c r="B3761" s="116">
        <f t="shared" si="58"/>
        <v>43</v>
      </c>
    </row>
    <row r="3762" spans="1:2" x14ac:dyDescent="0.2">
      <c r="A3762" s="117">
        <v>38459</v>
      </c>
      <c r="B3762" s="116">
        <f t="shared" si="58"/>
        <v>44</v>
      </c>
    </row>
    <row r="3763" spans="1:2" x14ac:dyDescent="0.2">
      <c r="A3763" s="117">
        <v>38460</v>
      </c>
      <c r="B3763" s="116">
        <f t="shared" si="58"/>
        <v>44</v>
      </c>
    </row>
    <row r="3764" spans="1:2" x14ac:dyDescent="0.2">
      <c r="A3764" s="117">
        <v>38461</v>
      </c>
      <c r="B3764" s="116">
        <f t="shared" si="58"/>
        <v>44</v>
      </c>
    </row>
    <row r="3765" spans="1:2" x14ac:dyDescent="0.2">
      <c r="A3765" s="117">
        <v>38462</v>
      </c>
      <c r="B3765" s="116">
        <f t="shared" si="58"/>
        <v>44</v>
      </c>
    </row>
    <row r="3766" spans="1:2" x14ac:dyDescent="0.2">
      <c r="A3766" s="117">
        <v>38463</v>
      </c>
      <c r="B3766" s="116">
        <f t="shared" si="58"/>
        <v>44</v>
      </c>
    </row>
    <row r="3767" spans="1:2" x14ac:dyDescent="0.2">
      <c r="A3767" s="117">
        <v>38464</v>
      </c>
      <c r="B3767" s="116">
        <f t="shared" si="58"/>
        <v>44</v>
      </c>
    </row>
    <row r="3768" spans="1:2" x14ac:dyDescent="0.2">
      <c r="A3768" s="117">
        <v>38465</v>
      </c>
      <c r="B3768" s="116">
        <f t="shared" si="58"/>
        <v>44</v>
      </c>
    </row>
    <row r="3769" spans="1:2" x14ac:dyDescent="0.2">
      <c r="A3769" s="117">
        <v>38466</v>
      </c>
      <c r="B3769" s="116">
        <f t="shared" si="58"/>
        <v>45</v>
      </c>
    </row>
    <row r="3770" spans="1:2" x14ac:dyDescent="0.2">
      <c r="A3770" s="117">
        <v>38467</v>
      </c>
      <c r="B3770" s="116">
        <f t="shared" si="58"/>
        <v>45</v>
      </c>
    </row>
    <row r="3771" spans="1:2" x14ac:dyDescent="0.2">
      <c r="A3771" s="117">
        <v>38468</v>
      </c>
      <c r="B3771" s="116">
        <f t="shared" si="58"/>
        <v>45</v>
      </c>
    </row>
    <row r="3772" spans="1:2" x14ac:dyDescent="0.2">
      <c r="A3772" s="117">
        <v>38469</v>
      </c>
      <c r="B3772" s="116">
        <f t="shared" si="58"/>
        <v>45</v>
      </c>
    </row>
    <row r="3773" spans="1:2" x14ac:dyDescent="0.2">
      <c r="A3773" s="117">
        <v>38470</v>
      </c>
      <c r="B3773" s="116">
        <f t="shared" si="58"/>
        <v>45</v>
      </c>
    </row>
    <row r="3774" spans="1:2" x14ac:dyDescent="0.2">
      <c r="A3774" s="117">
        <v>38471</v>
      </c>
      <c r="B3774" s="116">
        <f t="shared" si="58"/>
        <v>45</v>
      </c>
    </row>
    <row r="3775" spans="1:2" x14ac:dyDescent="0.2">
      <c r="A3775" s="117">
        <v>38472</v>
      </c>
      <c r="B3775" s="116">
        <f t="shared" si="58"/>
        <v>45</v>
      </c>
    </row>
    <row r="3776" spans="1:2" x14ac:dyDescent="0.2">
      <c r="A3776" s="117">
        <v>38473</v>
      </c>
      <c r="B3776" s="116">
        <f t="shared" si="58"/>
        <v>51</v>
      </c>
    </row>
    <row r="3777" spans="1:2" x14ac:dyDescent="0.2">
      <c r="A3777" s="117">
        <v>38474</v>
      </c>
      <c r="B3777" s="116">
        <f t="shared" si="58"/>
        <v>51</v>
      </c>
    </row>
    <row r="3778" spans="1:2" x14ac:dyDescent="0.2">
      <c r="A3778" s="117">
        <v>38475</v>
      </c>
      <c r="B3778" s="116">
        <f t="shared" si="58"/>
        <v>51</v>
      </c>
    </row>
    <row r="3779" spans="1:2" x14ac:dyDescent="0.2">
      <c r="A3779" s="117">
        <v>38476</v>
      </c>
      <c r="B3779" s="116">
        <f t="shared" si="58"/>
        <v>51</v>
      </c>
    </row>
    <row r="3780" spans="1:2" x14ac:dyDescent="0.2">
      <c r="A3780" s="117">
        <v>38477</v>
      </c>
      <c r="B3780" s="116">
        <f t="shared" ref="B3780:B3843" si="59">VLOOKUP(WEEKNUM(A3780),$D$4:$E$59,2)</f>
        <v>51</v>
      </c>
    </row>
    <row r="3781" spans="1:2" x14ac:dyDescent="0.2">
      <c r="A3781" s="117">
        <v>38478</v>
      </c>
      <c r="B3781" s="116">
        <f t="shared" si="59"/>
        <v>51</v>
      </c>
    </row>
    <row r="3782" spans="1:2" x14ac:dyDescent="0.2">
      <c r="A3782" s="117">
        <v>38479</v>
      </c>
      <c r="B3782" s="116">
        <f t="shared" si="59"/>
        <v>51</v>
      </c>
    </row>
    <row r="3783" spans="1:2" x14ac:dyDescent="0.2">
      <c r="A3783" s="117">
        <v>38480</v>
      </c>
      <c r="B3783" s="116">
        <f t="shared" si="59"/>
        <v>52</v>
      </c>
    </row>
    <row r="3784" spans="1:2" x14ac:dyDescent="0.2">
      <c r="A3784" s="117">
        <v>38481</v>
      </c>
      <c r="B3784" s="116">
        <f t="shared" si="59"/>
        <v>52</v>
      </c>
    </row>
    <row r="3785" spans="1:2" x14ac:dyDescent="0.2">
      <c r="A3785" s="117">
        <v>38482</v>
      </c>
      <c r="B3785" s="116">
        <f t="shared" si="59"/>
        <v>52</v>
      </c>
    </row>
    <row r="3786" spans="1:2" x14ac:dyDescent="0.2">
      <c r="A3786" s="117">
        <v>38483</v>
      </c>
      <c r="B3786" s="116">
        <f t="shared" si="59"/>
        <v>52</v>
      </c>
    </row>
    <row r="3787" spans="1:2" x14ac:dyDescent="0.2">
      <c r="A3787" s="117">
        <v>38484</v>
      </c>
      <c r="B3787" s="116">
        <f t="shared" si="59"/>
        <v>52</v>
      </c>
    </row>
    <row r="3788" spans="1:2" x14ac:dyDescent="0.2">
      <c r="A3788" s="117">
        <v>38485</v>
      </c>
      <c r="B3788" s="116">
        <f t="shared" si="59"/>
        <v>52</v>
      </c>
    </row>
    <row r="3789" spans="1:2" x14ac:dyDescent="0.2">
      <c r="A3789" s="117">
        <v>38486</v>
      </c>
      <c r="B3789" s="116">
        <f t="shared" si="59"/>
        <v>52</v>
      </c>
    </row>
    <row r="3790" spans="1:2" x14ac:dyDescent="0.2">
      <c r="A3790" s="117">
        <v>38487</v>
      </c>
      <c r="B3790" s="116">
        <f t="shared" si="59"/>
        <v>53</v>
      </c>
    </row>
    <row r="3791" spans="1:2" x14ac:dyDescent="0.2">
      <c r="A3791" s="117">
        <v>38488</v>
      </c>
      <c r="B3791" s="116">
        <f t="shared" si="59"/>
        <v>53</v>
      </c>
    </row>
    <row r="3792" spans="1:2" x14ac:dyDescent="0.2">
      <c r="A3792" s="117">
        <v>38489</v>
      </c>
      <c r="B3792" s="116">
        <f t="shared" si="59"/>
        <v>53</v>
      </c>
    </row>
    <row r="3793" spans="1:2" x14ac:dyDescent="0.2">
      <c r="A3793" s="117">
        <v>38490</v>
      </c>
      <c r="B3793" s="116">
        <f t="shared" si="59"/>
        <v>53</v>
      </c>
    </row>
    <row r="3794" spans="1:2" x14ac:dyDescent="0.2">
      <c r="A3794" s="117">
        <v>38491</v>
      </c>
      <c r="B3794" s="116">
        <f t="shared" si="59"/>
        <v>53</v>
      </c>
    </row>
    <row r="3795" spans="1:2" x14ac:dyDescent="0.2">
      <c r="A3795" s="117">
        <v>38492</v>
      </c>
      <c r="B3795" s="116">
        <f t="shared" si="59"/>
        <v>53</v>
      </c>
    </row>
    <row r="3796" spans="1:2" x14ac:dyDescent="0.2">
      <c r="A3796" s="117">
        <v>38493</v>
      </c>
      <c r="B3796" s="116">
        <f t="shared" si="59"/>
        <v>53</v>
      </c>
    </row>
    <row r="3797" spans="1:2" x14ac:dyDescent="0.2">
      <c r="A3797" s="117">
        <v>38494</v>
      </c>
      <c r="B3797" s="116">
        <f t="shared" si="59"/>
        <v>54</v>
      </c>
    </row>
    <row r="3798" spans="1:2" x14ac:dyDescent="0.2">
      <c r="A3798" s="117">
        <v>38495</v>
      </c>
      <c r="B3798" s="116">
        <f t="shared" si="59"/>
        <v>54</v>
      </c>
    </row>
    <row r="3799" spans="1:2" x14ac:dyDescent="0.2">
      <c r="A3799" s="117">
        <v>38496</v>
      </c>
      <c r="B3799" s="116">
        <f t="shared" si="59"/>
        <v>54</v>
      </c>
    </row>
    <row r="3800" spans="1:2" x14ac:dyDescent="0.2">
      <c r="A3800" s="117">
        <v>38497</v>
      </c>
      <c r="B3800" s="116">
        <f t="shared" si="59"/>
        <v>54</v>
      </c>
    </row>
    <row r="3801" spans="1:2" x14ac:dyDescent="0.2">
      <c r="A3801" s="117">
        <v>38498</v>
      </c>
      <c r="B3801" s="116">
        <f t="shared" si="59"/>
        <v>54</v>
      </c>
    </row>
    <row r="3802" spans="1:2" x14ac:dyDescent="0.2">
      <c r="A3802" s="117">
        <v>38499</v>
      </c>
      <c r="B3802" s="116">
        <f t="shared" si="59"/>
        <v>54</v>
      </c>
    </row>
    <row r="3803" spans="1:2" x14ac:dyDescent="0.2">
      <c r="A3803" s="117">
        <v>38500</v>
      </c>
      <c r="B3803" s="116">
        <f t="shared" si="59"/>
        <v>54</v>
      </c>
    </row>
    <row r="3804" spans="1:2" x14ac:dyDescent="0.2">
      <c r="A3804" s="117">
        <v>38501</v>
      </c>
      <c r="B3804" s="116">
        <f t="shared" si="59"/>
        <v>61</v>
      </c>
    </row>
    <row r="3805" spans="1:2" x14ac:dyDescent="0.2">
      <c r="A3805" s="117">
        <v>38502</v>
      </c>
      <c r="B3805" s="116">
        <f t="shared" si="59"/>
        <v>61</v>
      </c>
    </row>
    <row r="3806" spans="1:2" x14ac:dyDescent="0.2">
      <c r="A3806" s="117">
        <v>38503</v>
      </c>
      <c r="B3806" s="116">
        <f t="shared" si="59"/>
        <v>61</v>
      </c>
    </row>
    <row r="3807" spans="1:2" x14ac:dyDescent="0.2">
      <c r="A3807" s="117">
        <v>38504</v>
      </c>
      <c r="B3807" s="116">
        <f t="shared" si="59"/>
        <v>61</v>
      </c>
    </row>
    <row r="3808" spans="1:2" x14ac:dyDescent="0.2">
      <c r="A3808" s="117">
        <v>38505</v>
      </c>
      <c r="B3808" s="116">
        <f t="shared" si="59"/>
        <v>61</v>
      </c>
    </row>
    <row r="3809" spans="1:2" x14ac:dyDescent="0.2">
      <c r="A3809" s="117">
        <v>38506</v>
      </c>
      <c r="B3809" s="116">
        <f t="shared" si="59"/>
        <v>61</v>
      </c>
    </row>
    <row r="3810" spans="1:2" x14ac:dyDescent="0.2">
      <c r="A3810" s="117">
        <v>38507</v>
      </c>
      <c r="B3810" s="116">
        <f t="shared" si="59"/>
        <v>61</v>
      </c>
    </row>
    <row r="3811" spans="1:2" x14ac:dyDescent="0.2">
      <c r="A3811" s="117">
        <v>38508</v>
      </c>
      <c r="B3811" s="116">
        <f t="shared" si="59"/>
        <v>62</v>
      </c>
    </row>
    <row r="3812" spans="1:2" x14ac:dyDescent="0.2">
      <c r="A3812" s="117">
        <v>38509</v>
      </c>
      <c r="B3812" s="116">
        <f t="shared" si="59"/>
        <v>62</v>
      </c>
    </row>
    <row r="3813" spans="1:2" x14ac:dyDescent="0.2">
      <c r="A3813" s="117">
        <v>38510</v>
      </c>
      <c r="B3813" s="116">
        <f t="shared" si="59"/>
        <v>62</v>
      </c>
    </row>
    <row r="3814" spans="1:2" x14ac:dyDescent="0.2">
      <c r="A3814" s="117">
        <v>38511</v>
      </c>
      <c r="B3814" s="116">
        <f t="shared" si="59"/>
        <v>62</v>
      </c>
    </row>
    <row r="3815" spans="1:2" x14ac:dyDescent="0.2">
      <c r="A3815" s="117">
        <v>38512</v>
      </c>
      <c r="B3815" s="116">
        <f t="shared" si="59"/>
        <v>62</v>
      </c>
    </row>
    <row r="3816" spans="1:2" x14ac:dyDescent="0.2">
      <c r="A3816" s="117">
        <v>38513</v>
      </c>
      <c r="B3816" s="116">
        <f t="shared" si="59"/>
        <v>62</v>
      </c>
    </row>
    <row r="3817" spans="1:2" x14ac:dyDescent="0.2">
      <c r="A3817" s="117">
        <v>38514</v>
      </c>
      <c r="B3817" s="116">
        <f t="shared" si="59"/>
        <v>62</v>
      </c>
    </row>
    <row r="3818" spans="1:2" x14ac:dyDescent="0.2">
      <c r="A3818" s="117">
        <v>38515</v>
      </c>
      <c r="B3818" s="116">
        <f t="shared" si="59"/>
        <v>63</v>
      </c>
    </row>
    <row r="3819" spans="1:2" x14ac:dyDescent="0.2">
      <c r="A3819" s="117">
        <v>38516</v>
      </c>
      <c r="B3819" s="116">
        <f t="shared" si="59"/>
        <v>63</v>
      </c>
    </row>
    <row r="3820" spans="1:2" x14ac:dyDescent="0.2">
      <c r="A3820" s="117">
        <v>38517</v>
      </c>
      <c r="B3820" s="116">
        <f t="shared" si="59"/>
        <v>63</v>
      </c>
    </row>
    <row r="3821" spans="1:2" x14ac:dyDescent="0.2">
      <c r="A3821" s="117">
        <v>38518</v>
      </c>
      <c r="B3821" s="116">
        <f t="shared" si="59"/>
        <v>63</v>
      </c>
    </row>
    <row r="3822" spans="1:2" x14ac:dyDescent="0.2">
      <c r="A3822" s="117">
        <v>38519</v>
      </c>
      <c r="B3822" s="116">
        <f t="shared" si="59"/>
        <v>63</v>
      </c>
    </row>
    <row r="3823" spans="1:2" x14ac:dyDescent="0.2">
      <c r="A3823" s="117">
        <v>38520</v>
      </c>
      <c r="B3823" s="116">
        <f t="shared" si="59"/>
        <v>63</v>
      </c>
    </row>
    <row r="3824" spans="1:2" x14ac:dyDescent="0.2">
      <c r="A3824" s="117">
        <v>38521</v>
      </c>
      <c r="B3824" s="116">
        <f t="shared" si="59"/>
        <v>63</v>
      </c>
    </row>
    <row r="3825" spans="1:2" x14ac:dyDescent="0.2">
      <c r="A3825" s="117">
        <v>38522</v>
      </c>
      <c r="B3825" s="116">
        <f t="shared" si="59"/>
        <v>64</v>
      </c>
    </row>
    <row r="3826" spans="1:2" x14ac:dyDescent="0.2">
      <c r="A3826" s="117">
        <v>38523</v>
      </c>
      <c r="B3826" s="116">
        <f t="shared" si="59"/>
        <v>64</v>
      </c>
    </row>
    <row r="3827" spans="1:2" x14ac:dyDescent="0.2">
      <c r="A3827" s="117">
        <v>38524</v>
      </c>
      <c r="B3827" s="116">
        <f t="shared" si="59"/>
        <v>64</v>
      </c>
    </row>
    <row r="3828" spans="1:2" x14ac:dyDescent="0.2">
      <c r="A3828" s="117">
        <v>38525</v>
      </c>
      <c r="B3828" s="116">
        <f t="shared" si="59"/>
        <v>64</v>
      </c>
    </row>
    <row r="3829" spans="1:2" x14ac:dyDescent="0.2">
      <c r="A3829" s="117">
        <v>38526</v>
      </c>
      <c r="B3829" s="116">
        <f t="shared" si="59"/>
        <v>64</v>
      </c>
    </row>
    <row r="3830" spans="1:2" x14ac:dyDescent="0.2">
      <c r="A3830" s="117">
        <v>38527</v>
      </c>
      <c r="B3830" s="116">
        <f t="shared" si="59"/>
        <v>64</v>
      </c>
    </row>
    <row r="3831" spans="1:2" x14ac:dyDescent="0.2">
      <c r="A3831" s="117">
        <v>38528</v>
      </c>
      <c r="B3831" s="116">
        <f t="shared" si="59"/>
        <v>64</v>
      </c>
    </row>
    <row r="3832" spans="1:2" x14ac:dyDescent="0.2">
      <c r="A3832" s="117">
        <v>38529</v>
      </c>
      <c r="B3832" s="116">
        <f t="shared" si="59"/>
        <v>71</v>
      </c>
    </row>
    <row r="3833" spans="1:2" x14ac:dyDescent="0.2">
      <c r="A3833" s="117">
        <v>38530</v>
      </c>
      <c r="B3833" s="116">
        <f t="shared" si="59"/>
        <v>71</v>
      </c>
    </row>
    <row r="3834" spans="1:2" x14ac:dyDescent="0.2">
      <c r="A3834" s="117">
        <v>38531</v>
      </c>
      <c r="B3834" s="116">
        <f t="shared" si="59"/>
        <v>71</v>
      </c>
    </row>
    <row r="3835" spans="1:2" x14ac:dyDescent="0.2">
      <c r="A3835" s="117">
        <v>38532</v>
      </c>
      <c r="B3835" s="116">
        <f t="shared" si="59"/>
        <v>71</v>
      </c>
    </row>
    <row r="3836" spans="1:2" x14ac:dyDescent="0.2">
      <c r="A3836" s="117">
        <v>38533</v>
      </c>
      <c r="B3836" s="116">
        <f t="shared" si="59"/>
        <v>71</v>
      </c>
    </row>
    <row r="3837" spans="1:2" x14ac:dyDescent="0.2">
      <c r="A3837" s="117">
        <v>38534</v>
      </c>
      <c r="B3837" s="116">
        <f t="shared" si="59"/>
        <v>71</v>
      </c>
    </row>
    <row r="3838" spans="1:2" x14ac:dyDescent="0.2">
      <c r="A3838" s="117">
        <v>38535</v>
      </c>
      <c r="B3838" s="116">
        <f t="shared" si="59"/>
        <v>71</v>
      </c>
    </row>
    <row r="3839" spans="1:2" x14ac:dyDescent="0.2">
      <c r="A3839" s="117">
        <v>38536</v>
      </c>
      <c r="B3839" s="116">
        <f t="shared" si="59"/>
        <v>72</v>
      </c>
    </row>
    <row r="3840" spans="1:2" x14ac:dyDescent="0.2">
      <c r="A3840" s="117">
        <v>38537</v>
      </c>
      <c r="B3840" s="116">
        <f t="shared" si="59"/>
        <v>72</v>
      </c>
    </row>
    <row r="3841" spans="1:2" x14ac:dyDescent="0.2">
      <c r="A3841" s="117">
        <v>38538</v>
      </c>
      <c r="B3841" s="116">
        <f t="shared" si="59"/>
        <v>72</v>
      </c>
    </row>
    <row r="3842" spans="1:2" x14ac:dyDescent="0.2">
      <c r="A3842" s="117">
        <v>38539</v>
      </c>
      <c r="B3842" s="116">
        <f t="shared" si="59"/>
        <v>72</v>
      </c>
    </row>
    <row r="3843" spans="1:2" x14ac:dyDescent="0.2">
      <c r="A3843" s="117">
        <v>38540</v>
      </c>
      <c r="B3843" s="116">
        <f t="shared" si="59"/>
        <v>72</v>
      </c>
    </row>
    <row r="3844" spans="1:2" x14ac:dyDescent="0.2">
      <c r="A3844" s="117">
        <v>38541</v>
      </c>
      <c r="B3844" s="116">
        <f t="shared" ref="B3844:B3907" si="60">VLOOKUP(WEEKNUM(A3844),$D$4:$E$59,2)</f>
        <v>72</v>
      </c>
    </row>
    <row r="3845" spans="1:2" x14ac:dyDescent="0.2">
      <c r="A3845" s="117">
        <v>38542</v>
      </c>
      <c r="B3845" s="116">
        <f t="shared" si="60"/>
        <v>72</v>
      </c>
    </row>
    <row r="3846" spans="1:2" x14ac:dyDescent="0.2">
      <c r="A3846" s="117">
        <v>38543</v>
      </c>
      <c r="B3846" s="116">
        <f t="shared" si="60"/>
        <v>73</v>
      </c>
    </row>
    <row r="3847" spans="1:2" x14ac:dyDescent="0.2">
      <c r="A3847" s="117">
        <v>38544</v>
      </c>
      <c r="B3847" s="116">
        <f t="shared" si="60"/>
        <v>73</v>
      </c>
    </row>
    <row r="3848" spans="1:2" x14ac:dyDescent="0.2">
      <c r="A3848" s="117">
        <v>38545</v>
      </c>
      <c r="B3848" s="116">
        <f t="shared" si="60"/>
        <v>73</v>
      </c>
    </row>
    <row r="3849" spans="1:2" x14ac:dyDescent="0.2">
      <c r="A3849" s="117">
        <v>38546</v>
      </c>
      <c r="B3849" s="116">
        <f t="shared" si="60"/>
        <v>73</v>
      </c>
    </row>
    <row r="3850" spans="1:2" x14ac:dyDescent="0.2">
      <c r="A3850" s="117">
        <v>38547</v>
      </c>
      <c r="B3850" s="116">
        <f t="shared" si="60"/>
        <v>73</v>
      </c>
    </row>
    <row r="3851" spans="1:2" x14ac:dyDescent="0.2">
      <c r="A3851" s="117">
        <v>38548</v>
      </c>
      <c r="B3851" s="116">
        <f t="shared" si="60"/>
        <v>73</v>
      </c>
    </row>
    <row r="3852" spans="1:2" x14ac:dyDescent="0.2">
      <c r="A3852" s="117">
        <v>38549</v>
      </c>
      <c r="B3852" s="116">
        <f t="shared" si="60"/>
        <v>73</v>
      </c>
    </row>
    <row r="3853" spans="1:2" x14ac:dyDescent="0.2">
      <c r="A3853" s="117">
        <v>38550</v>
      </c>
      <c r="B3853" s="116">
        <f t="shared" si="60"/>
        <v>74</v>
      </c>
    </row>
    <row r="3854" spans="1:2" x14ac:dyDescent="0.2">
      <c r="A3854" s="117">
        <v>38551</v>
      </c>
      <c r="B3854" s="116">
        <f t="shared" si="60"/>
        <v>74</v>
      </c>
    </row>
    <row r="3855" spans="1:2" x14ac:dyDescent="0.2">
      <c r="A3855" s="117">
        <v>38552</v>
      </c>
      <c r="B3855" s="116">
        <f t="shared" si="60"/>
        <v>74</v>
      </c>
    </row>
    <row r="3856" spans="1:2" x14ac:dyDescent="0.2">
      <c r="A3856" s="117">
        <v>38553</v>
      </c>
      <c r="B3856" s="116">
        <f t="shared" si="60"/>
        <v>74</v>
      </c>
    </row>
    <row r="3857" spans="1:2" x14ac:dyDescent="0.2">
      <c r="A3857" s="117">
        <v>38554</v>
      </c>
      <c r="B3857" s="116">
        <f t="shared" si="60"/>
        <v>74</v>
      </c>
    </row>
    <row r="3858" spans="1:2" x14ac:dyDescent="0.2">
      <c r="A3858" s="117">
        <v>38555</v>
      </c>
      <c r="B3858" s="116">
        <f t="shared" si="60"/>
        <v>74</v>
      </c>
    </row>
    <row r="3859" spans="1:2" x14ac:dyDescent="0.2">
      <c r="A3859" s="117">
        <v>38556</v>
      </c>
      <c r="B3859" s="116">
        <f t="shared" si="60"/>
        <v>74</v>
      </c>
    </row>
    <row r="3860" spans="1:2" x14ac:dyDescent="0.2">
      <c r="A3860" s="117">
        <v>38557</v>
      </c>
      <c r="B3860" s="116">
        <f t="shared" si="60"/>
        <v>75</v>
      </c>
    </row>
    <row r="3861" spans="1:2" x14ac:dyDescent="0.2">
      <c r="A3861" s="117">
        <v>38558</v>
      </c>
      <c r="B3861" s="116">
        <f t="shared" si="60"/>
        <v>75</v>
      </c>
    </row>
    <row r="3862" spans="1:2" x14ac:dyDescent="0.2">
      <c r="A3862" s="117">
        <v>38559</v>
      </c>
      <c r="B3862" s="116">
        <f t="shared" si="60"/>
        <v>75</v>
      </c>
    </row>
    <row r="3863" spans="1:2" x14ac:dyDescent="0.2">
      <c r="A3863" s="117">
        <v>38560</v>
      </c>
      <c r="B3863" s="116">
        <f t="shared" si="60"/>
        <v>75</v>
      </c>
    </row>
    <row r="3864" spans="1:2" x14ac:dyDescent="0.2">
      <c r="A3864" s="117">
        <v>38561</v>
      </c>
      <c r="B3864" s="116">
        <f t="shared" si="60"/>
        <v>75</v>
      </c>
    </row>
    <row r="3865" spans="1:2" x14ac:dyDescent="0.2">
      <c r="A3865" s="117">
        <v>38562</v>
      </c>
      <c r="B3865" s="116">
        <f t="shared" si="60"/>
        <v>75</v>
      </c>
    </row>
    <row r="3866" spans="1:2" x14ac:dyDescent="0.2">
      <c r="A3866" s="117">
        <v>38563</v>
      </c>
      <c r="B3866" s="116">
        <f t="shared" si="60"/>
        <v>75</v>
      </c>
    </row>
    <row r="3867" spans="1:2" x14ac:dyDescent="0.2">
      <c r="A3867" s="117">
        <v>38564</v>
      </c>
      <c r="B3867" s="116">
        <f t="shared" si="60"/>
        <v>81</v>
      </c>
    </row>
    <row r="3868" spans="1:2" x14ac:dyDescent="0.2">
      <c r="A3868" s="117">
        <v>38565</v>
      </c>
      <c r="B3868" s="116">
        <f t="shared" si="60"/>
        <v>81</v>
      </c>
    </row>
    <row r="3869" spans="1:2" x14ac:dyDescent="0.2">
      <c r="A3869" s="117">
        <v>38566</v>
      </c>
      <c r="B3869" s="116">
        <f t="shared" si="60"/>
        <v>81</v>
      </c>
    </row>
    <row r="3870" spans="1:2" x14ac:dyDescent="0.2">
      <c r="A3870" s="117">
        <v>38567</v>
      </c>
      <c r="B3870" s="116">
        <f t="shared" si="60"/>
        <v>81</v>
      </c>
    </row>
    <row r="3871" spans="1:2" x14ac:dyDescent="0.2">
      <c r="A3871" s="117">
        <v>38568</v>
      </c>
      <c r="B3871" s="116">
        <f t="shared" si="60"/>
        <v>81</v>
      </c>
    </row>
    <row r="3872" spans="1:2" x14ac:dyDescent="0.2">
      <c r="A3872" s="117">
        <v>38569</v>
      </c>
      <c r="B3872" s="116">
        <f t="shared" si="60"/>
        <v>81</v>
      </c>
    </row>
    <row r="3873" spans="1:2" x14ac:dyDescent="0.2">
      <c r="A3873" s="117">
        <v>38570</v>
      </c>
      <c r="B3873" s="116">
        <f t="shared" si="60"/>
        <v>81</v>
      </c>
    </row>
    <row r="3874" spans="1:2" x14ac:dyDescent="0.2">
      <c r="A3874" s="117">
        <v>38571</v>
      </c>
      <c r="B3874" s="116">
        <f t="shared" si="60"/>
        <v>82</v>
      </c>
    </row>
    <row r="3875" spans="1:2" x14ac:dyDescent="0.2">
      <c r="A3875" s="117">
        <v>38572</v>
      </c>
      <c r="B3875" s="116">
        <f t="shared" si="60"/>
        <v>82</v>
      </c>
    </row>
    <row r="3876" spans="1:2" x14ac:dyDescent="0.2">
      <c r="A3876" s="117">
        <v>38573</v>
      </c>
      <c r="B3876" s="116">
        <f t="shared" si="60"/>
        <v>82</v>
      </c>
    </row>
    <row r="3877" spans="1:2" x14ac:dyDescent="0.2">
      <c r="A3877" s="117">
        <v>38574</v>
      </c>
      <c r="B3877" s="116">
        <f t="shared" si="60"/>
        <v>82</v>
      </c>
    </row>
    <row r="3878" spans="1:2" x14ac:dyDescent="0.2">
      <c r="A3878" s="117">
        <v>38575</v>
      </c>
      <c r="B3878" s="116">
        <f t="shared" si="60"/>
        <v>82</v>
      </c>
    </row>
    <row r="3879" spans="1:2" x14ac:dyDescent="0.2">
      <c r="A3879" s="117">
        <v>38576</v>
      </c>
      <c r="B3879" s="116">
        <f t="shared" si="60"/>
        <v>82</v>
      </c>
    </row>
    <row r="3880" spans="1:2" x14ac:dyDescent="0.2">
      <c r="A3880" s="117">
        <v>38577</v>
      </c>
      <c r="B3880" s="116">
        <f t="shared" si="60"/>
        <v>82</v>
      </c>
    </row>
    <row r="3881" spans="1:2" x14ac:dyDescent="0.2">
      <c r="A3881" s="117">
        <v>38578</v>
      </c>
      <c r="B3881" s="116">
        <f t="shared" si="60"/>
        <v>83</v>
      </c>
    </row>
    <row r="3882" spans="1:2" x14ac:dyDescent="0.2">
      <c r="A3882" s="117">
        <v>38579</v>
      </c>
      <c r="B3882" s="116">
        <f t="shared" si="60"/>
        <v>83</v>
      </c>
    </row>
    <row r="3883" spans="1:2" x14ac:dyDescent="0.2">
      <c r="A3883" s="117">
        <v>38580</v>
      </c>
      <c r="B3883" s="116">
        <f t="shared" si="60"/>
        <v>83</v>
      </c>
    </row>
    <row r="3884" spans="1:2" x14ac:dyDescent="0.2">
      <c r="A3884" s="117">
        <v>38581</v>
      </c>
      <c r="B3884" s="116">
        <f t="shared" si="60"/>
        <v>83</v>
      </c>
    </row>
    <row r="3885" spans="1:2" x14ac:dyDescent="0.2">
      <c r="A3885" s="117">
        <v>38582</v>
      </c>
      <c r="B3885" s="116">
        <f t="shared" si="60"/>
        <v>83</v>
      </c>
    </row>
    <row r="3886" spans="1:2" x14ac:dyDescent="0.2">
      <c r="A3886" s="117">
        <v>38583</v>
      </c>
      <c r="B3886" s="116">
        <f t="shared" si="60"/>
        <v>83</v>
      </c>
    </row>
    <row r="3887" spans="1:2" x14ac:dyDescent="0.2">
      <c r="A3887" s="117">
        <v>38584</v>
      </c>
      <c r="B3887" s="116">
        <f t="shared" si="60"/>
        <v>83</v>
      </c>
    </row>
    <row r="3888" spans="1:2" x14ac:dyDescent="0.2">
      <c r="A3888" s="117">
        <v>38585</v>
      </c>
      <c r="B3888" s="116">
        <f t="shared" si="60"/>
        <v>84</v>
      </c>
    </row>
    <row r="3889" spans="1:2" x14ac:dyDescent="0.2">
      <c r="A3889" s="117">
        <v>38586</v>
      </c>
      <c r="B3889" s="116">
        <f t="shared" si="60"/>
        <v>84</v>
      </c>
    </row>
    <row r="3890" spans="1:2" x14ac:dyDescent="0.2">
      <c r="A3890" s="117">
        <v>38587</v>
      </c>
      <c r="B3890" s="116">
        <f t="shared" si="60"/>
        <v>84</v>
      </c>
    </row>
    <row r="3891" spans="1:2" x14ac:dyDescent="0.2">
      <c r="A3891" s="117">
        <v>38588</v>
      </c>
      <c r="B3891" s="116">
        <f t="shared" si="60"/>
        <v>84</v>
      </c>
    </row>
    <row r="3892" spans="1:2" x14ac:dyDescent="0.2">
      <c r="A3892" s="117">
        <v>38589</v>
      </c>
      <c r="B3892" s="116">
        <f t="shared" si="60"/>
        <v>84</v>
      </c>
    </row>
    <row r="3893" spans="1:2" x14ac:dyDescent="0.2">
      <c r="A3893" s="117">
        <v>38590</v>
      </c>
      <c r="B3893" s="116">
        <f t="shared" si="60"/>
        <v>84</v>
      </c>
    </row>
    <row r="3894" spans="1:2" x14ac:dyDescent="0.2">
      <c r="A3894" s="117">
        <v>38591</v>
      </c>
      <c r="B3894" s="116">
        <f t="shared" si="60"/>
        <v>84</v>
      </c>
    </row>
    <row r="3895" spans="1:2" x14ac:dyDescent="0.2">
      <c r="A3895" s="117">
        <v>38592</v>
      </c>
      <c r="B3895" s="116">
        <f t="shared" si="60"/>
        <v>91</v>
      </c>
    </row>
    <row r="3896" spans="1:2" x14ac:dyDescent="0.2">
      <c r="A3896" s="117">
        <v>38593</v>
      </c>
      <c r="B3896" s="116">
        <f t="shared" si="60"/>
        <v>91</v>
      </c>
    </row>
    <row r="3897" spans="1:2" x14ac:dyDescent="0.2">
      <c r="A3897" s="117">
        <v>38594</v>
      </c>
      <c r="B3897" s="116">
        <f t="shared" si="60"/>
        <v>91</v>
      </c>
    </row>
    <row r="3898" spans="1:2" x14ac:dyDescent="0.2">
      <c r="A3898" s="117">
        <v>38595</v>
      </c>
      <c r="B3898" s="116">
        <f t="shared" si="60"/>
        <v>91</v>
      </c>
    </row>
    <row r="3899" spans="1:2" x14ac:dyDescent="0.2">
      <c r="A3899" s="117">
        <v>38596</v>
      </c>
      <c r="B3899" s="116">
        <f t="shared" si="60"/>
        <v>91</v>
      </c>
    </row>
    <row r="3900" spans="1:2" x14ac:dyDescent="0.2">
      <c r="A3900" s="117">
        <v>38597</v>
      </c>
      <c r="B3900" s="116">
        <f t="shared" si="60"/>
        <v>91</v>
      </c>
    </row>
    <row r="3901" spans="1:2" x14ac:dyDescent="0.2">
      <c r="A3901" s="117">
        <v>38598</v>
      </c>
      <c r="B3901" s="116">
        <f t="shared" si="60"/>
        <v>91</v>
      </c>
    </row>
    <row r="3902" spans="1:2" x14ac:dyDescent="0.2">
      <c r="A3902" s="117">
        <v>38599</v>
      </c>
      <c r="B3902" s="116">
        <f t="shared" si="60"/>
        <v>92</v>
      </c>
    </row>
    <row r="3903" spans="1:2" x14ac:dyDescent="0.2">
      <c r="A3903" s="117">
        <v>38600</v>
      </c>
      <c r="B3903" s="116">
        <f t="shared" si="60"/>
        <v>92</v>
      </c>
    </row>
    <row r="3904" spans="1:2" x14ac:dyDescent="0.2">
      <c r="A3904" s="117">
        <v>38601</v>
      </c>
      <c r="B3904" s="116">
        <f t="shared" si="60"/>
        <v>92</v>
      </c>
    </row>
    <row r="3905" spans="1:2" x14ac:dyDescent="0.2">
      <c r="A3905" s="117">
        <v>38602</v>
      </c>
      <c r="B3905" s="116">
        <f t="shared" si="60"/>
        <v>92</v>
      </c>
    </row>
    <row r="3906" spans="1:2" x14ac:dyDescent="0.2">
      <c r="A3906" s="117">
        <v>38603</v>
      </c>
      <c r="B3906" s="116">
        <f t="shared" si="60"/>
        <v>92</v>
      </c>
    </row>
    <row r="3907" spans="1:2" x14ac:dyDescent="0.2">
      <c r="A3907" s="117">
        <v>38604</v>
      </c>
      <c r="B3907" s="116">
        <f t="shared" si="60"/>
        <v>92</v>
      </c>
    </row>
    <row r="3908" spans="1:2" x14ac:dyDescent="0.2">
      <c r="A3908" s="117">
        <v>38605</v>
      </c>
      <c r="B3908" s="116">
        <f t="shared" ref="B3908:B3971" si="61">VLOOKUP(WEEKNUM(A3908),$D$4:$E$59,2)</f>
        <v>92</v>
      </c>
    </row>
    <row r="3909" spans="1:2" x14ac:dyDescent="0.2">
      <c r="A3909" s="117">
        <v>38606</v>
      </c>
      <c r="B3909" s="116">
        <f t="shared" si="61"/>
        <v>93</v>
      </c>
    </row>
    <row r="3910" spans="1:2" x14ac:dyDescent="0.2">
      <c r="A3910" s="117">
        <v>38607</v>
      </c>
      <c r="B3910" s="116">
        <f t="shared" si="61"/>
        <v>93</v>
      </c>
    </row>
    <row r="3911" spans="1:2" x14ac:dyDescent="0.2">
      <c r="A3911" s="117">
        <v>38608</v>
      </c>
      <c r="B3911" s="116">
        <f t="shared" si="61"/>
        <v>93</v>
      </c>
    </row>
    <row r="3912" spans="1:2" x14ac:dyDescent="0.2">
      <c r="A3912" s="117">
        <v>38609</v>
      </c>
      <c r="B3912" s="116">
        <f t="shared" si="61"/>
        <v>93</v>
      </c>
    </row>
    <row r="3913" spans="1:2" x14ac:dyDescent="0.2">
      <c r="A3913" s="117">
        <v>38610</v>
      </c>
      <c r="B3913" s="116">
        <f t="shared" si="61"/>
        <v>93</v>
      </c>
    </row>
    <row r="3914" spans="1:2" x14ac:dyDescent="0.2">
      <c r="A3914" s="117">
        <v>38611</v>
      </c>
      <c r="B3914" s="116">
        <f t="shared" si="61"/>
        <v>93</v>
      </c>
    </row>
    <row r="3915" spans="1:2" x14ac:dyDescent="0.2">
      <c r="A3915" s="117">
        <v>38612</v>
      </c>
      <c r="B3915" s="116">
        <f t="shared" si="61"/>
        <v>93</v>
      </c>
    </row>
    <row r="3916" spans="1:2" x14ac:dyDescent="0.2">
      <c r="A3916" s="117">
        <v>38613</v>
      </c>
      <c r="B3916" s="116">
        <f t="shared" si="61"/>
        <v>94</v>
      </c>
    </row>
    <row r="3917" spans="1:2" x14ac:dyDescent="0.2">
      <c r="A3917" s="117">
        <v>38614</v>
      </c>
      <c r="B3917" s="116">
        <f t="shared" si="61"/>
        <v>94</v>
      </c>
    </row>
    <row r="3918" spans="1:2" x14ac:dyDescent="0.2">
      <c r="A3918" s="117">
        <v>38615</v>
      </c>
      <c r="B3918" s="116">
        <f t="shared" si="61"/>
        <v>94</v>
      </c>
    </row>
    <row r="3919" spans="1:2" x14ac:dyDescent="0.2">
      <c r="A3919" s="117">
        <v>38616</v>
      </c>
      <c r="B3919" s="116">
        <f t="shared" si="61"/>
        <v>94</v>
      </c>
    </row>
    <row r="3920" spans="1:2" x14ac:dyDescent="0.2">
      <c r="A3920" s="117">
        <v>38617</v>
      </c>
      <c r="B3920" s="116">
        <f t="shared" si="61"/>
        <v>94</v>
      </c>
    </row>
    <row r="3921" spans="1:2" x14ac:dyDescent="0.2">
      <c r="A3921" s="117">
        <v>38618</v>
      </c>
      <c r="B3921" s="116">
        <f t="shared" si="61"/>
        <v>94</v>
      </c>
    </row>
    <row r="3922" spans="1:2" x14ac:dyDescent="0.2">
      <c r="A3922" s="117">
        <v>38619</v>
      </c>
      <c r="B3922" s="116">
        <f t="shared" si="61"/>
        <v>94</v>
      </c>
    </row>
    <row r="3923" spans="1:2" x14ac:dyDescent="0.2">
      <c r="A3923" s="117">
        <v>38620</v>
      </c>
      <c r="B3923" s="116">
        <f t="shared" si="61"/>
        <v>101</v>
      </c>
    </row>
    <row r="3924" spans="1:2" x14ac:dyDescent="0.2">
      <c r="A3924" s="117">
        <v>38621</v>
      </c>
      <c r="B3924" s="116">
        <f t="shared" si="61"/>
        <v>101</v>
      </c>
    </row>
    <row r="3925" spans="1:2" x14ac:dyDescent="0.2">
      <c r="A3925" s="117">
        <v>38622</v>
      </c>
      <c r="B3925" s="116">
        <f t="shared" si="61"/>
        <v>101</v>
      </c>
    </row>
    <row r="3926" spans="1:2" x14ac:dyDescent="0.2">
      <c r="A3926" s="117">
        <v>38623</v>
      </c>
      <c r="B3926" s="116">
        <f t="shared" si="61"/>
        <v>101</v>
      </c>
    </row>
    <row r="3927" spans="1:2" x14ac:dyDescent="0.2">
      <c r="A3927" s="117">
        <v>38624</v>
      </c>
      <c r="B3927" s="116">
        <f t="shared" si="61"/>
        <v>101</v>
      </c>
    </row>
    <row r="3928" spans="1:2" x14ac:dyDescent="0.2">
      <c r="A3928" s="117">
        <v>38625</v>
      </c>
      <c r="B3928" s="116">
        <f t="shared" si="61"/>
        <v>101</v>
      </c>
    </row>
    <row r="3929" spans="1:2" x14ac:dyDescent="0.2">
      <c r="A3929" s="117">
        <v>38626</v>
      </c>
      <c r="B3929" s="116">
        <f t="shared" si="61"/>
        <v>101</v>
      </c>
    </row>
    <row r="3930" spans="1:2" x14ac:dyDescent="0.2">
      <c r="A3930" s="117">
        <v>38627</v>
      </c>
      <c r="B3930" s="116">
        <f t="shared" si="61"/>
        <v>102</v>
      </c>
    </row>
    <row r="3931" spans="1:2" x14ac:dyDescent="0.2">
      <c r="A3931" s="117">
        <v>38628</v>
      </c>
      <c r="B3931" s="116">
        <f t="shared" si="61"/>
        <v>102</v>
      </c>
    </row>
    <row r="3932" spans="1:2" x14ac:dyDescent="0.2">
      <c r="A3932" s="117">
        <v>38629</v>
      </c>
      <c r="B3932" s="116">
        <f t="shared" si="61"/>
        <v>102</v>
      </c>
    </row>
    <row r="3933" spans="1:2" x14ac:dyDescent="0.2">
      <c r="A3933" s="117">
        <v>38630</v>
      </c>
      <c r="B3933" s="116">
        <f t="shared" si="61"/>
        <v>102</v>
      </c>
    </row>
    <row r="3934" spans="1:2" x14ac:dyDescent="0.2">
      <c r="A3934" s="117">
        <v>38631</v>
      </c>
      <c r="B3934" s="116">
        <f t="shared" si="61"/>
        <v>102</v>
      </c>
    </row>
    <row r="3935" spans="1:2" x14ac:dyDescent="0.2">
      <c r="A3935" s="117">
        <v>38632</v>
      </c>
      <c r="B3935" s="116">
        <f t="shared" si="61"/>
        <v>102</v>
      </c>
    </row>
    <row r="3936" spans="1:2" x14ac:dyDescent="0.2">
      <c r="A3936" s="117">
        <v>38633</v>
      </c>
      <c r="B3936" s="116">
        <f t="shared" si="61"/>
        <v>102</v>
      </c>
    </row>
    <row r="3937" spans="1:2" x14ac:dyDescent="0.2">
      <c r="A3937" s="117">
        <v>38634</v>
      </c>
      <c r="B3937" s="116">
        <f t="shared" si="61"/>
        <v>103</v>
      </c>
    </row>
    <row r="3938" spans="1:2" x14ac:dyDescent="0.2">
      <c r="A3938" s="117">
        <v>38635</v>
      </c>
      <c r="B3938" s="116">
        <f t="shared" si="61"/>
        <v>103</v>
      </c>
    </row>
    <row r="3939" spans="1:2" x14ac:dyDescent="0.2">
      <c r="A3939" s="117">
        <v>38636</v>
      </c>
      <c r="B3939" s="116">
        <f t="shared" si="61"/>
        <v>103</v>
      </c>
    </row>
    <row r="3940" spans="1:2" x14ac:dyDescent="0.2">
      <c r="A3940" s="117">
        <v>38637</v>
      </c>
      <c r="B3940" s="116">
        <f t="shared" si="61"/>
        <v>103</v>
      </c>
    </row>
    <row r="3941" spans="1:2" x14ac:dyDescent="0.2">
      <c r="A3941" s="117">
        <v>38638</v>
      </c>
      <c r="B3941" s="116">
        <f t="shared" si="61"/>
        <v>103</v>
      </c>
    </row>
    <row r="3942" spans="1:2" x14ac:dyDescent="0.2">
      <c r="A3942" s="117">
        <v>38639</v>
      </c>
      <c r="B3942" s="116">
        <f t="shared" si="61"/>
        <v>103</v>
      </c>
    </row>
    <row r="3943" spans="1:2" x14ac:dyDescent="0.2">
      <c r="A3943" s="117">
        <v>38640</v>
      </c>
      <c r="B3943" s="116">
        <f t="shared" si="61"/>
        <v>103</v>
      </c>
    </row>
    <row r="3944" spans="1:2" x14ac:dyDescent="0.2">
      <c r="A3944" s="117">
        <v>38641</v>
      </c>
      <c r="B3944" s="116">
        <f t="shared" si="61"/>
        <v>104</v>
      </c>
    </row>
    <row r="3945" spans="1:2" x14ac:dyDescent="0.2">
      <c r="A3945" s="117">
        <v>38642</v>
      </c>
      <c r="B3945" s="116">
        <f t="shared" si="61"/>
        <v>104</v>
      </c>
    </row>
    <row r="3946" spans="1:2" x14ac:dyDescent="0.2">
      <c r="A3946" s="117">
        <v>38643</v>
      </c>
      <c r="B3946" s="116">
        <f t="shared" si="61"/>
        <v>104</v>
      </c>
    </row>
    <row r="3947" spans="1:2" x14ac:dyDescent="0.2">
      <c r="A3947" s="117">
        <v>38644</v>
      </c>
      <c r="B3947" s="116">
        <f t="shared" si="61"/>
        <v>104</v>
      </c>
    </row>
    <row r="3948" spans="1:2" x14ac:dyDescent="0.2">
      <c r="A3948" s="117">
        <v>38645</v>
      </c>
      <c r="B3948" s="116">
        <f t="shared" si="61"/>
        <v>104</v>
      </c>
    </row>
    <row r="3949" spans="1:2" x14ac:dyDescent="0.2">
      <c r="A3949" s="117">
        <v>38646</v>
      </c>
      <c r="B3949" s="116">
        <f t="shared" si="61"/>
        <v>104</v>
      </c>
    </row>
    <row r="3950" spans="1:2" x14ac:dyDescent="0.2">
      <c r="A3950" s="117">
        <v>38647</v>
      </c>
      <c r="B3950" s="116">
        <f t="shared" si="61"/>
        <v>104</v>
      </c>
    </row>
    <row r="3951" spans="1:2" x14ac:dyDescent="0.2">
      <c r="A3951" s="117">
        <v>38648</v>
      </c>
      <c r="B3951" s="116">
        <f t="shared" si="61"/>
        <v>105</v>
      </c>
    </row>
    <row r="3952" spans="1:2" x14ac:dyDescent="0.2">
      <c r="A3952" s="117">
        <v>38649</v>
      </c>
      <c r="B3952" s="116">
        <f t="shared" si="61"/>
        <v>105</v>
      </c>
    </row>
    <row r="3953" spans="1:2" x14ac:dyDescent="0.2">
      <c r="A3953" s="117">
        <v>38650</v>
      </c>
      <c r="B3953" s="116">
        <f t="shared" si="61"/>
        <v>105</v>
      </c>
    </row>
    <row r="3954" spans="1:2" x14ac:dyDescent="0.2">
      <c r="A3954" s="117">
        <v>38651</v>
      </c>
      <c r="B3954" s="116">
        <f t="shared" si="61"/>
        <v>105</v>
      </c>
    </row>
    <row r="3955" spans="1:2" x14ac:dyDescent="0.2">
      <c r="A3955" s="117">
        <v>38652</v>
      </c>
      <c r="B3955" s="116">
        <f t="shared" si="61"/>
        <v>105</v>
      </c>
    </row>
    <row r="3956" spans="1:2" x14ac:dyDescent="0.2">
      <c r="A3956" s="117">
        <v>38653</v>
      </c>
      <c r="B3956" s="116">
        <f t="shared" si="61"/>
        <v>105</v>
      </c>
    </row>
    <row r="3957" spans="1:2" x14ac:dyDescent="0.2">
      <c r="A3957" s="117">
        <v>38654</v>
      </c>
      <c r="B3957" s="116">
        <f t="shared" si="61"/>
        <v>105</v>
      </c>
    </row>
    <row r="3958" spans="1:2" x14ac:dyDescent="0.2">
      <c r="A3958" s="117">
        <v>38655</v>
      </c>
      <c r="B3958" s="116">
        <f t="shared" si="61"/>
        <v>111</v>
      </c>
    </row>
    <row r="3959" spans="1:2" x14ac:dyDescent="0.2">
      <c r="A3959" s="117">
        <v>38656</v>
      </c>
      <c r="B3959" s="116">
        <f t="shared" si="61"/>
        <v>111</v>
      </c>
    </row>
    <row r="3960" spans="1:2" x14ac:dyDescent="0.2">
      <c r="A3960" s="117">
        <v>38657</v>
      </c>
      <c r="B3960" s="116">
        <f t="shared" si="61"/>
        <v>111</v>
      </c>
    </row>
    <row r="3961" spans="1:2" x14ac:dyDescent="0.2">
      <c r="A3961" s="117">
        <v>38658</v>
      </c>
      <c r="B3961" s="116">
        <f t="shared" si="61"/>
        <v>111</v>
      </c>
    </row>
    <row r="3962" spans="1:2" x14ac:dyDescent="0.2">
      <c r="A3962" s="117">
        <v>38659</v>
      </c>
      <c r="B3962" s="116">
        <f t="shared" si="61"/>
        <v>111</v>
      </c>
    </row>
    <row r="3963" spans="1:2" x14ac:dyDescent="0.2">
      <c r="A3963" s="117">
        <v>38660</v>
      </c>
      <c r="B3963" s="116">
        <f t="shared" si="61"/>
        <v>111</v>
      </c>
    </row>
    <row r="3964" spans="1:2" x14ac:dyDescent="0.2">
      <c r="A3964" s="117">
        <v>38661</v>
      </c>
      <c r="B3964" s="116">
        <f t="shared" si="61"/>
        <v>111</v>
      </c>
    </row>
    <row r="3965" spans="1:2" x14ac:dyDescent="0.2">
      <c r="A3965" s="117">
        <v>38662</v>
      </c>
      <c r="B3965" s="116">
        <f t="shared" si="61"/>
        <v>112</v>
      </c>
    </row>
    <row r="3966" spans="1:2" x14ac:dyDescent="0.2">
      <c r="A3966" s="117">
        <v>38663</v>
      </c>
      <c r="B3966" s="116">
        <f t="shared" si="61"/>
        <v>112</v>
      </c>
    </row>
    <row r="3967" spans="1:2" x14ac:dyDescent="0.2">
      <c r="A3967" s="117">
        <v>38664</v>
      </c>
      <c r="B3967" s="116">
        <f t="shared" si="61"/>
        <v>112</v>
      </c>
    </row>
    <row r="3968" spans="1:2" x14ac:dyDescent="0.2">
      <c r="A3968" s="117">
        <v>38665</v>
      </c>
      <c r="B3968" s="116">
        <f t="shared" si="61"/>
        <v>112</v>
      </c>
    </row>
    <row r="3969" spans="1:2" x14ac:dyDescent="0.2">
      <c r="A3969" s="117">
        <v>38666</v>
      </c>
      <c r="B3969" s="116">
        <f t="shared" si="61"/>
        <v>112</v>
      </c>
    </row>
    <row r="3970" spans="1:2" x14ac:dyDescent="0.2">
      <c r="A3970" s="117">
        <v>38667</v>
      </c>
      <c r="B3970" s="116">
        <f t="shared" si="61"/>
        <v>112</v>
      </c>
    </row>
    <row r="3971" spans="1:2" x14ac:dyDescent="0.2">
      <c r="A3971" s="117">
        <v>38668</v>
      </c>
      <c r="B3971" s="116">
        <f t="shared" si="61"/>
        <v>112</v>
      </c>
    </row>
    <row r="3972" spans="1:2" x14ac:dyDescent="0.2">
      <c r="A3972" s="117">
        <v>38669</v>
      </c>
      <c r="B3972" s="116">
        <f t="shared" ref="B3972:B4035" si="62">VLOOKUP(WEEKNUM(A3972),$D$4:$E$59,2)</f>
        <v>113</v>
      </c>
    </row>
    <row r="3973" spans="1:2" x14ac:dyDescent="0.2">
      <c r="A3973" s="117">
        <v>38670</v>
      </c>
      <c r="B3973" s="116">
        <f t="shared" si="62"/>
        <v>113</v>
      </c>
    </row>
    <row r="3974" spans="1:2" x14ac:dyDescent="0.2">
      <c r="A3974" s="117">
        <v>38671</v>
      </c>
      <c r="B3974" s="116">
        <f t="shared" si="62"/>
        <v>113</v>
      </c>
    </row>
    <row r="3975" spans="1:2" x14ac:dyDescent="0.2">
      <c r="A3975" s="117">
        <v>38672</v>
      </c>
      <c r="B3975" s="116">
        <f t="shared" si="62"/>
        <v>113</v>
      </c>
    </row>
    <row r="3976" spans="1:2" x14ac:dyDescent="0.2">
      <c r="A3976" s="117">
        <v>38673</v>
      </c>
      <c r="B3976" s="116">
        <f t="shared" si="62"/>
        <v>113</v>
      </c>
    </row>
    <row r="3977" spans="1:2" x14ac:dyDescent="0.2">
      <c r="A3977" s="117">
        <v>38674</v>
      </c>
      <c r="B3977" s="116">
        <f t="shared" si="62"/>
        <v>113</v>
      </c>
    </row>
    <row r="3978" spans="1:2" x14ac:dyDescent="0.2">
      <c r="A3978" s="117">
        <v>38675</v>
      </c>
      <c r="B3978" s="116">
        <f t="shared" si="62"/>
        <v>113</v>
      </c>
    </row>
    <row r="3979" spans="1:2" x14ac:dyDescent="0.2">
      <c r="A3979" s="117">
        <v>38676</v>
      </c>
      <c r="B3979" s="116">
        <f t="shared" si="62"/>
        <v>114</v>
      </c>
    </row>
    <row r="3980" spans="1:2" x14ac:dyDescent="0.2">
      <c r="A3980" s="117">
        <v>38677</v>
      </c>
      <c r="B3980" s="116">
        <f t="shared" si="62"/>
        <v>114</v>
      </c>
    </row>
    <row r="3981" spans="1:2" x14ac:dyDescent="0.2">
      <c r="A3981" s="117">
        <v>38678</v>
      </c>
      <c r="B3981" s="116">
        <f t="shared" si="62"/>
        <v>114</v>
      </c>
    </row>
    <row r="3982" spans="1:2" x14ac:dyDescent="0.2">
      <c r="A3982" s="117">
        <v>38679</v>
      </c>
      <c r="B3982" s="116">
        <f t="shared" si="62"/>
        <v>114</v>
      </c>
    </row>
    <row r="3983" spans="1:2" x14ac:dyDescent="0.2">
      <c r="A3983" s="117">
        <v>38680</v>
      </c>
      <c r="B3983" s="116">
        <f t="shared" si="62"/>
        <v>114</v>
      </c>
    </row>
    <row r="3984" spans="1:2" x14ac:dyDescent="0.2">
      <c r="A3984" s="117">
        <v>38681</v>
      </c>
      <c r="B3984" s="116">
        <f t="shared" si="62"/>
        <v>114</v>
      </c>
    </row>
    <row r="3985" spans="1:2" x14ac:dyDescent="0.2">
      <c r="A3985" s="117">
        <v>38682</v>
      </c>
      <c r="B3985" s="116">
        <f t="shared" si="62"/>
        <v>114</v>
      </c>
    </row>
    <row r="3986" spans="1:2" x14ac:dyDescent="0.2">
      <c r="A3986" s="117">
        <v>38683</v>
      </c>
      <c r="B3986" s="116">
        <f t="shared" si="62"/>
        <v>115</v>
      </c>
    </row>
    <row r="3987" spans="1:2" x14ac:dyDescent="0.2">
      <c r="A3987" s="117">
        <v>38684</v>
      </c>
      <c r="B3987" s="116">
        <f t="shared" si="62"/>
        <v>115</v>
      </c>
    </row>
    <row r="3988" spans="1:2" x14ac:dyDescent="0.2">
      <c r="A3988" s="117">
        <v>38685</v>
      </c>
      <c r="B3988" s="116">
        <f t="shared" si="62"/>
        <v>115</v>
      </c>
    </row>
    <row r="3989" spans="1:2" x14ac:dyDescent="0.2">
      <c r="A3989" s="117">
        <v>38686</v>
      </c>
      <c r="B3989" s="116">
        <f t="shared" si="62"/>
        <v>115</v>
      </c>
    </row>
    <row r="3990" spans="1:2" x14ac:dyDescent="0.2">
      <c r="A3990" s="117">
        <v>38687</v>
      </c>
      <c r="B3990" s="116">
        <f t="shared" si="62"/>
        <v>115</v>
      </c>
    </row>
    <row r="3991" spans="1:2" x14ac:dyDescent="0.2">
      <c r="A3991" s="117">
        <v>38688</v>
      </c>
      <c r="B3991" s="116">
        <f t="shared" si="62"/>
        <v>115</v>
      </c>
    </row>
    <row r="3992" spans="1:2" x14ac:dyDescent="0.2">
      <c r="A3992" s="117">
        <v>38689</v>
      </c>
      <c r="B3992" s="116">
        <f t="shared" si="62"/>
        <v>115</v>
      </c>
    </row>
    <row r="3993" spans="1:2" x14ac:dyDescent="0.2">
      <c r="A3993" s="117">
        <v>38690</v>
      </c>
      <c r="B3993" s="116">
        <f t="shared" si="62"/>
        <v>121</v>
      </c>
    </row>
    <row r="3994" spans="1:2" x14ac:dyDescent="0.2">
      <c r="A3994" s="117">
        <v>38691</v>
      </c>
      <c r="B3994" s="116">
        <f t="shared" si="62"/>
        <v>121</v>
      </c>
    </row>
    <row r="3995" spans="1:2" x14ac:dyDescent="0.2">
      <c r="A3995" s="117">
        <v>38692</v>
      </c>
      <c r="B3995" s="116">
        <f t="shared" si="62"/>
        <v>121</v>
      </c>
    </row>
    <row r="3996" spans="1:2" x14ac:dyDescent="0.2">
      <c r="A3996" s="117">
        <v>38693</v>
      </c>
      <c r="B3996" s="116">
        <f t="shared" si="62"/>
        <v>121</v>
      </c>
    </row>
    <row r="3997" spans="1:2" x14ac:dyDescent="0.2">
      <c r="A3997" s="117">
        <v>38694</v>
      </c>
      <c r="B3997" s="116">
        <f t="shared" si="62"/>
        <v>121</v>
      </c>
    </row>
    <row r="3998" spans="1:2" x14ac:dyDescent="0.2">
      <c r="A3998" s="117">
        <v>38695</v>
      </c>
      <c r="B3998" s="116">
        <f t="shared" si="62"/>
        <v>121</v>
      </c>
    </row>
    <row r="3999" spans="1:2" x14ac:dyDescent="0.2">
      <c r="A3999" s="117">
        <v>38696</v>
      </c>
      <c r="B3999" s="116">
        <f t="shared" si="62"/>
        <v>121</v>
      </c>
    </row>
    <row r="4000" spans="1:2" x14ac:dyDescent="0.2">
      <c r="A4000" s="117">
        <v>38697</v>
      </c>
      <c r="B4000" s="116">
        <f t="shared" si="62"/>
        <v>122</v>
      </c>
    </row>
    <row r="4001" spans="1:2" x14ac:dyDescent="0.2">
      <c r="A4001" s="117">
        <v>38698</v>
      </c>
      <c r="B4001" s="116">
        <f t="shared" si="62"/>
        <v>122</v>
      </c>
    </row>
    <row r="4002" spans="1:2" x14ac:dyDescent="0.2">
      <c r="A4002" s="117">
        <v>38699</v>
      </c>
      <c r="B4002" s="116">
        <f t="shared" si="62"/>
        <v>122</v>
      </c>
    </row>
    <row r="4003" spans="1:2" x14ac:dyDescent="0.2">
      <c r="A4003" s="117">
        <v>38700</v>
      </c>
      <c r="B4003" s="116">
        <f t="shared" si="62"/>
        <v>122</v>
      </c>
    </row>
    <row r="4004" spans="1:2" x14ac:dyDescent="0.2">
      <c r="A4004" s="117">
        <v>38701</v>
      </c>
      <c r="B4004" s="116">
        <f t="shared" si="62"/>
        <v>122</v>
      </c>
    </row>
    <row r="4005" spans="1:2" x14ac:dyDescent="0.2">
      <c r="A4005" s="117">
        <v>38702</v>
      </c>
      <c r="B4005" s="116">
        <f t="shared" si="62"/>
        <v>122</v>
      </c>
    </row>
    <row r="4006" spans="1:2" x14ac:dyDescent="0.2">
      <c r="A4006" s="117">
        <v>38703</v>
      </c>
      <c r="B4006" s="116">
        <f t="shared" si="62"/>
        <v>122</v>
      </c>
    </row>
    <row r="4007" spans="1:2" x14ac:dyDescent="0.2">
      <c r="A4007" s="117">
        <v>38704</v>
      </c>
      <c r="B4007" s="116">
        <f t="shared" si="62"/>
        <v>123</v>
      </c>
    </row>
    <row r="4008" spans="1:2" x14ac:dyDescent="0.2">
      <c r="A4008" s="117">
        <v>38705</v>
      </c>
      <c r="B4008" s="116">
        <f t="shared" si="62"/>
        <v>123</v>
      </c>
    </row>
    <row r="4009" spans="1:2" x14ac:dyDescent="0.2">
      <c r="A4009" s="117">
        <v>38706</v>
      </c>
      <c r="B4009" s="116">
        <f t="shared" si="62"/>
        <v>123</v>
      </c>
    </row>
    <row r="4010" spans="1:2" x14ac:dyDescent="0.2">
      <c r="A4010" s="117">
        <v>38707</v>
      </c>
      <c r="B4010" s="116">
        <f t="shared" si="62"/>
        <v>123</v>
      </c>
    </row>
    <row r="4011" spans="1:2" x14ac:dyDescent="0.2">
      <c r="A4011" s="117">
        <v>38708</v>
      </c>
      <c r="B4011" s="116">
        <f t="shared" si="62"/>
        <v>123</v>
      </c>
    </row>
    <row r="4012" spans="1:2" x14ac:dyDescent="0.2">
      <c r="A4012" s="117">
        <v>38709</v>
      </c>
      <c r="B4012" s="116">
        <f t="shared" si="62"/>
        <v>123</v>
      </c>
    </row>
    <row r="4013" spans="1:2" x14ac:dyDescent="0.2">
      <c r="A4013" s="117">
        <v>38710</v>
      </c>
      <c r="B4013" s="116">
        <f t="shared" si="62"/>
        <v>123</v>
      </c>
    </row>
    <row r="4014" spans="1:2" x14ac:dyDescent="0.2">
      <c r="A4014" s="117">
        <v>38711</v>
      </c>
      <c r="B4014" s="116">
        <f t="shared" si="62"/>
        <v>124</v>
      </c>
    </row>
    <row r="4015" spans="1:2" x14ac:dyDescent="0.2">
      <c r="A4015" s="117">
        <v>38712</v>
      </c>
      <c r="B4015" s="116">
        <f t="shared" si="62"/>
        <v>124</v>
      </c>
    </row>
    <row r="4016" spans="1:2" x14ac:dyDescent="0.2">
      <c r="A4016" s="117">
        <v>38713</v>
      </c>
      <c r="B4016" s="116">
        <f t="shared" si="62"/>
        <v>124</v>
      </c>
    </row>
    <row r="4017" spans="1:2" x14ac:dyDescent="0.2">
      <c r="A4017" s="117">
        <v>38714</v>
      </c>
      <c r="B4017" s="116">
        <f t="shared" si="62"/>
        <v>124</v>
      </c>
    </row>
    <row r="4018" spans="1:2" x14ac:dyDescent="0.2">
      <c r="A4018" s="117">
        <v>38715</v>
      </c>
      <c r="B4018" s="116">
        <f t="shared" si="62"/>
        <v>124</v>
      </c>
    </row>
    <row r="4019" spans="1:2" x14ac:dyDescent="0.2">
      <c r="A4019" s="117">
        <v>38716</v>
      </c>
      <c r="B4019" s="116">
        <f t="shared" si="62"/>
        <v>124</v>
      </c>
    </row>
    <row r="4020" spans="1:2" x14ac:dyDescent="0.2">
      <c r="A4020" s="117">
        <v>38717</v>
      </c>
      <c r="B4020" s="116">
        <f t="shared" si="62"/>
        <v>124</v>
      </c>
    </row>
    <row r="4021" spans="1:2" x14ac:dyDescent="0.2">
      <c r="A4021" s="117">
        <v>38718</v>
      </c>
      <c r="B4021" s="116">
        <f t="shared" si="62"/>
        <v>11</v>
      </c>
    </row>
    <row r="4022" spans="1:2" x14ac:dyDescent="0.2">
      <c r="A4022" s="117">
        <v>38719</v>
      </c>
      <c r="B4022" s="116">
        <f t="shared" si="62"/>
        <v>11</v>
      </c>
    </row>
    <row r="4023" spans="1:2" x14ac:dyDescent="0.2">
      <c r="A4023" s="117">
        <v>38720</v>
      </c>
      <c r="B4023" s="116">
        <f t="shared" si="62"/>
        <v>11</v>
      </c>
    </row>
    <row r="4024" spans="1:2" x14ac:dyDescent="0.2">
      <c r="A4024" s="117">
        <v>38721</v>
      </c>
      <c r="B4024" s="116">
        <f t="shared" si="62"/>
        <v>11</v>
      </c>
    </row>
    <row r="4025" spans="1:2" x14ac:dyDescent="0.2">
      <c r="A4025" s="117">
        <v>38722</v>
      </c>
      <c r="B4025" s="116">
        <f t="shared" si="62"/>
        <v>11</v>
      </c>
    </row>
    <row r="4026" spans="1:2" x14ac:dyDescent="0.2">
      <c r="A4026" s="117">
        <v>38723</v>
      </c>
      <c r="B4026" s="116">
        <f t="shared" si="62"/>
        <v>11</v>
      </c>
    </row>
    <row r="4027" spans="1:2" x14ac:dyDescent="0.2">
      <c r="A4027" s="117">
        <v>38724</v>
      </c>
      <c r="B4027" s="116">
        <f t="shared" si="62"/>
        <v>11</v>
      </c>
    </row>
    <row r="4028" spans="1:2" x14ac:dyDescent="0.2">
      <c r="A4028" s="117">
        <v>38725</v>
      </c>
      <c r="B4028" s="116">
        <f t="shared" si="62"/>
        <v>12</v>
      </c>
    </row>
    <row r="4029" spans="1:2" x14ac:dyDescent="0.2">
      <c r="A4029" s="117">
        <v>38726</v>
      </c>
      <c r="B4029" s="116">
        <f t="shared" si="62"/>
        <v>12</v>
      </c>
    </row>
    <row r="4030" spans="1:2" x14ac:dyDescent="0.2">
      <c r="A4030" s="117">
        <v>38727</v>
      </c>
      <c r="B4030" s="116">
        <f t="shared" si="62"/>
        <v>12</v>
      </c>
    </row>
    <row r="4031" spans="1:2" x14ac:dyDescent="0.2">
      <c r="A4031" s="117">
        <v>38728</v>
      </c>
      <c r="B4031" s="116">
        <f t="shared" si="62"/>
        <v>12</v>
      </c>
    </row>
    <row r="4032" spans="1:2" x14ac:dyDescent="0.2">
      <c r="A4032" s="117">
        <v>38729</v>
      </c>
      <c r="B4032" s="116">
        <f t="shared" si="62"/>
        <v>12</v>
      </c>
    </row>
    <row r="4033" spans="1:2" x14ac:dyDescent="0.2">
      <c r="A4033" s="117">
        <v>38730</v>
      </c>
      <c r="B4033" s="116">
        <f t="shared" si="62"/>
        <v>12</v>
      </c>
    </row>
    <row r="4034" spans="1:2" x14ac:dyDescent="0.2">
      <c r="A4034" s="117">
        <v>38731</v>
      </c>
      <c r="B4034" s="116">
        <f t="shared" si="62"/>
        <v>12</v>
      </c>
    </row>
    <row r="4035" spans="1:2" x14ac:dyDescent="0.2">
      <c r="A4035" s="117">
        <v>38732</v>
      </c>
      <c r="B4035" s="116">
        <f t="shared" si="62"/>
        <v>13</v>
      </c>
    </row>
    <row r="4036" spans="1:2" x14ac:dyDescent="0.2">
      <c r="A4036" s="117">
        <v>38733</v>
      </c>
      <c r="B4036" s="116">
        <f t="shared" ref="B4036:B4099" si="63">VLOOKUP(WEEKNUM(A4036),$D$4:$E$59,2)</f>
        <v>13</v>
      </c>
    </row>
    <row r="4037" spans="1:2" x14ac:dyDescent="0.2">
      <c r="A4037" s="117">
        <v>38734</v>
      </c>
      <c r="B4037" s="116">
        <f t="shared" si="63"/>
        <v>13</v>
      </c>
    </row>
    <row r="4038" spans="1:2" x14ac:dyDescent="0.2">
      <c r="A4038" s="117">
        <v>38735</v>
      </c>
      <c r="B4038" s="116">
        <f t="shared" si="63"/>
        <v>13</v>
      </c>
    </row>
    <row r="4039" spans="1:2" x14ac:dyDescent="0.2">
      <c r="A4039" s="117">
        <v>38736</v>
      </c>
      <c r="B4039" s="116">
        <f t="shared" si="63"/>
        <v>13</v>
      </c>
    </row>
    <row r="4040" spans="1:2" x14ac:dyDescent="0.2">
      <c r="A4040" s="117">
        <v>38737</v>
      </c>
      <c r="B4040" s="116">
        <f t="shared" si="63"/>
        <v>13</v>
      </c>
    </row>
    <row r="4041" spans="1:2" x14ac:dyDescent="0.2">
      <c r="A4041" s="117">
        <v>38738</v>
      </c>
      <c r="B4041" s="116">
        <f t="shared" si="63"/>
        <v>13</v>
      </c>
    </row>
    <row r="4042" spans="1:2" x14ac:dyDescent="0.2">
      <c r="A4042" s="117">
        <v>38739</v>
      </c>
      <c r="B4042" s="116">
        <f t="shared" si="63"/>
        <v>14</v>
      </c>
    </row>
    <row r="4043" spans="1:2" x14ac:dyDescent="0.2">
      <c r="A4043" s="117">
        <v>38740</v>
      </c>
      <c r="B4043" s="116">
        <f t="shared" si="63"/>
        <v>14</v>
      </c>
    </row>
    <row r="4044" spans="1:2" x14ac:dyDescent="0.2">
      <c r="A4044" s="117">
        <v>38741</v>
      </c>
      <c r="B4044" s="116">
        <f t="shared" si="63"/>
        <v>14</v>
      </c>
    </row>
    <row r="4045" spans="1:2" x14ac:dyDescent="0.2">
      <c r="A4045" s="117">
        <v>38742</v>
      </c>
      <c r="B4045" s="116">
        <f t="shared" si="63"/>
        <v>14</v>
      </c>
    </row>
    <row r="4046" spans="1:2" x14ac:dyDescent="0.2">
      <c r="A4046" s="117">
        <v>38743</v>
      </c>
      <c r="B4046" s="116">
        <f t="shared" si="63"/>
        <v>14</v>
      </c>
    </row>
    <row r="4047" spans="1:2" x14ac:dyDescent="0.2">
      <c r="A4047" s="117">
        <v>38744</v>
      </c>
      <c r="B4047" s="116">
        <f t="shared" si="63"/>
        <v>14</v>
      </c>
    </row>
    <row r="4048" spans="1:2" x14ac:dyDescent="0.2">
      <c r="A4048" s="117">
        <v>38745</v>
      </c>
      <c r="B4048" s="116">
        <f t="shared" si="63"/>
        <v>14</v>
      </c>
    </row>
    <row r="4049" spans="1:2" x14ac:dyDescent="0.2">
      <c r="A4049" s="117">
        <v>38746</v>
      </c>
      <c r="B4049" s="116">
        <f t="shared" si="63"/>
        <v>15</v>
      </c>
    </row>
    <row r="4050" spans="1:2" x14ac:dyDescent="0.2">
      <c r="A4050" s="117">
        <v>38747</v>
      </c>
      <c r="B4050" s="116">
        <f t="shared" si="63"/>
        <v>15</v>
      </c>
    </row>
    <row r="4051" spans="1:2" x14ac:dyDescent="0.2">
      <c r="A4051" s="117">
        <v>38748</v>
      </c>
      <c r="B4051" s="116">
        <f t="shared" si="63"/>
        <v>15</v>
      </c>
    </row>
    <row r="4052" spans="1:2" x14ac:dyDescent="0.2">
      <c r="A4052" s="117">
        <v>38749</v>
      </c>
      <c r="B4052" s="116">
        <f t="shared" si="63"/>
        <v>15</v>
      </c>
    </row>
    <row r="4053" spans="1:2" x14ac:dyDescent="0.2">
      <c r="A4053" s="117">
        <v>38750</v>
      </c>
      <c r="B4053" s="116">
        <f t="shared" si="63"/>
        <v>15</v>
      </c>
    </row>
    <row r="4054" spans="1:2" x14ac:dyDescent="0.2">
      <c r="A4054" s="117">
        <v>38751</v>
      </c>
      <c r="B4054" s="116">
        <f t="shared" si="63"/>
        <v>15</v>
      </c>
    </row>
    <row r="4055" spans="1:2" x14ac:dyDescent="0.2">
      <c r="A4055" s="117">
        <v>38752</v>
      </c>
      <c r="B4055" s="116">
        <f t="shared" si="63"/>
        <v>15</v>
      </c>
    </row>
    <row r="4056" spans="1:2" x14ac:dyDescent="0.2">
      <c r="A4056" s="117">
        <v>38753</v>
      </c>
      <c r="B4056" s="116">
        <f t="shared" si="63"/>
        <v>21</v>
      </c>
    </row>
    <row r="4057" spans="1:2" x14ac:dyDescent="0.2">
      <c r="A4057" s="117">
        <v>38754</v>
      </c>
      <c r="B4057" s="116">
        <f t="shared" si="63"/>
        <v>21</v>
      </c>
    </row>
    <row r="4058" spans="1:2" x14ac:dyDescent="0.2">
      <c r="A4058" s="117">
        <v>38755</v>
      </c>
      <c r="B4058" s="116">
        <f t="shared" si="63"/>
        <v>21</v>
      </c>
    </row>
    <row r="4059" spans="1:2" x14ac:dyDescent="0.2">
      <c r="A4059" s="117">
        <v>38756</v>
      </c>
      <c r="B4059" s="116">
        <f t="shared" si="63"/>
        <v>21</v>
      </c>
    </row>
    <row r="4060" spans="1:2" x14ac:dyDescent="0.2">
      <c r="A4060" s="117">
        <v>38757</v>
      </c>
      <c r="B4060" s="116">
        <f t="shared" si="63"/>
        <v>21</v>
      </c>
    </row>
    <row r="4061" spans="1:2" x14ac:dyDescent="0.2">
      <c r="A4061" s="117">
        <v>38758</v>
      </c>
      <c r="B4061" s="116">
        <f t="shared" si="63"/>
        <v>21</v>
      </c>
    </row>
    <row r="4062" spans="1:2" x14ac:dyDescent="0.2">
      <c r="A4062" s="117">
        <v>38759</v>
      </c>
      <c r="B4062" s="116">
        <f t="shared" si="63"/>
        <v>21</v>
      </c>
    </row>
    <row r="4063" spans="1:2" x14ac:dyDescent="0.2">
      <c r="A4063" s="117">
        <v>38760</v>
      </c>
      <c r="B4063" s="116">
        <f t="shared" si="63"/>
        <v>22</v>
      </c>
    </row>
    <row r="4064" spans="1:2" x14ac:dyDescent="0.2">
      <c r="A4064" s="117">
        <v>38761</v>
      </c>
      <c r="B4064" s="116">
        <f t="shared" si="63"/>
        <v>22</v>
      </c>
    </row>
    <row r="4065" spans="1:2" x14ac:dyDescent="0.2">
      <c r="A4065" s="117">
        <v>38762</v>
      </c>
      <c r="B4065" s="116">
        <f t="shared" si="63"/>
        <v>22</v>
      </c>
    </row>
    <row r="4066" spans="1:2" x14ac:dyDescent="0.2">
      <c r="A4066" s="117">
        <v>38763</v>
      </c>
      <c r="B4066" s="116">
        <f t="shared" si="63"/>
        <v>22</v>
      </c>
    </row>
    <row r="4067" spans="1:2" x14ac:dyDescent="0.2">
      <c r="A4067" s="117">
        <v>38764</v>
      </c>
      <c r="B4067" s="116">
        <f t="shared" si="63"/>
        <v>22</v>
      </c>
    </row>
    <row r="4068" spans="1:2" x14ac:dyDescent="0.2">
      <c r="A4068" s="117">
        <v>38765</v>
      </c>
      <c r="B4068" s="116">
        <f t="shared" si="63"/>
        <v>22</v>
      </c>
    </row>
    <row r="4069" spans="1:2" x14ac:dyDescent="0.2">
      <c r="A4069" s="117">
        <v>38766</v>
      </c>
      <c r="B4069" s="116">
        <f t="shared" si="63"/>
        <v>22</v>
      </c>
    </row>
    <row r="4070" spans="1:2" x14ac:dyDescent="0.2">
      <c r="A4070" s="117">
        <v>38767</v>
      </c>
      <c r="B4070" s="116">
        <f t="shared" si="63"/>
        <v>23</v>
      </c>
    </row>
    <row r="4071" spans="1:2" x14ac:dyDescent="0.2">
      <c r="A4071" s="117">
        <v>38768</v>
      </c>
      <c r="B4071" s="116">
        <f t="shared" si="63"/>
        <v>23</v>
      </c>
    </row>
    <row r="4072" spans="1:2" x14ac:dyDescent="0.2">
      <c r="A4072" s="117">
        <v>38769</v>
      </c>
      <c r="B4072" s="116">
        <f t="shared" si="63"/>
        <v>23</v>
      </c>
    </row>
    <row r="4073" spans="1:2" x14ac:dyDescent="0.2">
      <c r="A4073" s="117">
        <v>38770</v>
      </c>
      <c r="B4073" s="116">
        <f t="shared" si="63"/>
        <v>23</v>
      </c>
    </row>
    <row r="4074" spans="1:2" x14ac:dyDescent="0.2">
      <c r="A4074" s="117">
        <v>38771</v>
      </c>
      <c r="B4074" s="116">
        <f t="shared" si="63"/>
        <v>23</v>
      </c>
    </row>
    <row r="4075" spans="1:2" x14ac:dyDescent="0.2">
      <c r="A4075" s="117">
        <v>38772</v>
      </c>
      <c r="B4075" s="116">
        <f t="shared" si="63"/>
        <v>23</v>
      </c>
    </row>
    <row r="4076" spans="1:2" x14ac:dyDescent="0.2">
      <c r="A4076" s="117">
        <v>38773</v>
      </c>
      <c r="B4076" s="116">
        <f t="shared" si="63"/>
        <v>23</v>
      </c>
    </row>
    <row r="4077" spans="1:2" x14ac:dyDescent="0.2">
      <c r="A4077" s="117">
        <v>38774</v>
      </c>
      <c r="B4077" s="116">
        <f t="shared" si="63"/>
        <v>24</v>
      </c>
    </row>
    <row r="4078" spans="1:2" x14ac:dyDescent="0.2">
      <c r="A4078" s="117">
        <v>38775</v>
      </c>
      <c r="B4078" s="116">
        <f t="shared" si="63"/>
        <v>24</v>
      </c>
    </row>
    <row r="4079" spans="1:2" x14ac:dyDescent="0.2">
      <c r="A4079" s="117">
        <v>38776</v>
      </c>
      <c r="B4079" s="116">
        <f t="shared" si="63"/>
        <v>24</v>
      </c>
    </row>
    <row r="4080" spans="1:2" x14ac:dyDescent="0.2">
      <c r="A4080" s="117">
        <v>38777</v>
      </c>
      <c r="B4080" s="116">
        <f t="shared" si="63"/>
        <v>24</v>
      </c>
    </row>
    <row r="4081" spans="1:2" x14ac:dyDescent="0.2">
      <c r="A4081" s="117">
        <v>38778</v>
      </c>
      <c r="B4081" s="116">
        <f t="shared" si="63"/>
        <v>24</v>
      </c>
    </row>
    <row r="4082" spans="1:2" x14ac:dyDescent="0.2">
      <c r="A4082" s="117">
        <v>38779</v>
      </c>
      <c r="B4082" s="116">
        <f t="shared" si="63"/>
        <v>24</v>
      </c>
    </row>
    <row r="4083" spans="1:2" x14ac:dyDescent="0.2">
      <c r="A4083" s="117">
        <v>38780</v>
      </c>
      <c r="B4083" s="116">
        <f t="shared" si="63"/>
        <v>24</v>
      </c>
    </row>
    <row r="4084" spans="1:2" x14ac:dyDescent="0.2">
      <c r="A4084" s="117">
        <v>38781</v>
      </c>
      <c r="B4084" s="116">
        <f t="shared" si="63"/>
        <v>31</v>
      </c>
    </row>
    <row r="4085" spans="1:2" x14ac:dyDescent="0.2">
      <c r="A4085" s="117">
        <v>38782</v>
      </c>
      <c r="B4085" s="116">
        <f t="shared" si="63"/>
        <v>31</v>
      </c>
    </row>
    <row r="4086" spans="1:2" x14ac:dyDescent="0.2">
      <c r="A4086" s="117">
        <v>38783</v>
      </c>
      <c r="B4086" s="116">
        <f t="shared" si="63"/>
        <v>31</v>
      </c>
    </row>
    <row r="4087" spans="1:2" x14ac:dyDescent="0.2">
      <c r="A4087" s="117">
        <v>38784</v>
      </c>
      <c r="B4087" s="116">
        <f t="shared" si="63"/>
        <v>31</v>
      </c>
    </row>
    <row r="4088" spans="1:2" x14ac:dyDescent="0.2">
      <c r="A4088" s="117">
        <v>38785</v>
      </c>
      <c r="B4088" s="116">
        <f t="shared" si="63"/>
        <v>31</v>
      </c>
    </row>
    <row r="4089" spans="1:2" x14ac:dyDescent="0.2">
      <c r="A4089" s="117">
        <v>38786</v>
      </c>
      <c r="B4089" s="116">
        <f t="shared" si="63"/>
        <v>31</v>
      </c>
    </row>
    <row r="4090" spans="1:2" x14ac:dyDescent="0.2">
      <c r="A4090" s="117">
        <v>38787</v>
      </c>
      <c r="B4090" s="116">
        <f t="shared" si="63"/>
        <v>31</v>
      </c>
    </row>
    <row r="4091" spans="1:2" x14ac:dyDescent="0.2">
      <c r="A4091" s="117">
        <v>38788</v>
      </c>
      <c r="B4091" s="116">
        <f t="shared" si="63"/>
        <v>32</v>
      </c>
    </row>
    <row r="4092" spans="1:2" x14ac:dyDescent="0.2">
      <c r="A4092" s="117">
        <v>38789</v>
      </c>
      <c r="B4092" s="116">
        <f t="shared" si="63"/>
        <v>32</v>
      </c>
    </row>
    <row r="4093" spans="1:2" x14ac:dyDescent="0.2">
      <c r="A4093" s="117">
        <v>38790</v>
      </c>
      <c r="B4093" s="116">
        <f t="shared" si="63"/>
        <v>32</v>
      </c>
    </row>
    <row r="4094" spans="1:2" x14ac:dyDescent="0.2">
      <c r="A4094" s="117">
        <v>38791</v>
      </c>
      <c r="B4094" s="116">
        <f t="shared" si="63"/>
        <v>32</v>
      </c>
    </row>
    <row r="4095" spans="1:2" x14ac:dyDescent="0.2">
      <c r="A4095" s="117">
        <v>38792</v>
      </c>
      <c r="B4095" s="116">
        <f t="shared" si="63"/>
        <v>32</v>
      </c>
    </row>
    <row r="4096" spans="1:2" x14ac:dyDescent="0.2">
      <c r="A4096" s="117">
        <v>38793</v>
      </c>
      <c r="B4096" s="116">
        <f t="shared" si="63"/>
        <v>32</v>
      </c>
    </row>
    <row r="4097" spans="1:2" x14ac:dyDescent="0.2">
      <c r="A4097" s="117">
        <v>38794</v>
      </c>
      <c r="B4097" s="116">
        <f t="shared" si="63"/>
        <v>32</v>
      </c>
    </row>
    <row r="4098" spans="1:2" x14ac:dyDescent="0.2">
      <c r="A4098" s="117">
        <v>38795</v>
      </c>
      <c r="B4098" s="116">
        <f t="shared" si="63"/>
        <v>33</v>
      </c>
    </row>
    <row r="4099" spans="1:2" x14ac:dyDescent="0.2">
      <c r="A4099" s="117">
        <v>38796</v>
      </c>
      <c r="B4099" s="116">
        <f t="shared" si="63"/>
        <v>33</v>
      </c>
    </row>
    <row r="4100" spans="1:2" x14ac:dyDescent="0.2">
      <c r="A4100" s="117">
        <v>38797</v>
      </c>
      <c r="B4100" s="116">
        <f t="shared" ref="B4100:B4163" si="64">VLOOKUP(WEEKNUM(A4100),$D$4:$E$59,2)</f>
        <v>33</v>
      </c>
    </row>
    <row r="4101" spans="1:2" x14ac:dyDescent="0.2">
      <c r="A4101" s="117">
        <v>38798</v>
      </c>
      <c r="B4101" s="116">
        <f t="shared" si="64"/>
        <v>33</v>
      </c>
    </row>
    <row r="4102" spans="1:2" x14ac:dyDescent="0.2">
      <c r="A4102" s="117">
        <v>38799</v>
      </c>
      <c r="B4102" s="116">
        <f t="shared" si="64"/>
        <v>33</v>
      </c>
    </row>
    <row r="4103" spans="1:2" x14ac:dyDescent="0.2">
      <c r="A4103" s="117">
        <v>38800</v>
      </c>
      <c r="B4103" s="116">
        <f t="shared" si="64"/>
        <v>33</v>
      </c>
    </row>
    <row r="4104" spans="1:2" x14ac:dyDescent="0.2">
      <c r="A4104" s="117">
        <v>38801</v>
      </c>
      <c r="B4104" s="116">
        <f t="shared" si="64"/>
        <v>33</v>
      </c>
    </row>
    <row r="4105" spans="1:2" x14ac:dyDescent="0.2">
      <c r="A4105" s="117">
        <v>38802</v>
      </c>
      <c r="B4105" s="116">
        <f t="shared" si="64"/>
        <v>34</v>
      </c>
    </row>
    <row r="4106" spans="1:2" x14ac:dyDescent="0.2">
      <c r="A4106" s="117">
        <v>38803</v>
      </c>
      <c r="B4106" s="116">
        <f t="shared" si="64"/>
        <v>34</v>
      </c>
    </row>
    <row r="4107" spans="1:2" x14ac:dyDescent="0.2">
      <c r="A4107" s="117">
        <v>38804</v>
      </c>
      <c r="B4107" s="116">
        <f t="shared" si="64"/>
        <v>34</v>
      </c>
    </row>
    <row r="4108" spans="1:2" x14ac:dyDescent="0.2">
      <c r="A4108" s="117">
        <v>38805</v>
      </c>
      <c r="B4108" s="116">
        <f t="shared" si="64"/>
        <v>34</v>
      </c>
    </row>
    <row r="4109" spans="1:2" x14ac:dyDescent="0.2">
      <c r="A4109" s="117">
        <v>38806</v>
      </c>
      <c r="B4109" s="116">
        <f t="shared" si="64"/>
        <v>34</v>
      </c>
    </row>
    <row r="4110" spans="1:2" x14ac:dyDescent="0.2">
      <c r="A4110" s="117">
        <v>38807</v>
      </c>
      <c r="B4110" s="116">
        <f t="shared" si="64"/>
        <v>34</v>
      </c>
    </row>
    <row r="4111" spans="1:2" x14ac:dyDescent="0.2">
      <c r="A4111" s="117">
        <v>38808</v>
      </c>
      <c r="B4111" s="116">
        <f t="shared" si="64"/>
        <v>34</v>
      </c>
    </row>
    <row r="4112" spans="1:2" x14ac:dyDescent="0.2">
      <c r="A4112" s="117">
        <v>38809</v>
      </c>
      <c r="B4112" s="116">
        <f t="shared" si="64"/>
        <v>41</v>
      </c>
    </row>
    <row r="4113" spans="1:2" x14ac:dyDescent="0.2">
      <c r="A4113" s="117">
        <v>38810</v>
      </c>
      <c r="B4113" s="116">
        <f t="shared" si="64"/>
        <v>41</v>
      </c>
    </row>
    <row r="4114" spans="1:2" x14ac:dyDescent="0.2">
      <c r="A4114" s="117">
        <v>38811</v>
      </c>
      <c r="B4114" s="116">
        <f t="shared" si="64"/>
        <v>41</v>
      </c>
    </row>
    <row r="4115" spans="1:2" x14ac:dyDescent="0.2">
      <c r="A4115" s="117">
        <v>38812</v>
      </c>
      <c r="B4115" s="116">
        <f t="shared" si="64"/>
        <v>41</v>
      </c>
    </row>
    <row r="4116" spans="1:2" x14ac:dyDescent="0.2">
      <c r="A4116" s="117">
        <v>38813</v>
      </c>
      <c r="B4116" s="116">
        <f t="shared" si="64"/>
        <v>41</v>
      </c>
    </row>
    <row r="4117" spans="1:2" x14ac:dyDescent="0.2">
      <c r="A4117" s="117">
        <v>38814</v>
      </c>
      <c r="B4117" s="116">
        <f t="shared" si="64"/>
        <v>41</v>
      </c>
    </row>
    <row r="4118" spans="1:2" x14ac:dyDescent="0.2">
      <c r="A4118" s="117">
        <v>38815</v>
      </c>
      <c r="B4118" s="116">
        <f t="shared" si="64"/>
        <v>41</v>
      </c>
    </row>
    <row r="4119" spans="1:2" x14ac:dyDescent="0.2">
      <c r="A4119" s="117">
        <v>38816</v>
      </c>
      <c r="B4119" s="116">
        <f t="shared" si="64"/>
        <v>42</v>
      </c>
    </row>
    <row r="4120" spans="1:2" x14ac:dyDescent="0.2">
      <c r="A4120" s="117">
        <v>38817</v>
      </c>
      <c r="B4120" s="116">
        <f t="shared" si="64"/>
        <v>42</v>
      </c>
    </row>
    <row r="4121" spans="1:2" x14ac:dyDescent="0.2">
      <c r="A4121" s="117">
        <v>38818</v>
      </c>
      <c r="B4121" s="116">
        <f t="shared" si="64"/>
        <v>42</v>
      </c>
    </row>
    <row r="4122" spans="1:2" x14ac:dyDescent="0.2">
      <c r="A4122" s="117">
        <v>38819</v>
      </c>
      <c r="B4122" s="116">
        <f t="shared" si="64"/>
        <v>42</v>
      </c>
    </row>
    <row r="4123" spans="1:2" x14ac:dyDescent="0.2">
      <c r="A4123" s="117">
        <v>38820</v>
      </c>
      <c r="B4123" s="116">
        <f t="shared" si="64"/>
        <v>42</v>
      </c>
    </row>
    <row r="4124" spans="1:2" x14ac:dyDescent="0.2">
      <c r="A4124" s="117">
        <v>38821</v>
      </c>
      <c r="B4124" s="116">
        <f t="shared" si="64"/>
        <v>42</v>
      </c>
    </row>
    <row r="4125" spans="1:2" x14ac:dyDescent="0.2">
      <c r="A4125" s="117">
        <v>38822</v>
      </c>
      <c r="B4125" s="116">
        <f t="shared" si="64"/>
        <v>42</v>
      </c>
    </row>
    <row r="4126" spans="1:2" x14ac:dyDescent="0.2">
      <c r="A4126" s="117">
        <v>38823</v>
      </c>
      <c r="B4126" s="116">
        <f t="shared" si="64"/>
        <v>43</v>
      </c>
    </row>
    <row r="4127" spans="1:2" x14ac:dyDescent="0.2">
      <c r="A4127" s="117">
        <v>38824</v>
      </c>
      <c r="B4127" s="116">
        <f t="shared" si="64"/>
        <v>43</v>
      </c>
    </row>
    <row r="4128" spans="1:2" x14ac:dyDescent="0.2">
      <c r="A4128" s="117">
        <v>38825</v>
      </c>
      <c r="B4128" s="116">
        <f t="shared" si="64"/>
        <v>43</v>
      </c>
    </row>
    <row r="4129" spans="1:2" x14ac:dyDescent="0.2">
      <c r="A4129" s="117">
        <v>38826</v>
      </c>
      <c r="B4129" s="116">
        <f t="shared" si="64"/>
        <v>43</v>
      </c>
    </row>
    <row r="4130" spans="1:2" x14ac:dyDescent="0.2">
      <c r="A4130" s="117">
        <v>38827</v>
      </c>
      <c r="B4130" s="116">
        <f t="shared" si="64"/>
        <v>43</v>
      </c>
    </row>
    <row r="4131" spans="1:2" x14ac:dyDescent="0.2">
      <c r="A4131" s="117">
        <v>38828</v>
      </c>
      <c r="B4131" s="116">
        <f t="shared" si="64"/>
        <v>43</v>
      </c>
    </row>
    <row r="4132" spans="1:2" x14ac:dyDescent="0.2">
      <c r="A4132" s="117">
        <v>38829</v>
      </c>
      <c r="B4132" s="116">
        <f t="shared" si="64"/>
        <v>43</v>
      </c>
    </row>
    <row r="4133" spans="1:2" x14ac:dyDescent="0.2">
      <c r="A4133" s="117">
        <v>38830</v>
      </c>
      <c r="B4133" s="116">
        <f t="shared" si="64"/>
        <v>44</v>
      </c>
    </row>
    <row r="4134" spans="1:2" x14ac:dyDescent="0.2">
      <c r="A4134" s="117">
        <v>38831</v>
      </c>
      <c r="B4134" s="116">
        <f t="shared" si="64"/>
        <v>44</v>
      </c>
    </row>
    <row r="4135" spans="1:2" x14ac:dyDescent="0.2">
      <c r="A4135" s="117">
        <v>38832</v>
      </c>
      <c r="B4135" s="116">
        <f t="shared" si="64"/>
        <v>44</v>
      </c>
    </row>
    <row r="4136" spans="1:2" x14ac:dyDescent="0.2">
      <c r="A4136" s="117">
        <v>38833</v>
      </c>
      <c r="B4136" s="116">
        <f t="shared" si="64"/>
        <v>44</v>
      </c>
    </row>
    <row r="4137" spans="1:2" x14ac:dyDescent="0.2">
      <c r="A4137" s="117">
        <v>38834</v>
      </c>
      <c r="B4137" s="116">
        <f t="shared" si="64"/>
        <v>44</v>
      </c>
    </row>
    <row r="4138" spans="1:2" x14ac:dyDescent="0.2">
      <c r="A4138" s="117">
        <v>38835</v>
      </c>
      <c r="B4138" s="116">
        <f t="shared" si="64"/>
        <v>44</v>
      </c>
    </row>
    <row r="4139" spans="1:2" x14ac:dyDescent="0.2">
      <c r="A4139" s="117">
        <v>38836</v>
      </c>
      <c r="B4139" s="116">
        <f t="shared" si="64"/>
        <v>44</v>
      </c>
    </row>
    <row r="4140" spans="1:2" x14ac:dyDescent="0.2">
      <c r="A4140" s="117">
        <v>38837</v>
      </c>
      <c r="B4140" s="116">
        <f t="shared" si="64"/>
        <v>45</v>
      </c>
    </row>
    <row r="4141" spans="1:2" x14ac:dyDescent="0.2">
      <c r="A4141" s="117">
        <v>38838</v>
      </c>
      <c r="B4141" s="116">
        <f t="shared" si="64"/>
        <v>45</v>
      </c>
    </row>
    <row r="4142" spans="1:2" x14ac:dyDescent="0.2">
      <c r="A4142" s="117">
        <v>38839</v>
      </c>
      <c r="B4142" s="116">
        <f t="shared" si="64"/>
        <v>45</v>
      </c>
    </row>
    <row r="4143" spans="1:2" x14ac:dyDescent="0.2">
      <c r="A4143" s="117">
        <v>38840</v>
      </c>
      <c r="B4143" s="116">
        <f t="shared" si="64"/>
        <v>45</v>
      </c>
    </row>
    <row r="4144" spans="1:2" x14ac:dyDescent="0.2">
      <c r="A4144" s="117">
        <v>38841</v>
      </c>
      <c r="B4144" s="116">
        <f t="shared" si="64"/>
        <v>45</v>
      </c>
    </row>
    <row r="4145" spans="1:2" x14ac:dyDescent="0.2">
      <c r="A4145" s="117">
        <v>38842</v>
      </c>
      <c r="B4145" s="116">
        <f t="shared" si="64"/>
        <v>45</v>
      </c>
    </row>
    <row r="4146" spans="1:2" x14ac:dyDescent="0.2">
      <c r="A4146" s="117">
        <v>38843</v>
      </c>
      <c r="B4146" s="116">
        <f t="shared" si="64"/>
        <v>45</v>
      </c>
    </row>
    <row r="4147" spans="1:2" x14ac:dyDescent="0.2">
      <c r="A4147" s="117">
        <v>38844</v>
      </c>
      <c r="B4147" s="116">
        <f t="shared" si="64"/>
        <v>51</v>
      </c>
    </row>
    <row r="4148" spans="1:2" x14ac:dyDescent="0.2">
      <c r="A4148" s="117">
        <v>38845</v>
      </c>
      <c r="B4148" s="116">
        <f t="shared" si="64"/>
        <v>51</v>
      </c>
    </row>
    <row r="4149" spans="1:2" x14ac:dyDescent="0.2">
      <c r="A4149" s="117">
        <v>38846</v>
      </c>
      <c r="B4149" s="116">
        <f t="shared" si="64"/>
        <v>51</v>
      </c>
    </row>
    <row r="4150" spans="1:2" x14ac:dyDescent="0.2">
      <c r="A4150" s="117">
        <v>38847</v>
      </c>
      <c r="B4150" s="116">
        <f t="shared" si="64"/>
        <v>51</v>
      </c>
    </row>
    <row r="4151" spans="1:2" x14ac:dyDescent="0.2">
      <c r="A4151" s="117">
        <v>38848</v>
      </c>
      <c r="B4151" s="116">
        <f t="shared" si="64"/>
        <v>51</v>
      </c>
    </row>
    <row r="4152" spans="1:2" x14ac:dyDescent="0.2">
      <c r="A4152" s="117">
        <v>38849</v>
      </c>
      <c r="B4152" s="116">
        <f t="shared" si="64"/>
        <v>51</v>
      </c>
    </row>
    <row r="4153" spans="1:2" x14ac:dyDescent="0.2">
      <c r="A4153" s="117">
        <v>38850</v>
      </c>
      <c r="B4153" s="116">
        <f t="shared" si="64"/>
        <v>51</v>
      </c>
    </row>
    <row r="4154" spans="1:2" x14ac:dyDescent="0.2">
      <c r="A4154" s="117">
        <v>38851</v>
      </c>
      <c r="B4154" s="116">
        <f t="shared" si="64"/>
        <v>52</v>
      </c>
    </row>
    <row r="4155" spans="1:2" x14ac:dyDescent="0.2">
      <c r="A4155" s="117">
        <v>38852</v>
      </c>
      <c r="B4155" s="116">
        <f t="shared" si="64"/>
        <v>52</v>
      </c>
    </row>
    <row r="4156" spans="1:2" x14ac:dyDescent="0.2">
      <c r="A4156" s="117">
        <v>38853</v>
      </c>
      <c r="B4156" s="116">
        <f t="shared" si="64"/>
        <v>52</v>
      </c>
    </row>
    <row r="4157" spans="1:2" x14ac:dyDescent="0.2">
      <c r="A4157" s="117">
        <v>38854</v>
      </c>
      <c r="B4157" s="116">
        <f t="shared" si="64"/>
        <v>52</v>
      </c>
    </row>
    <row r="4158" spans="1:2" x14ac:dyDescent="0.2">
      <c r="A4158" s="117">
        <v>38855</v>
      </c>
      <c r="B4158" s="116">
        <f t="shared" si="64"/>
        <v>52</v>
      </c>
    </row>
    <row r="4159" spans="1:2" x14ac:dyDescent="0.2">
      <c r="A4159" s="117">
        <v>38856</v>
      </c>
      <c r="B4159" s="116">
        <f t="shared" si="64"/>
        <v>52</v>
      </c>
    </row>
    <row r="4160" spans="1:2" x14ac:dyDescent="0.2">
      <c r="A4160" s="117">
        <v>38857</v>
      </c>
      <c r="B4160" s="116">
        <f t="shared" si="64"/>
        <v>52</v>
      </c>
    </row>
    <row r="4161" spans="1:2" x14ac:dyDescent="0.2">
      <c r="A4161" s="117">
        <v>38858</v>
      </c>
      <c r="B4161" s="116">
        <f t="shared" si="64"/>
        <v>53</v>
      </c>
    </row>
    <row r="4162" spans="1:2" x14ac:dyDescent="0.2">
      <c r="A4162" s="117">
        <v>38859</v>
      </c>
      <c r="B4162" s="116">
        <f t="shared" si="64"/>
        <v>53</v>
      </c>
    </row>
    <row r="4163" spans="1:2" x14ac:dyDescent="0.2">
      <c r="A4163" s="117">
        <v>38860</v>
      </c>
      <c r="B4163" s="116">
        <f t="shared" si="64"/>
        <v>53</v>
      </c>
    </row>
    <row r="4164" spans="1:2" x14ac:dyDescent="0.2">
      <c r="A4164" s="117">
        <v>38861</v>
      </c>
      <c r="B4164" s="116">
        <f t="shared" ref="B4164:B4227" si="65">VLOOKUP(WEEKNUM(A4164),$D$4:$E$59,2)</f>
        <v>53</v>
      </c>
    </row>
    <row r="4165" spans="1:2" x14ac:dyDescent="0.2">
      <c r="A4165" s="117">
        <v>38862</v>
      </c>
      <c r="B4165" s="116">
        <f t="shared" si="65"/>
        <v>53</v>
      </c>
    </row>
    <row r="4166" spans="1:2" x14ac:dyDescent="0.2">
      <c r="A4166" s="117">
        <v>38863</v>
      </c>
      <c r="B4166" s="116">
        <f t="shared" si="65"/>
        <v>53</v>
      </c>
    </row>
    <row r="4167" spans="1:2" x14ac:dyDescent="0.2">
      <c r="A4167" s="117">
        <v>38864</v>
      </c>
      <c r="B4167" s="116">
        <f t="shared" si="65"/>
        <v>53</v>
      </c>
    </row>
    <row r="4168" spans="1:2" x14ac:dyDescent="0.2">
      <c r="A4168" s="117">
        <v>38865</v>
      </c>
      <c r="B4168" s="116">
        <f t="shared" si="65"/>
        <v>54</v>
      </c>
    </row>
    <row r="4169" spans="1:2" x14ac:dyDescent="0.2">
      <c r="A4169" s="117">
        <v>38866</v>
      </c>
      <c r="B4169" s="116">
        <f t="shared" si="65"/>
        <v>54</v>
      </c>
    </row>
    <row r="4170" spans="1:2" x14ac:dyDescent="0.2">
      <c r="A4170" s="117">
        <v>38867</v>
      </c>
      <c r="B4170" s="116">
        <f t="shared" si="65"/>
        <v>54</v>
      </c>
    </row>
    <row r="4171" spans="1:2" x14ac:dyDescent="0.2">
      <c r="A4171" s="117">
        <v>38868</v>
      </c>
      <c r="B4171" s="116">
        <f t="shared" si="65"/>
        <v>54</v>
      </c>
    </row>
    <row r="4172" spans="1:2" x14ac:dyDescent="0.2">
      <c r="A4172" s="117">
        <v>38869</v>
      </c>
      <c r="B4172" s="116">
        <f t="shared" si="65"/>
        <v>54</v>
      </c>
    </row>
    <row r="4173" spans="1:2" x14ac:dyDescent="0.2">
      <c r="A4173" s="117">
        <v>38870</v>
      </c>
      <c r="B4173" s="116">
        <f t="shared" si="65"/>
        <v>54</v>
      </c>
    </row>
    <row r="4174" spans="1:2" x14ac:dyDescent="0.2">
      <c r="A4174" s="117">
        <v>38871</v>
      </c>
      <c r="B4174" s="116">
        <f t="shared" si="65"/>
        <v>54</v>
      </c>
    </row>
    <row r="4175" spans="1:2" x14ac:dyDescent="0.2">
      <c r="A4175" s="117">
        <v>38872</v>
      </c>
      <c r="B4175" s="116">
        <f t="shared" si="65"/>
        <v>61</v>
      </c>
    </row>
    <row r="4176" spans="1:2" x14ac:dyDescent="0.2">
      <c r="A4176" s="117">
        <v>38873</v>
      </c>
      <c r="B4176" s="116">
        <f t="shared" si="65"/>
        <v>61</v>
      </c>
    </row>
    <row r="4177" spans="1:2" x14ac:dyDescent="0.2">
      <c r="A4177" s="117">
        <v>38874</v>
      </c>
      <c r="B4177" s="116">
        <f t="shared" si="65"/>
        <v>61</v>
      </c>
    </row>
    <row r="4178" spans="1:2" x14ac:dyDescent="0.2">
      <c r="A4178" s="117">
        <v>38875</v>
      </c>
      <c r="B4178" s="116">
        <f t="shared" si="65"/>
        <v>61</v>
      </c>
    </row>
    <row r="4179" spans="1:2" x14ac:dyDescent="0.2">
      <c r="A4179" s="117">
        <v>38876</v>
      </c>
      <c r="B4179" s="116">
        <f t="shared" si="65"/>
        <v>61</v>
      </c>
    </row>
    <row r="4180" spans="1:2" x14ac:dyDescent="0.2">
      <c r="A4180" s="117">
        <v>38877</v>
      </c>
      <c r="B4180" s="116">
        <f t="shared" si="65"/>
        <v>61</v>
      </c>
    </row>
    <row r="4181" spans="1:2" x14ac:dyDescent="0.2">
      <c r="A4181" s="117">
        <v>38878</v>
      </c>
      <c r="B4181" s="116">
        <f t="shared" si="65"/>
        <v>61</v>
      </c>
    </row>
    <row r="4182" spans="1:2" x14ac:dyDescent="0.2">
      <c r="A4182" s="117">
        <v>38879</v>
      </c>
      <c r="B4182" s="116">
        <f t="shared" si="65"/>
        <v>62</v>
      </c>
    </row>
    <row r="4183" spans="1:2" x14ac:dyDescent="0.2">
      <c r="A4183" s="117">
        <v>38880</v>
      </c>
      <c r="B4183" s="116">
        <f t="shared" si="65"/>
        <v>62</v>
      </c>
    </row>
    <row r="4184" spans="1:2" x14ac:dyDescent="0.2">
      <c r="A4184" s="117">
        <v>38881</v>
      </c>
      <c r="B4184" s="116">
        <f t="shared" si="65"/>
        <v>62</v>
      </c>
    </row>
    <row r="4185" spans="1:2" x14ac:dyDescent="0.2">
      <c r="A4185" s="117">
        <v>38882</v>
      </c>
      <c r="B4185" s="116">
        <f t="shared" si="65"/>
        <v>62</v>
      </c>
    </row>
    <row r="4186" spans="1:2" x14ac:dyDescent="0.2">
      <c r="A4186" s="117">
        <v>38883</v>
      </c>
      <c r="B4186" s="116">
        <f t="shared" si="65"/>
        <v>62</v>
      </c>
    </row>
    <row r="4187" spans="1:2" x14ac:dyDescent="0.2">
      <c r="A4187" s="117">
        <v>38884</v>
      </c>
      <c r="B4187" s="116">
        <f t="shared" si="65"/>
        <v>62</v>
      </c>
    </row>
    <row r="4188" spans="1:2" x14ac:dyDescent="0.2">
      <c r="A4188" s="117">
        <v>38885</v>
      </c>
      <c r="B4188" s="116">
        <f t="shared" si="65"/>
        <v>62</v>
      </c>
    </row>
    <row r="4189" spans="1:2" x14ac:dyDescent="0.2">
      <c r="A4189" s="117">
        <v>38886</v>
      </c>
      <c r="B4189" s="116">
        <f t="shared" si="65"/>
        <v>63</v>
      </c>
    </row>
    <row r="4190" spans="1:2" x14ac:dyDescent="0.2">
      <c r="A4190" s="117">
        <v>38887</v>
      </c>
      <c r="B4190" s="116">
        <f t="shared" si="65"/>
        <v>63</v>
      </c>
    </row>
    <row r="4191" spans="1:2" x14ac:dyDescent="0.2">
      <c r="A4191" s="117">
        <v>38888</v>
      </c>
      <c r="B4191" s="116">
        <f t="shared" si="65"/>
        <v>63</v>
      </c>
    </row>
    <row r="4192" spans="1:2" x14ac:dyDescent="0.2">
      <c r="A4192" s="117">
        <v>38889</v>
      </c>
      <c r="B4192" s="116">
        <f t="shared" si="65"/>
        <v>63</v>
      </c>
    </row>
    <row r="4193" spans="1:2" x14ac:dyDescent="0.2">
      <c r="A4193" s="117">
        <v>38890</v>
      </c>
      <c r="B4193" s="116">
        <f t="shared" si="65"/>
        <v>63</v>
      </c>
    </row>
    <row r="4194" spans="1:2" x14ac:dyDescent="0.2">
      <c r="A4194" s="117">
        <v>38891</v>
      </c>
      <c r="B4194" s="116">
        <f t="shared" si="65"/>
        <v>63</v>
      </c>
    </row>
    <row r="4195" spans="1:2" x14ac:dyDescent="0.2">
      <c r="A4195" s="117">
        <v>38892</v>
      </c>
      <c r="B4195" s="116">
        <f t="shared" si="65"/>
        <v>63</v>
      </c>
    </row>
    <row r="4196" spans="1:2" x14ac:dyDescent="0.2">
      <c r="A4196" s="117">
        <v>38893</v>
      </c>
      <c r="B4196" s="116">
        <f t="shared" si="65"/>
        <v>64</v>
      </c>
    </row>
    <row r="4197" spans="1:2" x14ac:dyDescent="0.2">
      <c r="A4197" s="117">
        <v>38894</v>
      </c>
      <c r="B4197" s="116">
        <f t="shared" si="65"/>
        <v>64</v>
      </c>
    </row>
    <row r="4198" spans="1:2" x14ac:dyDescent="0.2">
      <c r="A4198" s="117">
        <v>38895</v>
      </c>
      <c r="B4198" s="116">
        <f t="shared" si="65"/>
        <v>64</v>
      </c>
    </row>
    <row r="4199" spans="1:2" x14ac:dyDescent="0.2">
      <c r="A4199" s="117">
        <v>38896</v>
      </c>
      <c r="B4199" s="116">
        <f t="shared" si="65"/>
        <v>64</v>
      </c>
    </row>
    <row r="4200" spans="1:2" x14ac:dyDescent="0.2">
      <c r="A4200" s="117">
        <v>38897</v>
      </c>
      <c r="B4200" s="116">
        <f t="shared" si="65"/>
        <v>64</v>
      </c>
    </row>
    <row r="4201" spans="1:2" x14ac:dyDescent="0.2">
      <c r="A4201" s="117">
        <v>38898</v>
      </c>
      <c r="B4201" s="116">
        <f t="shared" si="65"/>
        <v>64</v>
      </c>
    </row>
    <row r="4202" spans="1:2" x14ac:dyDescent="0.2">
      <c r="A4202" s="117">
        <v>38899</v>
      </c>
      <c r="B4202" s="116">
        <f t="shared" si="65"/>
        <v>64</v>
      </c>
    </row>
    <row r="4203" spans="1:2" x14ac:dyDescent="0.2">
      <c r="A4203" s="117">
        <v>38900</v>
      </c>
      <c r="B4203" s="116">
        <f t="shared" si="65"/>
        <v>71</v>
      </c>
    </row>
    <row r="4204" spans="1:2" x14ac:dyDescent="0.2">
      <c r="A4204" s="117">
        <v>38901</v>
      </c>
      <c r="B4204" s="116">
        <f t="shared" si="65"/>
        <v>71</v>
      </c>
    </row>
    <row r="4205" spans="1:2" x14ac:dyDescent="0.2">
      <c r="A4205" s="117">
        <v>38902</v>
      </c>
      <c r="B4205" s="116">
        <f t="shared" si="65"/>
        <v>71</v>
      </c>
    </row>
    <row r="4206" spans="1:2" x14ac:dyDescent="0.2">
      <c r="A4206" s="117">
        <v>38903</v>
      </c>
      <c r="B4206" s="116">
        <f t="shared" si="65"/>
        <v>71</v>
      </c>
    </row>
    <row r="4207" spans="1:2" x14ac:dyDescent="0.2">
      <c r="A4207" s="117">
        <v>38904</v>
      </c>
      <c r="B4207" s="116">
        <f t="shared" si="65"/>
        <v>71</v>
      </c>
    </row>
    <row r="4208" spans="1:2" x14ac:dyDescent="0.2">
      <c r="A4208" s="117">
        <v>38905</v>
      </c>
      <c r="B4208" s="116">
        <f t="shared" si="65"/>
        <v>71</v>
      </c>
    </row>
    <row r="4209" spans="1:2" x14ac:dyDescent="0.2">
      <c r="A4209" s="117">
        <v>38906</v>
      </c>
      <c r="B4209" s="116">
        <f t="shared" si="65"/>
        <v>71</v>
      </c>
    </row>
    <row r="4210" spans="1:2" x14ac:dyDescent="0.2">
      <c r="A4210" s="117">
        <v>38907</v>
      </c>
      <c r="B4210" s="116">
        <f t="shared" si="65"/>
        <v>72</v>
      </c>
    </row>
    <row r="4211" spans="1:2" x14ac:dyDescent="0.2">
      <c r="A4211" s="117">
        <v>38908</v>
      </c>
      <c r="B4211" s="116">
        <f t="shared" si="65"/>
        <v>72</v>
      </c>
    </row>
    <row r="4212" spans="1:2" x14ac:dyDescent="0.2">
      <c r="A4212" s="117">
        <v>38909</v>
      </c>
      <c r="B4212" s="116">
        <f t="shared" si="65"/>
        <v>72</v>
      </c>
    </row>
    <row r="4213" spans="1:2" x14ac:dyDescent="0.2">
      <c r="A4213" s="117">
        <v>38910</v>
      </c>
      <c r="B4213" s="116">
        <f t="shared" si="65"/>
        <v>72</v>
      </c>
    </row>
    <row r="4214" spans="1:2" x14ac:dyDescent="0.2">
      <c r="A4214" s="117">
        <v>38911</v>
      </c>
      <c r="B4214" s="116">
        <f t="shared" si="65"/>
        <v>72</v>
      </c>
    </row>
    <row r="4215" spans="1:2" x14ac:dyDescent="0.2">
      <c r="A4215" s="117">
        <v>38912</v>
      </c>
      <c r="B4215" s="116">
        <f t="shared" si="65"/>
        <v>72</v>
      </c>
    </row>
    <row r="4216" spans="1:2" x14ac:dyDescent="0.2">
      <c r="A4216" s="117">
        <v>38913</v>
      </c>
      <c r="B4216" s="116">
        <f t="shared" si="65"/>
        <v>72</v>
      </c>
    </row>
    <row r="4217" spans="1:2" x14ac:dyDescent="0.2">
      <c r="A4217" s="117">
        <v>38914</v>
      </c>
      <c r="B4217" s="116">
        <f t="shared" si="65"/>
        <v>73</v>
      </c>
    </row>
    <row r="4218" spans="1:2" x14ac:dyDescent="0.2">
      <c r="A4218" s="117">
        <v>38915</v>
      </c>
      <c r="B4218" s="116">
        <f t="shared" si="65"/>
        <v>73</v>
      </c>
    </row>
    <row r="4219" spans="1:2" x14ac:dyDescent="0.2">
      <c r="A4219" s="117">
        <v>38916</v>
      </c>
      <c r="B4219" s="116">
        <f t="shared" si="65"/>
        <v>73</v>
      </c>
    </row>
    <row r="4220" spans="1:2" x14ac:dyDescent="0.2">
      <c r="A4220" s="117">
        <v>38917</v>
      </c>
      <c r="B4220" s="116">
        <f t="shared" si="65"/>
        <v>73</v>
      </c>
    </row>
    <row r="4221" spans="1:2" x14ac:dyDescent="0.2">
      <c r="A4221" s="117">
        <v>38918</v>
      </c>
      <c r="B4221" s="116">
        <f t="shared" si="65"/>
        <v>73</v>
      </c>
    </row>
    <row r="4222" spans="1:2" x14ac:dyDescent="0.2">
      <c r="A4222" s="117">
        <v>38919</v>
      </c>
      <c r="B4222" s="116">
        <f t="shared" si="65"/>
        <v>73</v>
      </c>
    </row>
    <row r="4223" spans="1:2" x14ac:dyDescent="0.2">
      <c r="A4223" s="117">
        <v>38920</v>
      </c>
      <c r="B4223" s="116">
        <f t="shared" si="65"/>
        <v>73</v>
      </c>
    </row>
    <row r="4224" spans="1:2" x14ac:dyDescent="0.2">
      <c r="A4224" s="117">
        <v>38921</v>
      </c>
      <c r="B4224" s="116">
        <f t="shared" si="65"/>
        <v>74</v>
      </c>
    </row>
    <row r="4225" spans="1:2" x14ac:dyDescent="0.2">
      <c r="A4225" s="117">
        <v>38922</v>
      </c>
      <c r="B4225" s="116">
        <f t="shared" si="65"/>
        <v>74</v>
      </c>
    </row>
    <row r="4226" spans="1:2" x14ac:dyDescent="0.2">
      <c r="A4226" s="117">
        <v>38923</v>
      </c>
      <c r="B4226" s="116">
        <f t="shared" si="65"/>
        <v>74</v>
      </c>
    </row>
    <row r="4227" spans="1:2" x14ac:dyDescent="0.2">
      <c r="A4227" s="117">
        <v>38924</v>
      </c>
      <c r="B4227" s="116">
        <f t="shared" si="65"/>
        <v>74</v>
      </c>
    </row>
    <row r="4228" spans="1:2" x14ac:dyDescent="0.2">
      <c r="A4228" s="117">
        <v>38925</v>
      </c>
      <c r="B4228" s="116">
        <f t="shared" ref="B4228:B4291" si="66">VLOOKUP(WEEKNUM(A4228),$D$4:$E$59,2)</f>
        <v>74</v>
      </c>
    </row>
    <row r="4229" spans="1:2" x14ac:dyDescent="0.2">
      <c r="A4229" s="117">
        <v>38926</v>
      </c>
      <c r="B4229" s="116">
        <f t="shared" si="66"/>
        <v>74</v>
      </c>
    </row>
    <row r="4230" spans="1:2" x14ac:dyDescent="0.2">
      <c r="A4230" s="117">
        <v>38927</v>
      </c>
      <c r="B4230" s="116">
        <f t="shared" si="66"/>
        <v>74</v>
      </c>
    </row>
    <row r="4231" spans="1:2" x14ac:dyDescent="0.2">
      <c r="A4231" s="117">
        <v>38928</v>
      </c>
      <c r="B4231" s="116">
        <f t="shared" si="66"/>
        <v>75</v>
      </c>
    </row>
    <row r="4232" spans="1:2" x14ac:dyDescent="0.2">
      <c r="A4232" s="117">
        <v>38929</v>
      </c>
      <c r="B4232" s="116">
        <f t="shared" si="66"/>
        <v>75</v>
      </c>
    </row>
    <row r="4233" spans="1:2" x14ac:dyDescent="0.2">
      <c r="A4233" s="117">
        <v>38930</v>
      </c>
      <c r="B4233" s="116">
        <f t="shared" si="66"/>
        <v>75</v>
      </c>
    </row>
    <row r="4234" spans="1:2" x14ac:dyDescent="0.2">
      <c r="A4234" s="117">
        <v>38931</v>
      </c>
      <c r="B4234" s="116">
        <f t="shared" si="66"/>
        <v>75</v>
      </c>
    </row>
    <row r="4235" spans="1:2" x14ac:dyDescent="0.2">
      <c r="A4235" s="117">
        <v>38932</v>
      </c>
      <c r="B4235" s="116">
        <f t="shared" si="66"/>
        <v>75</v>
      </c>
    </row>
    <row r="4236" spans="1:2" x14ac:dyDescent="0.2">
      <c r="A4236" s="117">
        <v>38933</v>
      </c>
      <c r="B4236" s="116">
        <f t="shared" si="66"/>
        <v>75</v>
      </c>
    </row>
    <row r="4237" spans="1:2" x14ac:dyDescent="0.2">
      <c r="A4237" s="117">
        <v>38934</v>
      </c>
      <c r="B4237" s="116">
        <f t="shared" si="66"/>
        <v>75</v>
      </c>
    </row>
    <row r="4238" spans="1:2" x14ac:dyDescent="0.2">
      <c r="A4238" s="117">
        <v>38935</v>
      </c>
      <c r="B4238" s="116">
        <f t="shared" si="66"/>
        <v>81</v>
      </c>
    </row>
    <row r="4239" spans="1:2" x14ac:dyDescent="0.2">
      <c r="A4239" s="117">
        <v>38936</v>
      </c>
      <c r="B4239" s="116">
        <f t="shared" si="66"/>
        <v>81</v>
      </c>
    </row>
    <row r="4240" spans="1:2" x14ac:dyDescent="0.2">
      <c r="A4240" s="117">
        <v>38937</v>
      </c>
      <c r="B4240" s="116">
        <f t="shared" si="66"/>
        <v>81</v>
      </c>
    </row>
    <row r="4241" spans="1:2" x14ac:dyDescent="0.2">
      <c r="A4241" s="117">
        <v>38938</v>
      </c>
      <c r="B4241" s="116">
        <f t="shared" si="66"/>
        <v>81</v>
      </c>
    </row>
    <row r="4242" spans="1:2" x14ac:dyDescent="0.2">
      <c r="A4242" s="117">
        <v>38939</v>
      </c>
      <c r="B4242" s="116">
        <f t="shared" si="66"/>
        <v>81</v>
      </c>
    </row>
    <row r="4243" spans="1:2" x14ac:dyDescent="0.2">
      <c r="A4243" s="117">
        <v>38940</v>
      </c>
      <c r="B4243" s="116">
        <f t="shared" si="66"/>
        <v>81</v>
      </c>
    </row>
    <row r="4244" spans="1:2" x14ac:dyDescent="0.2">
      <c r="A4244" s="117">
        <v>38941</v>
      </c>
      <c r="B4244" s="116">
        <f t="shared" si="66"/>
        <v>81</v>
      </c>
    </row>
    <row r="4245" spans="1:2" x14ac:dyDescent="0.2">
      <c r="A4245" s="117">
        <v>38942</v>
      </c>
      <c r="B4245" s="116">
        <f t="shared" si="66"/>
        <v>82</v>
      </c>
    </row>
    <row r="4246" spans="1:2" x14ac:dyDescent="0.2">
      <c r="A4246" s="117">
        <v>38943</v>
      </c>
      <c r="B4246" s="116">
        <f t="shared" si="66"/>
        <v>82</v>
      </c>
    </row>
    <row r="4247" spans="1:2" x14ac:dyDescent="0.2">
      <c r="A4247" s="117">
        <v>38944</v>
      </c>
      <c r="B4247" s="116">
        <f t="shared" si="66"/>
        <v>82</v>
      </c>
    </row>
    <row r="4248" spans="1:2" x14ac:dyDescent="0.2">
      <c r="A4248" s="117">
        <v>38945</v>
      </c>
      <c r="B4248" s="116">
        <f t="shared" si="66"/>
        <v>82</v>
      </c>
    </row>
    <row r="4249" spans="1:2" x14ac:dyDescent="0.2">
      <c r="A4249" s="117">
        <v>38946</v>
      </c>
      <c r="B4249" s="116">
        <f t="shared" si="66"/>
        <v>82</v>
      </c>
    </row>
    <row r="4250" spans="1:2" x14ac:dyDescent="0.2">
      <c r="A4250" s="117">
        <v>38947</v>
      </c>
      <c r="B4250" s="116">
        <f t="shared" si="66"/>
        <v>82</v>
      </c>
    </row>
    <row r="4251" spans="1:2" x14ac:dyDescent="0.2">
      <c r="A4251" s="117">
        <v>38948</v>
      </c>
      <c r="B4251" s="116">
        <f t="shared" si="66"/>
        <v>82</v>
      </c>
    </row>
    <row r="4252" spans="1:2" x14ac:dyDescent="0.2">
      <c r="A4252" s="117">
        <v>38949</v>
      </c>
      <c r="B4252" s="116">
        <f t="shared" si="66"/>
        <v>83</v>
      </c>
    </row>
    <row r="4253" spans="1:2" x14ac:dyDescent="0.2">
      <c r="A4253" s="117">
        <v>38950</v>
      </c>
      <c r="B4253" s="116">
        <f t="shared" si="66"/>
        <v>83</v>
      </c>
    </row>
    <row r="4254" spans="1:2" x14ac:dyDescent="0.2">
      <c r="A4254" s="117">
        <v>38951</v>
      </c>
      <c r="B4254" s="116">
        <f t="shared" si="66"/>
        <v>83</v>
      </c>
    </row>
    <row r="4255" spans="1:2" x14ac:dyDescent="0.2">
      <c r="A4255" s="117">
        <v>38952</v>
      </c>
      <c r="B4255" s="116">
        <f t="shared" si="66"/>
        <v>83</v>
      </c>
    </row>
    <row r="4256" spans="1:2" x14ac:dyDescent="0.2">
      <c r="A4256" s="117">
        <v>38953</v>
      </c>
      <c r="B4256" s="116">
        <f t="shared" si="66"/>
        <v>83</v>
      </c>
    </row>
    <row r="4257" spans="1:2" x14ac:dyDescent="0.2">
      <c r="A4257" s="117">
        <v>38954</v>
      </c>
      <c r="B4257" s="116">
        <f t="shared" si="66"/>
        <v>83</v>
      </c>
    </row>
    <row r="4258" spans="1:2" x14ac:dyDescent="0.2">
      <c r="A4258" s="117">
        <v>38955</v>
      </c>
      <c r="B4258" s="116">
        <f t="shared" si="66"/>
        <v>83</v>
      </c>
    </row>
    <row r="4259" spans="1:2" x14ac:dyDescent="0.2">
      <c r="A4259" s="117">
        <v>38956</v>
      </c>
      <c r="B4259" s="116">
        <f t="shared" si="66"/>
        <v>84</v>
      </c>
    </row>
    <row r="4260" spans="1:2" x14ac:dyDescent="0.2">
      <c r="A4260" s="117">
        <v>38957</v>
      </c>
      <c r="B4260" s="116">
        <f t="shared" si="66"/>
        <v>84</v>
      </c>
    </row>
    <row r="4261" spans="1:2" x14ac:dyDescent="0.2">
      <c r="A4261" s="117">
        <v>38958</v>
      </c>
      <c r="B4261" s="116">
        <f t="shared" si="66"/>
        <v>84</v>
      </c>
    </row>
    <row r="4262" spans="1:2" x14ac:dyDescent="0.2">
      <c r="A4262" s="117">
        <v>38959</v>
      </c>
      <c r="B4262" s="116">
        <f t="shared" si="66"/>
        <v>84</v>
      </c>
    </row>
    <row r="4263" spans="1:2" x14ac:dyDescent="0.2">
      <c r="A4263" s="117">
        <v>38960</v>
      </c>
      <c r="B4263" s="116">
        <f t="shared" si="66"/>
        <v>84</v>
      </c>
    </row>
    <row r="4264" spans="1:2" x14ac:dyDescent="0.2">
      <c r="A4264" s="117">
        <v>38961</v>
      </c>
      <c r="B4264" s="116">
        <f t="shared" si="66"/>
        <v>84</v>
      </c>
    </row>
    <row r="4265" spans="1:2" x14ac:dyDescent="0.2">
      <c r="A4265" s="117">
        <v>38962</v>
      </c>
      <c r="B4265" s="116">
        <f t="shared" si="66"/>
        <v>84</v>
      </c>
    </row>
    <row r="4266" spans="1:2" x14ac:dyDescent="0.2">
      <c r="A4266" s="117">
        <v>38963</v>
      </c>
      <c r="B4266" s="116">
        <f t="shared" si="66"/>
        <v>91</v>
      </c>
    </row>
    <row r="4267" spans="1:2" x14ac:dyDescent="0.2">
      <c r="A4267" s="117">
        <v>38964</v>
      </c>
      <c r="B4267" s="116">
        <f t="shared" si="66"/>
        <v>91</v>
      </c>
    </row>
    <row r="4268" spans="1:2" x14ac:dyDescent="0.2">
      <c r="A4268" s="117">
        <v>38965</v>
      </c>
      <c r="B4268" s="116">
        <f t="shared" si="66"/>
        <v>91</v>
      </c>
    </row>
    <row r="4269" spans="1:2" x14ac:dyDescent="0.2">
      <c r="A4269" s="117">
        <v>38966</v>
      </c>
      <c r="B4269" s="116">
        <f t="shared" si="66"/>
        <v>91</v>
      </c>
    </row>
    <row r="4270" spans="1:2" x14ac:dyDescent="0.2">
      <c r="A4270" s="117">
        <v>38967</v>
      </c>
      <c r="B4270" s="116">
        <f t="shared" si="66"/>
        <v>91</v>
      </c>
    </row>
    <row r="4271" spans="1:2" x14ac:dyDescent="0.2">
      <c r="A4271" s="117">
        <v>38968</v>
      </c>
      <c r="B4271" s="116">
        <f t="shared" si="66"/>
        <v>91</v>
      </c>
    </row>
    <row r="4272" spans="1:2" x14ac:dyDescent="0.2">
      <c r="A4272" s="117">
        <v>38969</v>
      </c>
      <c r="B4272" s="116">
        <f t="shared" si="66"/>
        <v>91</v>
      </c>
    </row>
    <row r="4273" spans="1:2" x14ac:dyDescent="0.2">
      <c r="A4273" s="117">
        <v>38970</v>
      </c>
      <c r="B4273" s="116">
        <f t="shared" si="66"/>
        <v>92</v>
      </c>
    </row>
    <row r="4274" spans="1:2" x14ac:dyDescent="0.2">
      <c r="A4274" s="117">
        <v>38971</v>
      </c>
      <c r="B4274" s="116">
        <f t="shared" si="66"/>
        <v>92</v>
      </c>
    </row>
    <row r="4275" spans="1:2" x14ac:dyDescent="0.2">
      <c r="A4275" s="117">
        <v>38972</v>
      </c>
      <c r="B4275" s="116">
        <f t="shared" si="66"/>
        <v>92</v>
      </c>
    </row>
    <row r="4276" spans="1:2" x14ac:dyDescent="0.2">
      <c r="A4276" s="117">
        <v>38973</v>
      </c>
      <c r="B4276" s="116">
        <f t="shared" si="66"/>
        <v>92</v>
      </c>
    </row>
    <row r="4277" spans="1:2" x14ac:dyDescent="0.2">
      <c r="A4277" s="117">
        <v>38974</v>
      </c>
      <c r="B4277" s="116">
        <f t="shared" si="66"/>
        <v>92</v>
      </c>
    </row>
    <row r="4278" spans="1:2" x14ac:dyDescent="0.2">
      <c r="A4278" s="117">
        <v>38975</v>
      </c>
      <c r="B4278" s="116">
        <f t="shared" si="66"/>
        <v>92</v>
      </c>
    </row>
    <row r="4279" spans="1:2" x14ac:dyDescent="0.2">
      <c r="A4279" s="117">
        <v>38976</v>
      </c>
      <c r="B4279" s="116">
        <f t="shared" si="66"/>
        <v>92</v>
      </c>
    </row>
    <row r="4280" spans="1:2" x14ac:dyDescent="0.2">
      <c r="A4280" s="117">
        <v>38977</v>
      </c>
      <c r="B4280" s="116">
        <f t="shared" si="66"/>
        <v>93</v>
      </c>
    </row>
    <row r="4281" spans="1:2" x14ac:dyDescent="0.2">
      <c r="A4281" s="117">
        <v>38978</v>
      </c>
      <c r="B4281" s="116">
        <f t="shared" si="66"/>
        <v>93</v>
      </c>
    </row>
    <row r="4282" spans="1:2" x14ac:dyDescent="0.2">
      <c r="A4282" s="117">
        <v>38979</v>
      </c>
      <c r="B4282" s="116">
        <f t="shared" si="66"/>
        <v>93</v>
      </c>
    </row>
    <row r="4283" spans="1:2" x14ac:dyDescent="0.2">
      <c r="A4283" s="117">
        <v>38980</v>
      </c>
      <c r="B4283" s="116">
        <f t="shared" si="66"/>
        <v>93</v>
      </c>
    </row>
    <row r="4284" spans="1:2" x14ac:dyDescent="0.2">
      <c r="A4284" s="117">
        <v>38981</v>
      </c>
      <c r="B4284" s="116">
        <f t="shared" si="66"/>
        <v>93</v>
      </c>
    </row>
    <row r="4285" spans="1:2" x14ac:dyDescent="0.2">
      <c r="A4285" s="117">
        <v>38982</v>
      </c>
      <c r="B4285" s="116">
        <f t="shared" si="66"/>
        <v>93</v>
      </c>
    </row>
    <row r="4286" spans="1:2" x14ac:dyDescent="0.2">
      <c r="A4286" s="117">
        <v>38983</v>
      </c>
      <c r="B4286" s="116">
        <f t="shared" si="66"/>
        <v>93</v>
      </c>
    </row>
    <row r="4287" spans="1:2" x14ac:dyDescent="0.2">
      <c r="A4287" s="117">
        <v>38984</v>
      </c>
      <c r="B4287" s="116">
        <f t="shared" si="66"/>
        <v>94</v>
      </c>
    </row>
    <row r="4288" spans="1:2" x14ac:dyDescent="0.2">
      <c r="A4288" s="117">
        <v>38985</v>
      </c>
      <c r="B4288" s="116">
        <f t="shared" si="66"/>
        <v>94</v>
      </c>
    </row>
    <row r="4289" spans="1:2" x14ac:dyDescent="0.2">
      <c r="A4289" s="117">
        <v>38986</v>
      </c>
      <c r="B4289" s="116">
        <f t="shared" si="66"/>
        <v>94</v>
      </c>
    </row>
    <row r="4290" spans="1:2" x14ac:dyDescent="0.2">
      <c r="A4290" s="117">
        <v>38987</v>
      </c>
      <c r="B4290" s="116">
        <f t="shared" si="66"/>
        <v>94</v>
      </c>
    </row>
    <row r="4291" spans="1:2" x14ac:dyDescent="0.2">
      <c r="A4291" s="117">
        <v>38988</v>
      </c>
      <c r="B4291" s="116">
        <f t="shared" si="66"/>
        <v>94</v>
      </c>
    </row>
    <row r="4292" spans="1:2" x14ac:dyDescent="0.2">
      <c r="A4292" s="117">
        <v>38989</v>
      </c>
      <c r="B4292" s="116">
        <f t="shared" ref="B4292:B4355" si="67">VLOOKUP(WEEKNUM(A4292),$D$4:$E$59,2)</f>
        <v>94</v>
      </c>
    </row>
    <row r="4293" spans="1:2" x14ac:dyDescent="0.2">
      <c r="A4293" s="117">
        <v>38990</v>
      </c>
      <c r="B4293" s="116">
        <f t="shared" si="67"/>
        <v>94</v>
      </c>
    </row>
    <row r="4294" spans="1:2" x14ac:dyDescent="0.2">
      <c r="A4294" s="117">
        <v>38991</v>
      </c>
      <c r="B4294" s="116">
        <f t="shared" si="67"/>
        <v>101</v>
      </c>
    </row>
    <row r="4295" spans="1:2" x14ac:dyDescent="0.2">
      <c r="A4295" s="117">
        <v>38992</v>
      </c>
      <c r="B4295" s="116">
        <f t="shared" si="67"/>
        <v>101</v>
      </c>
    </row>
    <row r="4296" spans="1:2" x14ac:dyDescent="0.2">
      <c r="A4296" s="117">
        <v>38993</v>
      </c>
      <c r="B4296" s="116">
        <f t="shared" si="67"/>
        <v>101</v>
      </c>
    </row>
    <row r="4297" spans="1:2" x14ac:dyDescent="0.2">
      <c r="A4297" s="117">
        <v>38994</v>
      </c>
      <c r="B4297" s="116">
        <f t="shared" si="67"/>
        <v>101</v>
      </c>
    </row>
    <row r="4298" spans="1:2" x14ac:dyDescent="0.2">
      <c r="A4298" s="117">
        <v>38995</v>
      </c>
      <c r="B4298" s="116">
        <f t="shared" si="67"/>
        <v>101</v>
      </c>
    </row>
    <row r="4299" spans="1:2" x14ac:dyDescent="0.2">
      <c r="A4299" s="117">
        <v>38996</v>
      </c>
      <c r="B4299" s="116">
        <f t="shared" si="67"/>
        <v>101</v>
      </c>
    </row>
    <row r="4300" spans="1:2" x14ac:dyDescent="0.2">
      <c r="A4300" s="117">
        <v>38997</v>
      </c>
      <c r="B4300" s="116">
        <f t="shared" si="67"/>
        <v>101</v>
      </c>
    </row>
    <row r="4301" spans="1:2" x14ac:dyDescent="0.2">
      <c r="A4301" s="117">
        <v>38998</v>
      </c>
      <c r="B4301" s="116">
        <f t="shared" si="67"/>
        <v>102</v>
      </c>
    </row>
    <row r="4302" spans="1:2" x14ac:dyDescent="0.2">
      <c r="A4302" s="117">
        <v>38999</v>
      </c>
      <c r="B4302" s="116">
        <f t="shared" si="67"/>
        <v>102</v>
      </c>
    </row>
    <row r="4303" spans="1:2" x14ac:dyDescent="0.2">
      <c r="A4303" s="117">
        <v>39000</v>
      </c>
      <c r="B4303" s="116">
        <f t="shared" si="67"/>
        <v>102</v>
      </c>
    </row>
    <row r="4304" spans="1:2" x14ac:dyDescent="0.2">
      <c r="A4304" s="117">
        <v>39001</v>
      </c>
      <c r="B4304" s="116">
        <f t="shared" si="67"/>
        <v>102</v>
      </c>
    </row>
    <row r="4305" spans="1:2" x14ac:dyDescent="0.2">
      <c r="A4305" s="117">
        <v>39002</v>
      </c>
      <c r="B4305" s="116">
        <f t="shared" si="67"/>
        <v>102</v>
      </c>
    </row>
    <row r="4306" spans="1:2" x14ac:dyDescent="0.2">
      <c r="A4306" s="117">
        <v>39003</v>
      </c>
      <c r="B4306" s="116">
        <f t="shared" si="67"/>
        <v>102</v>
      </c>
    </row>
    <row r="4307" spans="1:2" x14ac:dyDescent="0.2">
      <c r="A4307" s="117">
        <v>39004</v>
      </c>
      <c r="B4307" s="116">
        <f t="shared" si="67"/>
        <v>102</v>
      </c>
    </row>
    <row r="4308" spans="1:2" x14ac:dyDescent="0.2">
      <c r="A4308" s="117">
        <v>39005</v>
      </c>
      <c r="B4308" s="116">
        <f t="shared" si="67"/>
        <v>103</v>
      </c>
    </row>
    <row r="4309" spans="1:2" x14ac:dyDescent="0.2">
      <c r="A4309" s="117">
        <v>39006</v>
      </c>
      <c r="B4309" s="116">
        <f t="shared" si="67"/>
        <v>103</v>
      </c>
    </row>
    <row r="4310" spans="1:2" x14ac:dyDescent="0.2">
      <c r="A4310" s="117">
        <v>39007</v>
      </c>
      <c r="B4310" s="116">
        <f t="shared" si="67"/>
        <v>103</v>
      </c>
    </row>
    <row r="4311" spans="1:2" x14ac:dyDescent="0.2">
      <c r="A4311" s="117">
        <v>39008</v>
      </c>
      <c r="B4311" s="116">
        <f t="shared" si="67"/>
        <v>103</v>
      </c>
    </row>
    <row r="4312" spans="1:2" x14ac:dyDescent="0.2">
      <c r="A4312" s="117">
        <v>39009</v>
      </c>
      <c r="B4312" s="116">
        <f t="shared" si="67"/>
        <v>103</v>
      </c>
    </row>
    <row r="4313" spans="1:2" x14ac:dyDescent="0.2">
      <c r="A4313" s="117">
        <v>39010</v>
      </c>
      <c r="B4313" s="116">
        <f t="shared" si="67"/>
        <v>103</v>
      </c>
    </row>
    <row r="4314" spans="1:2" x14ac:dyDescent="0.2">
      <c r="A4314" s="117">
        <v>39011</v>
      </c>
      <c r="B4314" s="116">
        <f t="shared" si="67"/>
        <v>103</v>
      </c>
    </row>
    <row r="4315" spans="1:2" x14ac:dyDescent="0.2">
      <c r="A4315" s="117">
        <v>39012</v>
      </c>
      <c r="B4315" s="116">
        <f t="shared" si="67"/>
        <v>104</v>
      </c>
    </row>
    <row r="4316" spans="1:2" x14ac:dyDescent="0.2">
      <c r="A4316" s="117">
        <v>39013</v>
      </c>
      <c r="B4316" s="116">
        <f t="shared" si="67"/>
        <v>104</v>
      </c>
    </row>
    <row r="4317" spans="1:2" x14ac:dyDescent="0.2">
      <c r="A4317" s="117">
        <v>39014</v>
      </c>
      <c r="B4317" s="116">
        <f t="shared" si="67"/>
        <v>104</v>
      </c>
    </row>
    <row r="4318" spans="1:2" x14ac:dyDescent="0.2">
      <c r="A4318" s="117">
        <v>39015</v>
      </c>
      <c r="B4318" s="116">
        <f t="shared" si="67"/>
        <v>104</v>
      </c>
    </row>
    <row r="4319" spans="1:2" x14ac:dyDescent="0.2">
      <c r="A4319" s="117">
        <v>39016</v>
      </c>
      <c r="B4319" s="116">
        <f t="shared" si="67"/>
        <v>104</v>
      </c>
    </row>
    <row r="4320" spans="1:2" x14ac:dyDescent="0.2">
      <c r="A4320" s="117">
        <v>39017</v>
      </c>
      <c r="B4320" s="116">
        <f t="shared" si="67"/>
        <v>104</v>
      </c>
    </row>
    <row r="4321" spans="1:2" x14ac:dyDescent="0.2">
      <c r="A4321" s="117">
        <v>39018</v>
      </c>
      <c r="B4321" s="116">
        <f t="shared" si="67"/>
        <v>104</v>
      </c>
    </row>
    <row r="4322" spans="1:2" x14ac:dyDescent="0.2">
      <c r="A4322" s="117">
        <v>39019</v>
      </c>
      <c r="B4322" s="116">
        <f t="shared" si="67"/>
        <v>105</v>
      </c>
    </row>
    <row r="4323" spans="1:2" x14ac:dyDescent="0.2">
      <c r="A4323" s="117">
        <v>39020</v>
      </c>
      <c r="B4323" s="116">
        <f t="shared" si="67"/>
        <v>105</v>
      </c>
    </row>
    <row r="4324" spans="1:2" x14ac:dyDescent="0.2">
      <c r="A4324" s="117">
        <v>39021</v>
      </c>
      <c r="B4324" s="116">
        <f t="shared" si="67"/>
        <v>105</v>
      </c>
    </row>
    <row r="4325" spans="1:2" x14ac:dyDescent="0.2">
      <c r="A4325" s="117">
        <v>39022</v>
      </c>
      <c r="B4325" s="116">
        <f t="shared" si="67"/>
        <v>105</v>
      </c>
    </row>
    <row r="4326" spans="1:2" x14ac:dyDescent="0.2">
      <c r="A4326" s="117">
        <v>39023</v>
      </c>
      <c r="B4326" s="116">
        <f t="shared" si="67"/>
        <v>105</v>
      </c>
    </row>
    <row r="4327" spans="1:2" x14ac:dyDescent="0.2">
      <c r="A4327" s="117">
        <v>39024</v>
      </c>
      <c r="B4327" s="116">
        <f t="shared" si="67"/>
        <v>105</v>
      </c>
    </row>
    <row r="4328" spans="1:2" x14ac:dyDescent="0.2">
      <c r="A4328" s="117">
        <v>39025</v>
      </c>
      <c r="B4328" s="116">
        <f t="shared" si="67"/>
        <v>105</v>
      </c>
    </row>
    <row r="4329" spans="1:2" x14ac:dyDescent="0.2">
      <c r="A4329" s="117">
        <v>39026</v>
      </c>
      <c r="B4329" s="116">
        <f t="shared" si="67"/>
        <v>111</v>
      </c>
    </row>
    <row r="4330" spans="1:2" x14ac:dyDescent="0.2">
      <c r="A4330" s="117">
        <v>39027</v>
      </c>
      <c r="B4330" s="116">
        <f t="shared" si="67"/>
        <v>111</v>
      </c>
    </row>
    <row r="4331" spans="1:2" x14ac:dyDescent="0.2">
      <c r="A4331" s="117">
        <v>39028</v>
      </c>
      <c r="B4331" s="116">
        <f t="shared" si="67"/>
        <v>111</v>
      </c>
    </row>
    <row r="4332" spans="1:2" x14ac:dyDescent="0.2">
      <c r="A4332" s="117">
        <v>39029</v>
      </c>
      <c r="B4332" s="116">
        <f t="shared" si="67"/>
        <v>111</v>
      </c>
    </row>
    <row r="4333" spans="1:2" x14ac:dyDescent="0.2">
      <c r="A4333" s="117">
        <v>39030</v>
      </c>
      <c r="B4333" s="116">
        <f t="shared" si="67"/>
        <v>111</v>
      </c>
    </row>
    <row r="4334" spans="1:2" x14ac:dyDescent="0.2">
      <c r="A4334" s="117">
        <v>39031</v>
      </c>
      <c r="B4334" s="116">
        <f t="shared" si="67"/>
        <v>111</v>
      </c>
    </row>
    <row r="4335" spans="1:2" x14ac:dyDescent="0.2">
      <c r="A4335" s="117">
        <v>39032</v>
      </c>
      <c r="B4335" s="116">
        <f t="shared" si="67"/>
        <v>111</v>
      </c>
    </row>
    <row r="4336" spans="1:2" x14ac:dyDescent="0.2">
      <c r="A4336" s="117">
        <v>39033</v>
      </c>
      <c r="B4336" s="116">
        <f t="shared" si="67"/>
        <v>112</v>
      </c>
    </row>
    <row r="4337" spans="1:2" x14ac:dyDescent="0.2">
      <c r="A4337" s="117">
        <v>39034</v>
      </c>
      <c r="B4337" s="116">
        <f t="shared" si="67"/>
        <v>112</v>
      </c>
    </row>
    <row r="4338" spans="1:2" x14ac:dyDescent="0.2">
      <c r="A4338" s="117">
        <v>39035</v>
      </c>
      <c r="B4338" s="116">
        <f t="shared" si="67"/>
        <v>112</v>
      </c>
    </row>
    <row r="4339" spans="1:2" x14ac:dyDescent="0.2">
      <c r="A4339" s="117">
        <v>39036</v>
      </c>
      <c r="B4339" s="116">
        <f t="shared" si="67"/>
        <v>112</v>
      </c>
    </row>
    <row r="4340" spans="1:2" x14ac:dyDescent="0.2">
      <c r="A4340" s="117">
        <v>39037</v>
      </c>
      <c r="B4340" s="116">
        <f t="shared" si="67"/>
        <v>112</v>
      </c>
    </row>
    <row r="4341" spans="1:2" x14ac:dyDescent="0.2">
      <c r="A4341" s="117">
        <v>39038</v>
      </c>
      <c r="B4341" s="116">
        <f t="shared" si="67"/>
        <v>112</v>
      </c>
    </row>
    <row r="4342" spans="1:2" x14ac:dyDescent="0.2">
      <c r="A4342" s="117">
        <v>39039</v>
      </c>
      <c r="B4342" s="116">
        <f t="shared" si="67"/>
        <v>112</v>
      </c>
    </row>
    <row r="4343" spans="1:2" x14ac:dyDescent="0.2">
      <c r="A4343" s="117">
        <v>39040</v>
      </c>
      <c r="B4343" s="116">
        <f t="shared" si="67"/>
        <v>113</v>
      </c>
    </row>
    <row r="4344" spans="1:2" x14ac:dyDescent="0.2">
      <c r="A4344" s="117">
        <v>39041</v>
      </c>
      <c r="B4344" s="116">
        <f t="shared" si="67"/>
        <v>113</v>
      </c>
    </row>
    <row r="4345" spans="1:2" x14ac:dyDescent="0.2">
      <c r="A4345" s="117">
        <v>39042</v>
      </c>
      <c r="B4345" s="116">
        <f t="shared" si="67"/>
        <v>113</v>
      </c>
    </row>
    <row r="4346" spans="1:2" x14ac:dyDescent="0.2">
      <c r="A4346" s="117">
        <v>39043</v>
      </c>
      <c r="B4346" s="116">
        <f t="shared" si="67"/>
        <v>113</v>
      </c>
    </row>
    <row r="4347" spans="1:2" x14ac:dyDescent="0.2">
      <c r="A4347" s="117">
        <v>39044</v>
      </c>
      <c r="B4347" s="116">
        <f t="shared" si="67"/>
        <v>113</v>
      </c>
    </row>
    <row r="4348" spans="1:2" x14ac:dyDescent="0.2">
      <c r="A4348" s="117">
        <v>39045</v>
      </c>
      <c r="B4348" s="116">
        <f t="shared" si="67"/>
        <v>113</v>
      </c>
    </row>
    <row r="4349" spans="1:2" x14ac:dyDescent="0.2">
      <c r="A4349" s="117">
        <v>39046</v>
      </c>
      <c r="B4349" s="116">
        <f t="shared" si="67"/>
        <v>113</v>
      </c>
    </row>
    <row r="4350" spans="1:2" x14ac:dyDescent="0.2">
      <c r="A4350" s="117">
        <v>39047</v>
      </c>
      <c r="B4350" s="116">
        <f t="shared" si="67"/>
        <v>114</v>
      </c>
    </row>
    <row r="4351" spans="1:2" x14ac:dyDescent="0.2">
      <c r="A4351" s="117">
        <v>39048</v>
      </c>
      <c r="B4351" s="116">
        <f t="shared" si="67"/>
        <v>114</v>
      </c>
    </row>
    <row r="4352" spans="1:2" x14ac:dyDescent="0.2">
      <c r="A4352" s="117">
        <v>39049</v>
      </c>
      <c r="B4352" s="116">
        <f t="shared" si="67"/>
        <v>114</v>
      </c>
    </row>
    <row r="4353" spans="1:2" x14ac:dyDescent="0.2">
      <c r="A4353" s="117">
        <v>39050</v>
      </c>
      <c r="B4353" s="116">
        <f t="shared" si="67"/>
        <v>114</v>
      </c>
    </row>
    <row r="4354" spans="1:2" x14ac:dyDescent="0.2">
      <c r="A4354" s="117">
        <v>39051</v>
      </c>
      <c r="B4354" s="116">
        <f t="shared" si="67"/>
        <v>114</v>
      </c>
    </row>
    <row r="4355" spans="1:2" x14ac:dyDescent="0.2">
      <c r="A4355" s="117">
        <v>39052</v>
      </c>
      <c r="B4355" s="116">
        <f t="shared" si="67"/>
        <v>114</v>
      </c>
    </row>
    <row r="4356" spans="1:2" x14ac:dyDescent="0.2">
      <c r="A4356" s="117">
        <v>39053</v>
      </c>
      <c r="B4356" s="116">
        <f t="shared" ref="B4356:B4419" si="68">VLOOKUP(WEEKNUM(A4356),$D$4:$E$59,2)</f>
        <v>114</v>
      </c>
    </row>
    <row r="4357" spans="1:2" x14ac:dyDescent="0.2">
      <c r="A4357" s="117">
        <v>39054</v>
      </c>
      <c r="B4357" s="116">
        <f t="shared" si="68"/>
        <v>115</v>
      </c>
    </row>
    <row r="4358" spans="1:2" x14ac:dyDescent="0.2">
      <c r="A4358" s="117">
        <v>39055</v>
      </c>
      <c r="B4358" s="116">
        <f t="shared" si="68"/>
        <v>115</v>
      </c>
    </row>
    <row r="4359" spans="1:2" x14ac:dyDescent="0.2">
      <c r="A4359" s="117">
        <v>39056</v>
      </c>
      <c r="B4359" s="116">
        <f t="shared" si="68"/>
        <v>115</v>
      </c>
    </row>
    <row r="4360" spans="1:2" x14ac:dyDescent="0.2">
      <c r="A4360" s="117">
        <v>39057</v>
      </c>
      <c r="B4360" s="116">
        <f t="shared" si="68"/>
        <v>115</v>
      </c>
    </row>
    <row r="4361" spans="1:2" x14ac:dyDescent="0.2">
      <c r="A4361" s="117">
        <v>39058</v>
      </c>
      <c r="B4361" s="116">
        <f t="shared" si="68"/>
        <v>115</v>
      </c>
    </row>
    <row r="4362" spans="1:2" x14ac:dyDescent="0.2">
      <c r="A4362" s="117">
        <v>39059</v>
      </c>
      <c r="B4362" s="116">
        <f t="shared" si="68"/>
        <v>115</v>
      </c>
    </row>
    <row r="4363" spans="1:2" x14ac:dyDescent="0.2">
      <c r="A4363" s="117">
        <v>39060</v>
      </c>
      <c r="B4363" s="116">
        <f t="shared" si="68"/>
        <v>115</v>
      </c>
    </row>
    <row r="4364" spans="1:2" x14ac:dyDescent="0.2">
      <c r="A4364" s="117">
        <v>39061</v>
      </c>
      <c r="B4364" s="116">
        <f t="shared" si="68"/>
        <v>121</v>
      </c>
    </row>
    <row r="4365" spans="1:2" x14ac:dyDescent="0.2">
      <c r="A4365" s="117">
        <v>39062</v>
      </c>
      <c r="B4365" s="116">
        <f t="shared" si="68"/>
        <v>121</v>
      </c>
    </row>
    <row r="4366" spans="1:2" x14ac:dyDescent="0.2">
      <c r="A4366" s="117">
        <v>39063</v>
      </c>
      <c r="B4366" s="116">
        <f t="shared" si="68"/>
        <v>121</v>
      </c>
    </row>
    <row r="4367" spans="1:2" x14ac:dyDescent="0.2">
      <c r="A4367" s="117">
        <v>39064</v>
      </c>
      <c r="B4367" s="116">
        <f t="shared" si="68"/>
        <v>121</v>
      </c>
    </row>
    <row r="4368" spans="1:2" x14ac:dyDescent="0.2">
      <c r="A4368" s="117">
        <v>39065</v>
      </c>
      <c r="B4368" s="116">
        <f t="shared" si="68"/>
        <v>121</v>
      </c>
    </row>
    <row r="4369" spans="1:2" x14ac:dyDescent="0.2">
      <c r="A4369" s="117">
        <v>39066</v>
      </c>
      <c r="B4369" s="116">
        <f t="shared" si="68"/>
        <v>121</v>
      </c>
    </row>
    <row r="4370" spans="1:2" x14ac:dyDescent="0.2">
      <c r="A4370" s="117">
        <v>39067</v>
      </c>
      <c r="B4370" s="116">
        <f t="shared" si="68"/>
        <v>121</v>
      </c>
    </row>
    <row r="4371" spans="1:2" x14ac:dyDescent="0.2">
      <c r="A4371" s="117">
        <v>39068</v>
      </c>
      <c r="B4371" s="116">
        <f t="shared" si="68"/>
        <v>122</v>
      </c>
    </row>
    <row r="4372" spans="1:2" x14ac:dyDescent="0.2">
      <c r="A4372" s="117">
        <v>39069</v>
      </c>
      <c r="B4372" s="116">
        <f t="shared" si="68"/>
        <v>122</v>
      </c>
    </row>
    <row r="4373" spans="1:2" x14ac:dyDescent="0.2">
      <c r="A4373" s="117">
        <v>39070</v>
      </c>
      <c r="B4373" s="116">
        <f t="shared" si="68"/>
        <v>122</v>
      </c>
    </row>
    <row r="4374" spans="1:2" x14ac:dyDescent="0.2">
      <c r="A4374" s="117">
        <v>39071</v>
      </c>
      <c r="B4374" s="116">
        <f t="shared" si="68"/>
        <v>122</v>
      </c>
    </row>
    <row r="4375" spans="1:2" x14ac:dyDescent="0.2">
      <c r="A4375" s="117">
        <v>39072</v>
      </c>
      <c r="B4375" s="116">
        <f t="shared" si="68"/>
        <v>122</v>
      </c>
    </row>
    <row r="4376" spans="1:2" x14ac:dyDescent="0.2">
      <c r="A4376" s="117">
        <v>39073</v>
      </c>
      <c r="B4376" s="116">
        <f t="shared" si="68"/>
        <v>122</v>
      </c>
    </row>
    <row r="4377" spans="1:2" x14ac:dyDescent="0.2">
      <c r="A4377" s="117">
        <v>39074</v>
      </c>
      <c r="B4377" s="116">
        <f t="shared" si="68"/>
        <v>122</v>
      </c>
    </row>
    <row r="4378" spans="1:2" x14ac:dyDescent="0.2">
      <c r="A4378" s="117">
        <v>39075</v>
      </c>
      <c r="B4378" s="116">
        <f t="shared" si="68"/>
        <v>123</v>
      </c>
    </row>
    <row r="4379" spans="1:2" x14ac:dyDescent="0.2">
      <c r="A4379" s="117">
        <v>39076</v>
      </c>
      <c r="B4379" s="116">
        <f t="shared" si="68"/>
        <v>123</v>
      </c>
    </row>
    <row r="4380" spans="1:2" x14ac:dyDescent="0.2">
      <c r="A4380" s="117">
        <v>39077</v>
      </c>
      <c r="B4380" s="116">
        <f t="shared" si="68"/>
        <v>123</v>
      </c>
    </row>
    <row r="4381" spans="1:2" x14ac:dyDescent="0.2">
      <c r="A4381" s="117">
        <v>39078</v>
      </c>
      <c r="B4381" s="116">
        <f t="shared" si="68"/>
        <v>123</v>
      </c>
    </row>
    <row r="4382" spans="1:2" x14ac:dyDescent="0.2">
      <c r="A4382" s="117">
        <v>39079</v>
      </c>
      <c r="B4382" s="116">
        <f t="shared" si="68"/>
        <v>123</v>
      </c>
    </row>
    <row r="4383" spans="1:2" x14ac:dyDescent="0.2">
      <c r="A4383" s="117">
        <v>39080</v>
      </c>
      <c r="B4383" s="116">
        <f t="shared" si="68"/>
        <v>123</v>
      </c>
    </row>
    <row r="4384" spans="1:2" x14ac:dyDescent="0.2">
      <c r="A4384" s="117">
        <v>39081</v>
      </c>
      <c r="B4384" s="116">
        <f t="shared" si="68"/>
        <v>123</v>
      </c>
    </row>
    <row r="4385" spans="1:2" x14ac:dyDescent="0.2">
      <c r="A4385" s="117">
        <v>39082</v>
      </c>
      <c r="B4385" s="116">
        <f t="shared" si="68"/>
        <v>124</v>
      </c>
    </row>
    <row r="4386" spans="1:2" x14ac:dyDescent="0.2">
      <c r="A4386" s="117">
        <v>39083</v>
      </c>
      <c r="B4386" s="116">
        <f t="shared" si="68"/>
        <v>11</v>
      </c>
    </row>
    <row r="4387" spans="1:2" x14ac:dyDescent="0.2">
      <c r="A4387" s="117">
        <v>39084</v>
      </c>
      <c r="B4387" s="116">
        <f t="shared" si="68"/>
        <v>11</v>
      </c>
    </row>
    <row r="4388" spans="1:2" x14ac:dyDescent="0.2">
      <c r="A4388" s="117">
        <v>39085</v>
      </c>
      <c r="B4388" s="116">
        <f t="shared" si="68"/>
        <v>11</v>
      </c>
    </row>
    <row r="4389" spans="1:2" x14ac:dyDescent="0.2">
      <c r="A4389" s="117">
        <v>39086</v>
      </c>
      <c r="B4389" s="116">
        <f t="shared" si="68"/>
        <v>11</v>
      </c>
    </row>
    <row r="4390" spans="1:2" x14ac:dyDescent="0.2">
      <c r="A4390" s="117">
        <v>39087</v>
      </c>
      <c r="B4390" s="116">
        <f t="shared" si="68"/>
        <v>11</v>
      </c>
    </row>
    <row r="4391" spans="1:2" x14ac:dyDescent="0.2">
      <c r="A4391" s="117">
        <v>39088</v>
      </c>
      <c r="B4391" s="116">
        <f t="shared" si="68"/>
        <v>11</v>
      </c>
    </row>
    <row r="4392" spans="1:2" x14ac:dyDescent="0.2">
      <c r="A4392" s="117">
        <v>39089</v>
      </c>
      <c r="B4392" s="116">
        <f t="shared" si="68"/>
        <v>12</v>
      </c>
    </row>
    <row r="4393" spans="1:2" x14ac:dyDescent="0.2">
      <c r="A4393" s="117">
        <v>39090</v>
      </c>
      <c r="B4393" s="116">
        <f t="shared" si="68"/>
        <v>12</v>
      </c>
    </row>
    <row r="4394" spans="1:2" x14ac:dyDescent="0.2">
      <c r="A4394" s="117">
        <v>39091</v>
      </c>
      <c r="B4394" s="116">
        <f t="shared" si="68"/>
        <v>12</v>
      </c>
    </row>
    <row r="4395" spans="1:2" x14ac:dyDescent="0.2">
      <c r="A4395" s="117">
        <v>39092</v>
      </c>
      <c r="B4395" s="116">
        <f t="shared" si="68"/>
        <v>12</v>
      </c>
    </row>
    <row r="4396" spans="1:2" x14ac:dyDescent="0.2">
      <c r="A4396" s="117">
        <v>39093</v>
      </c>
      <c r="B4396" s="116">
        <f t="shared" si="68"/>
        <v>12</v>
      </c>
    </row>
    <row r="4397" spans="1:2" x14ac:dyDescent="0.2">
      <c r="A4397" s="117">
        <v>39094</v>
      </c>
      <c r="B4397" s="116">
        <f t="shared" si="68"/>
        <v>12</v>
      </c>
    </row>
    <row r="4398" spans="1:2" x14ac:dyDescent="0.2">
      <c r="A4398" s="117">
        <v>39095</v>
      </c>
      <c r="B4398" s="116">
        <f t="shared" si="68"/>
        <v>12</v>
      </c>
    </row>
    <row r="4399" spans="1:2" x14ac:dyDescent="0.2">
      <c r="A4399" s="117">
        <v>39096</v>
      </c>
      <c r="B4399" s="116">
        <f t="shared" si="68"/>
        <v>13</v>
      </c>
    </row>
    <row r="4400" spans="1:2" x14ac:dyDescent="0.2">
      <c r="A4400" s="117">
        <v>39097</v>
      </c>
      <c r="B4400" s="116">
        <f t="shared" si="68"/>
        <v>13</v>
      </c>
    </row>
    <row r="4401" spans="1:2" x14ac:dyDescent="0.2">
      <c r="A4401" s="117">
        <v>39098</v>
      </c>
      <c r="B4401" s="116">
        <f t="shared" si="68"/>
        <v>13</v>
      </c>
    </row>
    <row r="4402" spans="1:2" x14ac:dyDescent="0.2">
      <c r="A4402" s="117">
        <v>39099</v>
      </c>
      <c r="B4402" s="116">
        <f t="shared" si="68"/>
        <v>13</v>
      </c>
    </row>
    <row r="4403" spans="1:2" x14ac:dyDescent="0.2">
      <c r="A4403" s="117">
        <v>39100</v>
      </c>
      <c r="B4403" s="116">
        <f t="shared" si="68"/>
        <v>13</v>
      </c>
    </row>
    <row r="4404" spans="1:2" x14ac:dyDescent="0.2">
      <c r="A4404" s="117">
        <v>39101</v>
      </c>
      <c r="B4404" s="116">
        <f t="shared" si="68"/>
        <v>13</v>
      </c>
    </row>
    <row r="4405" spans="1:2" x14ac:dyDescent="0.2">
      <c r="A4405" s="117">
        <v>39102</v>
      </c>
      <c r="B4405" s="116">
        <f t="shared" si="68"/>
        <v>13</v>
      </c>
    </row>
    <row r="4406" spans="1:2" x14ac:dyDescent="0.2">
      <c r="A4406" s="117">
        <v>39103</v>
      </c>
      <c r="B4406" s="116">
        <f t="shared" si="68"/>
        <v>14</v>
      </c>
    </row>
    <row r="4407" spans="1:2" x14ac:dyDescent="0.2">
      <c r="A4407" s="117">
        <v>39104</v>
      </c>
      <c r="B4407" s="116">
        <f t="shared" si="68"/>
        <v>14</v>
      </c>
    </row>
    <row r="4408" spans="1:2" x14ac:dyDescent="0.2">
      <c r="A4408" s="117">
        <v>39105</v>
      </c>
      <c r="B4408" s="116">
        <f t="shared" si="68"/>
        <v>14</v>
      </c>
    </row>
    <row r="4409" spans="1:2" x14ac:dyDescent="0.2">
      <c r="A4409" s="117">
        <v>39106</v>
      </c>
      <c r="B4409" s="116">
        <f t="shared" si="68"/>
        <v>14</v>
      </c>
    </row>
    <row r="4410" spans="1:2" x14ac:dyDescent="0.2">
      <c r="A4410" s="117">
        <v>39107</v>
      </c>
      <c r="B4410" s="116">
        <f t="shared" si="68"/>
        <v>14</v>
      </c>
    </row>
    <row r="4411" spans="1:2" x14ac:dyDescent="0.2">
      <c r="A4411" s="117">
        <v>39108</v>
      </c>
      <c r="B4411" s="116">
        <f t="shared" si="68"/>
        <v>14</v>
      </c>
    </row>
    <row r="4412" spans="1:2" x14ac:dyDescent="0.2">
      <c r="A4412" s="117">
        <v>39109</v>
      </c>
      <c r="B4412" s="116">
        <f t="shared" si="68"/>
        <v>14</v>
      </c>
    </row>
    <row r="4413" spans="1:2" x14ac:dyDescent="0.2">
      <c r="A4413" s="117">
        <v>39110</v>
      </c>
      <c r="B4413" s="116">
        <f t="shared" si="68"/>
        <v>15</v>
      </c>
    </row>
    <row r="4414" spans="1:2" x14ac:dyDescent="0.2">
      <c r="A4414" s="117">
        <v>39111</v>
      </c>
      <c r="B4414" s="116">
        <f t="shared" si="68"/>
        <v>15</v>
      </c>
    </row>
    <row r="4415" spans="1:2" x14ac:dyDescent="0.2">
      <c r="A4415" s="117">
        <v>39112</v>
      </c>
      <c r="B4415" s="116">
        <f t="shared" si="68"/>
        <v>15</v>
      </c>
    </row>
    <row r="4416" spans="1:2" x14ac:dyDescent="0.2">
      <c r="A4416" s="117">
        <v>39113</v>
      </c>
      <c r="B4416" s="116">
        <f t="shared" si="68"/>
        <v>15</v>
      </c>
    </row>
    <row r="4417" spans="1:2" x14ac:dyDescent="0.2">
      <c r="A4417" s="117">
        <v>39114</v>
      </c>
      <c r="B4417" s="116">
        <f t="shared" si="68"/>
        <v>15</v>
      </c>
    </row>
    <row r="4418" spans="1:2" x14ac:dyDescent="0.2">
      <c r="A4418" s="117">
        <v>39115</v>
      </c>
      <c r="B4418" s="116">
        <f t="shared" si="68"/>
        <v>15</v>
      </c>
    </row>
    <row r="4419" spans="1:2" x14ac:dyDescent="0.2">
      <c r="A4419" s="117">
        <v>39116</v>
      </c>
      <c r="B4419" s="116">
        <f t="shared" si="68"/>
        <v>15</v>
      </c>
    </row>
    <row r="4420" spans="1:2" x14ac:dyDescent="0.2">
      <c r="A4420" s="117">
        <v>39117</v>
      </c>
      <c r="B4420" s="116">
        <f t="shared" ref="B4420:B4483" si="69">VLOOKUP(WEEKNUM(A4420),$D$4:$E$59,2)</f>
        <v>21</v>
      </c>
    </row>
    <row r="4421" spans="1:2" x14ac:dyDescent="0.2">
      <c r="A4421" s="117">
        <v>39118</v>
      </c>
      <c r="B4421" s="116">
        <f t="shared" si="69"/>
        <v>21</v>
      </c>
    </row>
    <row r="4422" spans="1:2" x14ac:dyDescent="0.2">
      <c r="A4422" s="117">
        <v>39119</v>
      </c>
      <c r="B4422" s="116">
        <f t="shared" si="69"/>
        <v>21</v>
      </c>
    </row>
    <row r="4423" spans="1:2" x14ac:dyDescent="0.2">
      <c r="A4423" s="117">
        <v>39120</v>
      </c>
      <c r="B4423" s="116">
        <f t="shared" si="69"/>
        <v>21</v>
      </c>
    </row>
    <row r="4424" spans="1:2" x14ac:dyDescent="0.2">
      <c r="A4424" s="117">
        <v>39121</v>
      </c>
      <c r="B4424" s="116">
        <f t="shared" si="69"/>
        <v>21</v>
      </c>
    </row>
    <row r="4425" spans="1:2" x14ac:dyDescent="0.2">
      <c r="A4425" s="117">
        <v>39122</v>
      </c>
      <c r="B4425" s="116">
        <f t="shared" si="69"/>
        <v>21</v>
      </c>
    </row>
    <row r="4426" spans="1:2" x14ac:dyDescent="0.2">
      <c r="A4426" s="117">
        <v>39123</v>
      </c>
      <c r="B4426" s="116">
        <f t="shared" si="69"/>
        <v>21</v>
      </c>
    </row>
    <row r="4427" spans="1:2" x14ac:dyDescent="0.2">
      <c r="A4427" s="117">
        <v>39124</v>
      </c>
      <c r="B4427" s="116">
        <f t="shared" si="69"/>
        <v>22</v>
      </c>
    </row>
    <row r="4428" spans="1:2" x14ac:dyDescent="0.2">
      <c r="A4428" s="117">
        <v>39125</v>
      </c>
      <c r="B4428" s="116">
        <f t="shared" si="69"/>
        <v>22</v>
      </c>
    </row>
    <row r="4429" spans="1:2" x14ac:dyDescent="0.2">
      <c r="A4429" s="117">
        <v>39126</v>
      </c>
      <c r="B4429" s="116">
        <f t="shared" si="69"/>
        <v>22</v>
      </c>
    </row>
    <row r="4430" spans="1:2" x14ac:dyDescent="0.2">
      <c r="A4430" s="117">
        <v>39127</v>
      </c>
      <c r="B4430" s="116">
        <f t="shared" si="69"/>
        <v>22</v>
      </c>
    </row>
    <row r="4431" spans="1:2" x14ac:dyDescent="0.2">
      <c r="A4431" s="117">
        <v>39128</v>
      </c>
      <c r="B4431" s="116">
        <f t="shared" si="69"/>
        <v>22</v>
      </c>
    </row>
    <row r="4432" spans="1:2" x14ac:dyDescent="0.2">
      <c r="A4432" s="117">
        <v>39129</v>
      </c>
      <c r="B4432" s="116">
        <f t="shared" si="69"/>
        <v>22</v>
      </c>
    </row>
    <row r="4433" spans="1:2" x14ac:dyDescent="0.2">
      <c r="A4433" s="117">
        <v>39130</v>
      </c>
      <c r="B4433" s="116">
        <f t="shared" si="69"/>
        <v>22</v>
      </c>
    </row>
    <row r="4434" spans="1:2" x14ac:dyDescent="0.2">
      <c r="A4434" s="117">
        <v>39131</v>
      </c>
      <c r="B4434" s="116">
        <f t="shared" si="69"/>
        <v>23</v>
      </c>
    </row>
    <row r="4435" spans="1:2" x14ac:dyDescent="0.2">
      <c r="A4435" s="117">
        <v>39132</v>
      </c>
      <c r="B4435" s="116">
        <f t="shared" si="69"/>
        <v>23</v>
      </c>
    </row>
    <row r="4436" spans="1:2" x14ac:dyDescent="0.2">
      <c r="A4436" s="117">
        <v>39133</v>
      </c>
      <c r="B4436" s="116">
        <f t="shared" si="69"/>
        <v>23</v>
      </c>
    </row>
    <row r="4437" spans="1:2" x14ac:dyDescent="0.2">
      <c r="A4437" s="117">
        <v>39134</v>
      </c>
      <c r="B4437" s="116">
        <f t="shared" si="69"/>
        <v>23</v>
      </c>
    </row>
    <row r="4438" spans="1:2" x14ac:dyDescent="0.2">
      <c r="A4438" s="117">
        <v>39135</v>
      </c>
      <c r="B4438" s="116">
        <f t="shared" si="69"/>
        <v>23</v>
      </c>
    </row>
    <row r="4439" spans="1:2" x14ac:dyDescent="0.2">
      <c r="A4439" s="117">
        <v>39136</v>
      </c>
      <c r="B4439" s="116">
        <f t="shared" si="69"/>
        <v>23</v>
      </c>
    </row>
    <row r="4440" spans="1:2" x14ac:dyDescent="0.2">
      <c r="A4440" s="117">
        <v>39137</v>
      </c>
      <c r="B4440" s="116">
        <f t="shared" si="69"/>
        <v>23</v>
      </c>
    </row>
    <row r="4441" spans="1:2" x14ac:dyDescent="0.2">
      <c r="A4441" s="117">
        <v>39138</v>
      </c>
      <c r="B4441" s="116">
        <f t="shared" si="69"/>
        <v>24</v>
      </c>
    </row>
    <row r="4442" spans="1:2" x14ac:dyDescent="0.2">
      <c r="A4442" s="117">
        <v>39139</v>
      </c>
      <c r="B4442" s="116">
        <f t="shared" si="69"/>
        <v>24</v>
      </c>
    </row>
    <row r="4443" spans="1:2" x14ac:dyDescent="0.2">
      <c r="A4443" s="117">
        <v>39140</v>
      </c>
      <c r="B4443" s="116">
        <f t="shared" si="69"/>
        <v>24</v>
      </c>
    </row>
    <row r="4444" spans="1:2" x14ac:dyDescent="0.2">
      <c r="A4444" s="117">
        <v>39141</v>
      </c>
      <c r="B4444" s="116">
        <f t="shared" si="69"/>
        <v>24</v>
      </c>
    </row>
    <row r="4445" spans="1:2" x14ac:dyDescent="0.2">
      <c r="A4445" s="117">
        <v>39142</v>
      </c>
      <c r="B4445" s="116">
        <f t="shared" si="69"/>
        <v>24</v>
      </c>
    </row>
    <row r="4446" spans="1:2" x14ac:dyDescent="0.2">
      <c r="A4446" s="117">
        <v>39143</v>
      </c>
      <c r="B4446" s="116">
        <f t="shared" si="69"/>
        <v>24</v>
      </c>
    </row>
    <row r="4447" spans="1:2" x14ac:dyDescent="0.2">
      <c r="A4447" s="117">
        <v>39144</v>
      </c>
      <c r="B4447" s="116">
        <f t="shared" si="69"/>
        <v>24</v>
      </c>
    </row>
    <row r="4448" spans="1:2" x14ac:dyDescent="0.2">
      <c r="A4448" s="117">
        <v>39145</v>
      </c>
      <c r="B4448" s="116">
        <f t="shared" si="69"/>
        <v>31</v>
      </c>
    </row>
    <row r="4449" spans="1:2" x14ac:dyDescent="0.2">
      <c r="A4449" s="117">
        <v>39146</v>
      </c>
      <c r="B4449" s="116">
        <f t="shared" si="69"/>
        <v>31</v>
      </c>
    </row>
    <row r="4450" spans="1:2" x14ac:dyDescent="0.2">
      <c r="A4450" s="117">
        <v>39147</v>
      </c>
      <c r="B4450" s="116">
        <f t="shared" si="69"/>
        <v>31</v>
      </c>
    </row>
    <row r="4451" spans="1:2" x14ac:dyDescent="0.2">
      <c r="A4451" s="117">
        <v>39148</v>
      </c>
      <c r="B4451" s="116">
        <f t="shared" si="69"/>
        <v>31</v>
      </c>
    </row>
    <row r="4452" spans="1:2" x14ac:dyDescent="0.2">
      <c r="A4452" s="117">
        <v>39149</v>
      </c>
      <c r="B4452" s="116">
        <f t="shared" si="69"/>
        <v>31</v>
      </c>
    </row>
    <row r="4453" spans="1:2" x14ac:dyDescent="0.2">
      <c r="A4453" s="117">
        <v>39150</v>
      </c>
      <c r="B4453" s="116">
        <f t="shared" si="69"/>
        <v>31</v>
      </c>
    </row>
    <row r="4454" spans="1:2" x14ac:dyDescent="0.2">
      <c r="A4454" s="117">
        <v>39151</v>
      </c>
      <c r="B4454" s="116">
        <f t="shared" si="69"/>
        <v>31</v>
      </c>
    </row>
    <row r="4455" spans="1:2" x14ac:dyDescent="0.2">
      <c r="A4455" s="117">
        <v>39152</v>
      </c>
      <c r="B4455" s="116">
        <f t="shared" si="69"/>
        <v>32</v>
      </c>
    </row>
    <row r="4456" spans="1:2" x14ac:dyDescent="0.2">
      <c r="A4456" s="117">
        <v>39153</v>
      </c>
      <c r="B4456" s="116">
        <f t="shared" si="69"/>
        <v>32</v>
      </c>
    </row>
    <row r="4457" spans="1:2" x14ac:dyDescent="0.2">
      <c r="A4457" s="117">
        <v>39154</v>
      </c>
      <c r="B4457" s="116">
        <f t="shared" si="69"/>
        <v>32</v>
      </c>
    </row>
    <row r="4458" spans="1:2" x14ac:dyDescent="0.2">
      <c r="A4458" s="117">
        <v>39155</v>
      </c>
      <c r="B4458" s="116">
        <f t="shared" si="69"/>
        <v>32</v>
      </c>
    </row>
    <row r="4459" spans="1:2" x14ac:dyDescent="0.2">
      <c r="A4459" s="117">
        <v>39156</v>
      </c>
      <c r="B4459" s="116">
        <f t="shared" si="69"/>
        <v>32</v>
      </c>
    </row>
    <row r="4460" spans="1:2" x14ac:dyDescent="0.2">
      <c r="A4460" s="117">
        <v>39157</v>
      </c>
      <c r="B4460" s="116">
        <f t="shared" si="69"/>
        <v>32</v>
      </c>
    </row>
    <row r="4461" spans="1:2" x14ac:dyDescent="0.2">
      <c r="A4461" s="117">
        <v>39158</v>
      </c>
      <c r="B4461" s="116">
        <f t="shared" si="69"/>
        <v>32</v>
      </c>
    </row>
    <row r="4462" spans="1:2" x14ac:dyDescent="0.2">
      <c r="A4462" s="117">
        <v>39159</v>
      </c>
      <c r="B4462" s="116">
        <f t="shared" si="69"/>
        <v>33</v>
      </c>
    </row>
    <row r="4463" spans="1:2" x14ac:dyDescent="0.2">
      <c r="A4463" s="117">
        <v>39160</v>
      </c>
      <c r="B4463" s="116">
        <f t="shared" si="69"/>
        <v>33</v>
      </c>
    </row>
    <row r="4464" spans="1:2" x14ac:dyDescent="0.2">
      <c r="A4464" s="117">
        <v>39161</v>
      </c>
      <c r="B4464" s="116">
        <f t="shared" si="69"/>
        <v>33</v>
      </c>
    </row>
    <row r="4465" spans="1:2" x14ac:dyDescent="0.2">
      <c r="A4465" s="117">
        <v>39162</v>
      </c>
      <c r="B4465" s="116">
        <f t="shared" si="69"/>
        <v>33</v>
      </c>
    </row>
    <row r="4466" spans="1:2" x14ac:dyDescent="0.2">
      <c r="A4466" s="117">
        <v>39163</v>
      </c>
      <c r="B4466" s="116">
        <f t="shared" si="69"/>
        <v>33</v>
      </c>
    </row>
    <row r="4467" spans="1:2" x14ac:dyDescent="0.2">
      <c r="A4467" s="117">
        <v>39164</v>
      </c>
      <c r="B4467" s="116">
        <f t="shared" si="69"/>
        <v>33</v>
      </c>
    </row>
    <row r="4468" spans="1:2" x14ac:dyDescent="0.2">
      <c r="A4468" s="117">
        <v>39165</v>
      </c>
      <c r="B4468" s="116">
        <f t="shared" si="69"/>
        <v>33</v>
      </c>
    </row>
    <row r="4469" spans="1:2" x14ac:dyDescent="0.2">
      <c r="A4469" s="117">
        <v>39166</v>
      </c>
      <c r="B4469" s="116">
        <f t="shared" si="69"/>
        <v>34</v>
      </c>
    </row>
    <row r="4470" spans="1:2" x14ac:dyDescent="0.2">
      <c r="A4470" s="117">
        <v>39167</v>
      </c>
      <c r="B4470" s="116">
        <f t="shared" si="69"/>
        <v>34</v>
      </c>
    </row>
    <row r="4471" spans="1:2" x14ac:dyDescent="0.2">
      <c r="A4471" s="117">
        <v>39168</v>
      </c>
      <c r="B4471" s="116">
        <f t="shared" si="69"/>
        <v>34</v>
      </c>
    </row>
    <row r="4472" spans="1:2" x14ac:dyDescent="0.2">
      <c r="A4472" s="117">
        <v>39169</v>
      </c>
      <c r="B4472" s="116">
        <f t="shared" si="69"/>
        <v>34</v>
      </c>
    </row>
    <row r="4473" spans="1:2" x14ac:dyDescent="0.2">
      <c r="A4473" s="117">
        <v>39170</v>
      </c>
      <c r="B4473" s="116">
        <f t="shared" si="69"/>
        <v>34</v>
      </c>
    </row>
    <row r="4474" spans="1:2" x14ac:dyDescent="0.2">
      <c r="A4474" s="117">
        <v>39171</v>
      </c>
      <c r="B4474" s="116">
        <f t="shared" si="69"/>
        <v>34</v>
      </c>
    </row>
    <row r="4475" spans="1:2" x14ac:dyDescent="0.2">
      <c r="A4475" s="117">
        <v>39172</v>
      </c>
      <c r="B4475" s="116">
        <f t="shared" si="69"/>
        <v>34</v>
      </c>
    </row>
    <row r="4476" spans="1:2" x14ac:dyDescent="0.2">
      <c r="A4476" s="117">
        <v>39173</v>
      </c>
      <c r="B4476" s="116">
        <f t="shared" si="69"/>
        <v>41</v>
      </c>
    </row>
    <row r="4477" spans="1:2" x14ac:dyDescent="0.2">
      <c r="A4477" s="117">
        <v>39174</v>
      </c>
      <c r="B4477" s="116">
        <f t="shared" si="69"/>
        <v>41</v>
      </c>
    </row>
    <row r="4478" spans="1:2" x14ac:dyDescent="0.2">
      <c r="A4478" s="117">
        <v>39175</v>
      </c>
      <c r="B4478" s="116">
        <f t="shared" si="69"/>
        <v>41</v>
      </c>
    </row>
    <row r="4479" spans="1:2" x14ac:dyDescent="0.2">
      <c r="A4479" s="117">
        <v>39176</v>
      </c>
      <c r="B4479" s="116">
        <f t="shared" si="69"/>
        <v>41</v>
      </c>
    </row>
    <row r="4480" spans="1:2" x14ac:dyDescent="0.2">
      <c r="A4480" s="117">
        <v>39177</v>
      </c>
      <c r="B4480" s="116">
        <f t="shared" si="69"/>
        <v>41</v>
      </c>
    </row>
    <row r="4481" spans="1:2" x14ac:dyDescent="0.2">
      <c r="A4481" s="117">
        <v>39178</v>
      </c>
      <c r="B4481" s="116">
        <f t="shared" si="69"/>
        <v>41</v>
      </c>
    </row>
    <row r="4482" spans="1:2" x14ac:dyDescent="0.2">
      <c r="A4482" s="117">
        <v>39179</v>
      </c>
      <c r="B4482" s="116">
        <f t="shared" si="69"/>
        <v>41</v>
      </c>
    </row>
    <row r="4483" spans="1:2" x14ac:dyDescent="0.2">
      <c r="A4483" s="117">
        <v>39180</v>
      </c>
      <c r="B4483" s="116">
        <f t="shared" si="69"/>
        <v>42</v>
      </c>
    </row>
    <row r="4484" spans="1:2" x14ac:dyDescent="0.2">
      <c r="A4484" s="117">
        <v>39181</v>
      </c>
      <c r="B4484" s="116">
        <f t="shared" ref="B4484:B4547" si="70">VLOOKUP(WEEKNUM(A4484),$D$4:$E$59,2)</f>
        <v>42</v>
      </c>
    </row>
    <row r="4485" spans="1:2" x14ac:dyDescent="0.2">
      <c r="A4485" s="117">
        <v>39182</v>
      </c>
      <c r="B4485" s="116">
        <f t="shared" si="70"/>
        <v>42</v>
      </c>
    </row>
    <row r="4486" spans="1:2" x14ac:dyDescent="0.2">
      <c r="A4486" s="117">
        <v>39183</v>
      </c>
      <c r="B4486" s="116">
        <f t="shared" si="70"/>
        <v>42</v>
      </c>
    </row>
    <row r="4487" spans="1:2" x14ac:dyDescent="0.2">
      <c r="A4487" s="117">
        <v>39184</v>
      </c>
      <c r="B4487" s="116">
        <f t="shared" si="70"/>
        <v>42</v>
      </c>
    </row>
    <row r="4488" spans="1:2" x14ac:dyDescent="0.2">
      <c r="A4488" s="117">
        <v>39185</v>
      </c>
      <c r="B4488" s="116">
        <f t="shared" si="70"/>
        <v>42</v>
      </c>
    </row>
    <row r="4489" spans="1:2" x14ac:dyDescent="0.2">
      <c r="A4489" s="117">
        <v>39186</v>
      </c>
      <c r="B4489" s="116">
        <f t="shared" si="70"/>
        <v>42</v>
      </c>
    </row>
    <row r="4490" spans="1:2" x14ac:dyDescent="0.2">
      <c r="A4490" s="117">
        <v>39187</v>
      </c>
      <c r="B4490" s="116">
        <f t="shared" si="70"/>
        <v>43</v>
      </c>
    </row>
    <row r="4491" spans="1:2" x14ac:dyDescent="0.2">
      <c r="A4491" s="117">
        <v>39188</v>
      </c>
      <c r="B4491" s="116">
        <f t="shared" si="70"/>
        <v>43</v>
      </c>
    </row>
    <row r="4492" spans="1:2" x14ac:dyDescent="0.2">
      <c r="A4492" s="117">
        <v>39189</v>
      </c>
      <c r="B4492" s="116">
        <f t="shared" si="70"/>
        <v>43</v>
      </c>
    </row>
    <row r="4493" spans="1:2" x14ac:dyDescent="0.2">
      <c r="A4493" s="117">
        <v>39190</v>
      </c>
      <c r="B4493" s="116">
        <f t="shared" si="70"/>
        <v>43</v>
      </c>
    </row>
    <row r="4494" spans="1:2" x14ac:dyDescent="0.2">
      <c r="A4494" s="117">
        <v>39191</v>
      </c>
      <c r="B4494" s="116">
        <f t="shared" si="70"/>
        <v>43</v>
      </c>
    </row>
    <row r="4495" spans="1:2" x14ac:dyDescent="0.2">
      <c r="A4495" s="117">
        <v>39192</v>
      </c>
      <c r="B4495" s="116">
        <f t="shared" si="70"/>
        <v>43</v>
      </c>
    </row>
    <row r="4496" spans="1:2" x14ac:dyDescent="0.2">
      <c r="A4496" s="117">
        <v>39193</v>
      </c>
      <c r="B4496" s="116">
        <f t="shared" si="70"/>
        <v>43</v>
      </c>
    </row>
    <row r="4497" spans="1:2" x14ac:dyDescent="0.2">
      <c r="A4497" s="117">
        <v>39194</v>
      </c>
      <c r="B4497" s="116">
        <f t="shared" si="70"/>
        <v>44</v>
      </c>
    </row>
    <row r="4498" spans="1:2" x14ac:dyDescent="0.2">
      <c r="A4498" s="117">
        <v>39195</v>
      </c>
      <c r="B4498" s="116">
        <f t="shared" si="70"/>
        <v>44</v>
      </c>
    </row>
    <row r="4499" spans="1:2" x14ac:dyDescent="0.2">
      <c r="A4499" s="117">
        <v>39196</v>
      </c>
      <c r="B4499" s="116">
        <f t="shared" si="70"/>
        <v>44</v>
      </c>
    </row>
    <row r="4500" spans="1:2" x14ac:dyDescent="0.2">
      <c r="A4500" s="117">
        <v>39197</v>
      </c>
      <c r="B4500" s="116">
        <f t="shared" si="70"/>
        <v>44</v>
      </c>
    </row>
    <row r="4501" spans="1:2" x14ac:dyDescent="0.2">
      <c r="A4501" s="117">
        <v>39198</v>
      </c>
      <c r="B4501" s="116">
        <f t="shared" si="70"/>
        <v>44</v>
      </c>
    </row>
    <row r="4502" spans="1:2" x14ac:dyDescent="0.2">
      <c r="A4502" s="117">
        <v>39199</v>
      </c>
      <c r="B4502" s="116">
        <f t="shared" si="70"/>
        <v>44</v>
      </c>
    </row>
    <row r="4503" spans="1:2" x14ac:dyDescent="0.2">
      <c r="A4503" s="117">
        <v>39200</v>
      </c>
      <c r="B4503" s="116">
        <f t="shared" si="70"/>
        <v>44</v>
      </c>
    </row>
    <row r="4504" spans="1:2" x14ac:dyDescent="0.2">
      <c r="A4504" s="117">
        <v>39201</v>
      </c>
      <c r="B4504" s="116">
        <f t="shared" si="70"/>
        <v>45</v>
      </c>
    </row>
    <row r="4505" spans="1:2" x14ac:dyDescent="0.2">
      <c r="A4505" s="117">
        <v>39202</v>
      </c>
      <c r="B4505" s="116">
        <f t="shared" si="70"/>
        <v>45</v>
      </c>
    </row>
    <row r="4506" spans="1:2" x14ac:dyDescent="0.2">
      <c r="A4506" s="117">
        <v>39203</v>
      </c>
      <c r="B4506" s="116">
        <f t="shared" si="70"/>
        <v>45</v>
      </c>
    </row>
    <row r="4507" spans="1:2" x14ac:dyDescent="0.2">
      <c r="A4507" s="117">
        <v>39204</v>
      </c>
      <c r="B4507" s="116">
        <f t="shared" si="70"/>
        <v>45</v>
      </c>
    </row>
    <row r="4508" spans="1:2" x14ac:dyDescent="0.2">
      <c r="A4508" s="117">
        <v>39205</v>
      </c>
      <c r="B4508" s="116">
        <f t="shared" si="70"/>
        <v>45</v>
      </c>
    </row>
    <row r="4509" spans="1:2" x14ac:dyDescent="0.2">
      <c r="A4509" s="117">
        <v>39206</v>
      </c>
      <c r="B4509" s="116">
        <f t="shared" si="70"/>
        <v>45</v>
      </c>
    </row>
    <row r="4510" spans="1:2" x14ac:dyDescent="0.2">
      <c r="A4510" s="117">
        <v>39207</v>
      </c>
      <c r="B4510" s="116">
        <f t="shared" si="70"/>
        <v>45</v>
      </c>
    </row>
    <row r="4511" spans="1:2" x14ac:dyDescent="0.2">
      <c r="A4511" s="117">
        <v>39208</v>
      </c>
      <c r="B4511" s="116">
        <f t="shared" si="70"/>
        <v>51</v>
      </c>
    </row>
    <row r="4512" spans="1:2" x14ac:dyDescent="0.2">
      <c r="A4512" s="117">
        <v>39209</v>
      </c>
      <c r="B4512" s="116">
        <f t="shared" si="70"/>
        <v>51</v>
      </c>
    </row>
    <row r="4513" spans="1:2" x14ac:dyDescent="0.2">
      <c r="A4513" s="117">
        <v>39210</v>
      </c>
      <c r="B4513" s="116">
        <f t="shared" si="70"/>
        <v>51</v>
      </c>
    </row>
    <row r="4514" spans="1:2" x14ac:dyDescent="0.2">
      <c r="A4514" s="117">
        <v>39211</v>
      </c>
      <c r="B4514" s="116">
        <f t="shared" si="70"/>
        <v>51</v>
      </c>
    </row>
    <row r="4515" spans="1:2" x14ac:dyDescent="0.2">
      <c r="A4515" s="117">
        <v>39212</v>
      </c>
      <c r="B4515" s="116">
        <f t="shared" si="70"/>
        <v>51</v>
      </c>
    </row>
    <row r="4516" spans="1:2" x14ac:dyDescent="0.2">
      <c r="A4516" s="117">
        <v>39213</v>
      </c>
      <c r="B4516" s="116">
        <f t="shared" si="70"/>
        <v>51</v>
      </c>
    </row>
    <row r="4517" spans="1:2" x14ac:dyDescent="0.2">
      <c r="A4517" s="117">
        <v>39214</v>
      </c>
      <c r="B4517" s="116">
        <f t="shared" si="70"/>
        <v>51</v>
      </c>
    </row>
    <row r="4518" spans="1:2" x14ac:dyDescent="0.2">
      <c r="A4518" s="117">
        <v>39215</v>
      </c>
      <c r="B4518" s="116">
        <f t="shared" si="70"/>
        <v>52</v>
      </c>
    </row>
    <row r="4519" spans="1:2" x14ac:dyDescent="0.2">
      <c r="A4519" s="117">
        <v>39216</v>
      </c>
      <c r="B4519" s="116">
        <f t="shared" si="70"/>
        <v>52</v>
      </c>
    </row>
    <row r="4520" spans="1:2" x14ac:dyDescent="0.2">
      <c r="A4520" s="117">
        <v>39217</v>
      </c>
      <c r="B4520" s="116">
        <f t="shared" si="70"/>
        <v>52</v>
      </c>
    </row>
    <row r="4521" spans="1:2" x14ac:dyDescent="0.2">
      <c r="A4521" s="117">
        <v>39218</v>
      </c>
      <c r="B4521" s="116">
        <f t="shared" si="70"/>
        <v>52</v>
      </c>
    </row>
    <row r="4522" spans="1:2" x14ac:dyDescent="0.2">
      <c r="A4522" s="117">
        <v>39219</v>
      </c>
      <c r="B4522" s="116">
        <f t="shared" si="70"/>
        <v>52</v>
      </c>
    </row>
    <row r="4523" spans="1:2" x14ac:dyDescent="0.2">
      <c r="A4523" s="117">
        <v>39220</v>
      </c>
      <c r="B4523" s="116">
        <f t="shared" si="70"/>
        <v>52</v>
      </c>
    </row>
    <row r="4524" spans="1:2" x14ac:dyDescent="0.2">
      <c r="A4524" s="117">
        <v>39221</v>
      </c>
      <c r="B4524" s="116">
        <f t="shared" si="70"/>
        <v>52</v>
      </c>
    </row>
    <row r="4525" spans="1:2" x14ac:dyDescent="0.2">
      <c r="A4525" s="117">
        <v>39222</v>
      </c>
      <c r="B4525" s="116">
        <f t="shared" si="70"/>
        <v>53</v>
      </c>
    </row>
    <row r="4526" spans="1:2" x14ac:dyDescent="0.2">
      <c r="A4526" s="117">
        <v>39223</v>
      </c>
      <c r="B4526" s="116">
        <f t="shared" si="70"/>
        <v>53</v>
      </c>
    </row>
    <row r="4527" spans="1:2" x14ac:dyDescent="0.2">
      <c r="A4527" s="117">
        <v>39224</v>
      </c>
      <c r="B4527" s="116">
        <f t="shared" si="70"/>
        <v>53</v>
      </c>
    </row>
    <row r="4528" spans="1:2" x14ac:dyDescent="0.2">
      <c r="A4528" s="117">
        <v>39225</v>
      </c>
      <c r="B4528" s="116">
        <f t="shared" si="70"/>
        <v>53</v>
      </c>
    </row>
    <row r="4529" spans="1:2" x14ac:dyDescent="0.2">
      <c r="A4529" s="117">
        <v>39226</v>
      </c>
      <c r="B4529" s="116">
        <f t="shared" si="70"/>
        <v>53</v>
      </c>
    </row>
    <row r="4530" spans="1:2" x14ac:dyDescent="0.2">
      <c r="A4530" s="117">
        <v>39227</v>
      </c>
      <c r="B4530" s="116">
        <f t="shared" si="70"/>
        <v>53</v>
      </c>
    </row>
    <row r="4531" spans="1:2" x14ac:dyDescent="0.2">
      <c r="A4531" s="117">
        <v>39228</v>
      </c>
      <c r="B4531" s="116">
        <f t="shared" si="70"/>
        <v>53</v>
      </c>
    </row>
    <row r="4532" spans="1:2" x14ac:dyDescent="0.2">
      <c r="A4532" s="117">
        <v>39229</v>
      </c>
      <c r="B4532" s="116">
        <f t="shared" si="70"/>
        <v>54</v>
      </c>
    </row>
    <row r="4533" spans="1:2" x14ac:dyDescent="0.2">
      <c r="A4533" s="117">
        <v>39230</v>
      </c>
      <c r="B4533" s="116">
        <f t="shared" si="70"/>
        <v>54</v>
      </c>
    </row>
    <row r="4534" spans="1:2" x14ac:dyDescent="0.2">
      <c r="A4534" s="117">
        <v>39231</v>
      </c>
      <c r="B4534" s="116">
        <f t="shared" si="70"/>
        <v>54</v>
      </c>
    </row>
    <row r="4535" spans="1:2" x14ac:dyDescent="0.2">
      <c r="A4535" s="117">
        <v>39232</v>
      </c>
      <c r="B4535" s="116">
        <f t="shared" si="70"/>
        <v>54</v>
      </c>
    </row>
    <row r="4536" spans="1:2" x14ac:dyDescent="0.2">
      <c r="A4536" s="117">
        <v>39233</v>
      </c>
      <c r="B4536" s="116">
        <f t="shared" si="70"/>
        <v>54</v>
      </c>
    </row>
    <row r="4537" spans="1:2" x14ac:dyDescent="0.2">
      <c r="A4537" s="117">
        <v>39234</v>
      </c>
      <c r="B4537" s="116">
        <f t="shared" si="70"/>
        <v>54</v>
      </c>
    </row>
    <row r="4538" spans="1:2" x14ac:dyDescent="0.2">
      <c r="A4538" s="117">
        <v>39235</v>
      </c>
      <c r="B4538" s="116">
        <f t="shared" si="70"/>
        <v>54</v>
      </c>
    </row>
    <row r="4539" spans="1:2" x14ac:dyDescent="0.2">
      <c r="A4539" s="117">
        <v>39236</v>
      </c>
      <c r="B4539" s="116">
        <f t="shared" si="70"/>
        <v>61</v>
      </c>
    </row>
    <row r="4540" spans="1:2" x14ac:dyDescent="0.2">
      <c r="A4540" s="117">
        <v>39237</v>
      </c>
      <c r="B4540" s="116">
        <f t="shared" si="70"/>
        <v>61</v>
      </c>
    </row>
    <row r="4541" spans="1:2" x14ac:dyDescent="0.2">
      <c r="A4541" s="117">
        <v>39238</v>
      </c>
      <c r="B4541" s="116">
        <f t="shared" si="70"/>
        <v>61</v>
      </c>
    </row>
    <row r="4542" spans="1:2" x14ac:dyDescent="0.2">
      <c r="A4542" s="117">
        <v>39239</v>
      </c>
      <c r="B4542" s="116">
        <f t="shared" si="70"/>
        <v>61</v>
      </c>
    </row>
    <row r="4543" spans="1:2" x14ac:dyDescent="0.2">
      <c r="A4543" s="117">
        <v>39240</v>
      </c>
      <c r="B4543" s="116">
        <f t="shared" si="70"/>
        <v>61</v>
      </c>
    </row>
    <row r="4544" spans="1:2" x14ac:dyDescent="0.2">
      <c r="A4544" s="117">
        <v>39241</v>
      </c>
      <c r="B4544" s="116">
        <f t="shared" si="70"/>
        <v>61</v>
      </c>
    </row>
    <row r="4545" spans="1:2" x14ac:dyDescent="0.2">
      <c r="A4545" s="117">
        <v>39242</v>
      </c>
      <c r="B4545" s="116">
        <f t="shared" si="70"/>
        <v>61</v>
      </c>
    </row>
    <row r="4546" spans="1:2" x14ac:dyDescent="0.2">
      <c r="A4546" s="117">
        <v>39243</v>
      </c>
      <c r="B4546" s="116">
        <f t="shared" si="70"/>
        <v>62</v>
      </c>
    </row>
    <row r="4547" spans="1:2" x14ac:dyDescent="0.2">
      <c r="A4547" s="117">
        <v>39244</v>
      </c>
      <c r="B4547" s="116">
        <f t="shared" si="70"/>
        <v>62</v>
      </c>
    </row>
    <row r="4548" spans="1:2" x14ac:dyDescent="0.2">
      <c r="A4548" s="117">
        <v>39245</v>
      </c>
      <c r="B4548" s="116">
        <f t="shared" ref="B4548:B4611" si="71">VLOOKUP(WEEKNUM(A4548),$D$4:$E$59,2)</f>
        <v>62</v>
      </c>
    </row>
    <row r="4549" spans="1:2" x14ac:dyDescent="0.2">
      <c r="A4549" s="117">
        <v>39246</v>
      </c>
      <c r="B4549" s="116">
        <f t="shared" si="71"/>
        <v>62</v>
      </c>
    </row>
    <row r="4550" spans="1:2" x14ac:dyDescent="0.2">
      <c r="A4550" s="117">
        <v>39247</v>
      </c>
      <c r="B4550" s="116">
        <f t="shared" si="71"/>
        <v>62</v>
      </c>
    </row>
    <row r="4551" spans="1:2" x14ac:dyDescent="0.2">
      <c r="A4551" s="117">
        <v>39248</v>
      </c>
      <c r="B4551" s="116">
        <f t="shared" si="71"/>
        <v>62</v>
      </c>
    </row>
    <row r="4552" spans="1:2" x14ac:dyDescent="0.2">
      <c r="A4552" s="117">
        <v>39249</v>
      </c>
      <c r="B4552" s="116">
        <f t="shared" si="71"/>
        <v>62</v>
      </c>
    </row>
    <row r="4553" spans="1:2" x14ac:dyDescent="0.2">
      <c r="A4553" s="117">
        <v>39250</v>
      </c>
      <c r="B4553" s="116">
        <f t="shared" si="71"/>
        <v>63</v>
      </c>
    </row>
    <row r="4554" spans="1:2" x14ac:dyDescent="0.2">
      <c r="A4554" s="117">
        <v>39251</v>
      </c>
      <c r="B4554" s="116">
        <f t="shared" si="71"/>
        <v>63</v>
      </c>
    </row>
    <row r="4555" spans="1:2" x14ac:dyDescent="0.2">
      <c r="A4555" s="117">
        <v>39252</v>
      </c>
      <c r="B4555" s="116">
        <f t="shared" si="71"/>
        <v>63</v>
      </c>
    </row>
    <row r="4556" spans="1:2" x14ac:dyDescent="0.2">
      <c r="A4556" s="117">
        <v>39253</v>
      </c>
      <c r="B4556" s="116">
        <f t="shared" si="71"/>
        <v>63</v>
      </c>
    </row>
    <row r="4557" spans="1:2" x14ac:dyDescent="0.2">
      <c r="A4557" s="117">
        <v>39254</v>
      </c>
      <c r="B4557" s="116">
        <f t="shared" si="71"/>
        <v>63</v>
      </c>
    </row>
    <row r="4558" spans="1:2" x14ac:dyDescent="0.2">
      <c r="A4558" s="117">
        <v>39255</v>
      </c>
      <c r="B4558" s="116">
        <f t="shared" si="71"/>
        <v>63</v>
      </c>
    </row>
    <row r="4559" spans="1:2" x14ac:dyDescent="0.2">
      <c r="A4559" s="117">
        <v>39256</v>
      </c>
      <c r="B4559" s="116">
        <f t="shared" si="71"/>
        <v>63</v>
      </c>
    </row>
    <row r="4560" spans="1:2" x14ac:dyDescent="0.2">
      <c r="A4560" s="117">
        <v>39257</v>
      </c>
      <c r="B4560" s="116">
        <f t="shared" si="71"/>
        <v>64</v>
      </c>
    </row>
    <row r="4561" spans="1:2" x14ac:dyDescent="0.2">
      <c r="A4561" s="117">
        <v>39258</v>
      </c>
      <c r="B4561" s="116">
        <f t="shared" si="71"/>
        <v>64</v>
      </c>
    </row>
    <row r="4562" spans="1:2" x14ac:dyDescent="0.2">
      <c r="A4562" s="117">
        <v>39259</v>
      </c>
      <c r="B4562" s="116">
        <f t="shared" si="71"/>
        <v>64</v>
      </c>
    </row>
    <row r="4563" spans="1:2" x14ac:dyDescent="0.2">
      <c r="A4563" s="117">
        <v>39260</v>
      </c>
      <c r="B4563" s="116">
        <f t="shared" si="71"/>
        <v>64</v>
      </c>
    </row>
    <row r="4564" spans="1:2" x14ac:dyDescent="0.2">
      <c r="A4564" s="117">
        <v>39261</v>
      </c>
      <c r="B4564" s="116">
        <f t="shared" si="71"/>
        <v>64</v>
      </c>
    </row>
    <row r="4565" spans="1:2" x14ac:dyDescent="0.2">
      <c r="A4565" s="117">
        <v>39262</v>
      </c>
      <c r="B4565" s="116">
        <f t="shared" si="71"/>
        <v>64</v>
      </c>
    </row>
    <row r="4566" spans="1:2" x14ac:dyDescent="0.2">
      <c r="A4566" s="117">
        <v>39263</v>
      </c>
      <c r="B4566" s="116">
        <f t="shared" si="71"/>
        <v>64</v>
      </c>
    </row>
    <row r="4567" spans="1:2" x14ac:dyDescent="0.2">
      <c r="A4567" s="117">
        <v>39264</v>
      </c>
      <c r="B4567" s="116">
        <f t="shared" si="71"/>
        <v>71</v>
      </c>
    </row>
    <row r="4568" spans="1:2" x14ac:dyDescent="0.2">
      <c r="A4568" s="117">
        <v>39265</v>
      </c>
      <c r="B4568" s="116">
        <f t="shared" si="71"/>
        <v>71</v>
      </c>
    </row>
    <row r="4569" spans="1:2" x14ac:dyDescent="0.2">
      <c r="A4569" s="117">
        <v>39266</v>
      </c>
      <c r="B4569" s="116">
        <f t="shared" si="71"/>
        <v>71</v>
      </c>
    </row>
    <row r="4570" spans="1:2" x14ac:dyDescent="0.2">
      <c r="A4570" s="117">
        <v>39267</v>
      </c>
      <c r="B4570" s="116">
        <f t="shared" si="71"/>
        <v>71</v>
      </c>
    </row>
    <row r="4571" spans="1:2" x14ac:dyDescent="0.2">
      <c r="A4571" s="117">
        <v>39268</v>
      </c>
      <c r="B4571" s="116">
        <f t="shared" si="71"/>
        <v>71</v>
      </c>
    </row>
    <row r="4572" spans="1:2" x14ac:dyDescent="0.2">
      <c r="A4572" s="117">
        <v>39269</v>
      </c>
      <c r="B4572" s="116">
        <f t="shared" si="71"/>
        <v>71</v>
      </c>
    </row>
    <row r="4573" spans="1:2" x14ac:dyDescent="0.2">
      <c r="A4573" s="117">
        <v>39270</v>
      </c>
      <c r="B4573" s="116">
        <f t="shared" si="71"/>
        <v>71</v>
      </c>
    </row>
    <row r="4574" spans="1:2" x14ac:dyDescent="0.2">
      <c r="A4574" s="117">
        <v>39271</v>
      </c>
      <c r="B4574" s="116">
        <f t="shared" si="71"/>
        <v>72</v>
      </c>
    </row>
    <row r="4575" spans="1:2" x14ac:dyDescent="0.2">
      <c r="A4575" s="117">
        <v>39272</v>
      </c>
      <c r="B4575" s="116">
        <f t="shared" si="71"/>
        <v>72</v>
      </c>
    </row>
    <row r="4576" spans="1:2" x14ac:dyDescent="0.2">
      <c r="A4576" s="117">
        <v>39273</v>
      </c>
      <c r="B4576" s="116">
        <f t="shared" si="71"/>
        <v>72</v>
      </c>
    </row>
    <row r="4577" spans="1:2" x14ac:dyDescent="0.2">
      <c r="A4577" s="117">
        <v>39274</v>
      </c>
      <c r="B4577" s="116">
        <f t="shared" si="71"/>
        <v>72</v>
      </c>
    </row>
    <row r="4578" spans="1:2" x14ac:dyDescent="0.2">
      <c r="A4578" s="117">
        <v>39275</v>
      </c>
      <c r="B4578" s="116">
        <f t="shared" si="71"/>
        <v>72</v>
      </c>
    </row>
    <row r="4579" spans="1:2" x14ac:dyDescent="0.2">
      <c r="A4579" s="117">
        <v>39276</v>
      </c>
      <c r="B4579" s="116">
        <f t="shared" si="71"/>
        <v>72</v>
      </c>
    </row>
    <row r="4580" spans="1:2" x14ac:dyDescent="0.2">
      <c r="A4580" s="117">
        <v>39277</v>
      </c>
      <c r="B4580" s="116">
        <f t="shared" si="71"/>
        <v>72</v>
      </c>
    </row>
    <row r="4581" spans="1:2" x14ac:dyDescent="0.2">
      <c r="A4581" s="117">
        <v>39278</v>
      </c>
      <c r="B4581" s="116">
        <f t="shared" si="71"/>
        <v>73</v>
      </c>
    </row>
    <row r="4582" spans="1:2" x14ac:dyDescent="0.2">
      <c r="A4582" s="117">
        <v>39279</v>
      </c>
      <c r="B4582" s="116">
        <f t="shared" si="71"/>
        <v>73</v>
      </c>
    </row>
    <row r="4583" spans="1:2" x14ac:dyDescent="0.2">
      <c r="A4583" s="117">
        <v>39280</v>
      </c>
      <c r="B4583" s="116">
        <f t="shared" si="71"/>
        <v>73</v>
      </c>
    </row>
    <row r="4584" spans="1:2" x14ac:dyDescent="0.2">
      <c r="A4584" s="117">
        <v>39281</v>
      </c>
      <c r="B4584" s="116">
        <f t="shared" si="71"/>
        <v>73</v>
      </c>
    </row>
    <row r="4585" spans="1:2" x14ac:dyDescent="0.2">
      <c r="A4585" s="117">
        <v>39282</v>
      </c>
      <c r="B4585" s="116">
        <f t="shared" si="71"/>
        <v>73</v>
      </c>
    </row>
    <row r="4586" spans="1:2" x14ac:dyDescent="0.2">
      <c r="A4586" s="117">
        <v>39283</v>
      </c>
      <c r="B4586" s="116">
        <f t="shared" si="71"/>
        <v>73</v>
      </c>
    </row>
    <row r="4587" spans="1:2" x14ac:dyDescent="0.2">
      <c r="A4587" s="117">
        <v>39284</v>
      </c>
      <c r="B4587" s="116">
        <f t="shared" si="71"/>
        <v>73</v>
      </c>
    </row>
    <row r="4588" spans="1:2" x14ac:dyDescent="0.2">
      <c r="A4588" s="117">
        <v>39285</v>
      </c>
      <c r="B4588" s="116">
        <f t="shared" si="71"/>
        <v>74</v>
      </c>
    </row>
    <row r="4589" spans="1:2" x14ac:dyDescent="0.2">
      <c r="A4589" s="117">
        <v>39286</v>
      </c>
      <c r="B4589" s="116">
        <f t="shared" si="71"/>
        <v>74</v>
      </c>
    </row>
    <row r="4590" spans="1:2" x14ac:dyDescent="0.2">
      <c r="A4590" s="117">
        <v>39287</v>
      </c>
      <c r="B4590" s="116">
        <f t="shared" si="71"/>
        <v>74</v>
      </c>
    </row>
    <row r="4591" spans="1:2" x14ac:dyDescent="0.2">
      <c r="A4591" s="117">
        <v>39288</v>
      </c>
      <c r="B4591" s="116">
        <f t="shared" si="71"/>
        <v>74</v>
      </c>
    </row>
    <row r="4592" spans="1:2" x14ac:dyDescent="0.2">
      <c r="A4592" s="117">
        <v>39289</v>
      </c>
      <c r="B4592" s="116">
        <f t="shared" si="71"/>
        <v>74</v>
      </c>
    </row>
    <row r="4593" spans="1:2" x14ac:dyDescent="0.2">
      <c r="A4593" s="117">
        <v>39290</v>
      </c>
      <c r="B4593" s="116">
        <f t="shared" si="71"/>
        <v>74</v>
      </c>
    </row>
    <row r="4594" spans="1:2" x14ac:dyDescent="0.2">
      <c r="A4594" s="117">
        <v>39291</v>
      </c>
      <c r="B4594" s="116">
        <f t="shared" si="71"/>
        <v>74</v>
      </c>
    </row>
    <row r="4595" spans="1:2" x14ac:dyDescent="0.2">
      <c r="A4595" s="117">
        <v>39292</v>
      </c>
      <c r="B4595" s="116">
        <f t="shared" si="71"/>
        <v>75</v>
      </c>
    </row>
    <row r="4596" spans="1:2" x14ac:dyDescent="0.2">
      <c r="A4596" s="117">
        <v>39293</v>
      </c>
      <c r="B4596" s="116">
        <f t="shared" si="71"/>
        <v>75</v>
      </c>
    </row>
    <row r="4597" spans="1:2" x14ac:dyDescent="0.2">
      <c r="A4597" s="117">
        <v>39294</v>
      </c>
      <c r="B4597" s="116">
        <f t="shared" si="71"/>
        <v>75</v>
      </c>
    </row>
    <row r="4598" spans="1:2" x14ac:dyDescent="0.2">
      <c r="A4598" s="117">
        <v>39295</v>
      </c>
      <c r="B4598" s="116">
        <f t="shared" si="71"/>
        <v>75</v>
      </c>
    </row>
    <row r="4599" spans="1:2" x14ac:dyDescent="0.2">
      <c r="A4599" s="117">
        <v>39296</v>
      </c>
      <c r="B4599" s="116">
        <f t="shared" si="71"/>
        <v>75</v>
      </c>
    </row>
    <row r="4600" spans="1:2" x14ac:dyDescent="0.2">
      <c r="A4600" s="117">
        <v>39297</v>
      </c>
      <c r="B4600" s="116">
        <f t="shared" si="71"/>
        <v>75</v>
      </c>
    </row>
    <row r="4601" spans="1:2" x14ac:dyDescent="0.2">
      <c r="A4601" s="117">
        <v>39298</v>
      </c>
      <c r="B4601" s="116">
        <f t="shared" si="71"/>
        <v>75</v>
      </c>
    </row>
    <row r="4602" spans="1:2" x14ac:dyDescent="0.2">
      <c r="A4602" s="117">
        <v>39299</v>
      </c>
      <c r="B4602" s="116">
        <f t="shared" si="71"/>
        <v>81</v>
      </c>
    </row>
    <row r="4603" spans="1:2" x14ac:dyDescent="0.2">
      <c r="A4603" s="117">
        <v>39300</v>
      </c>
      <c r="B4603" s="116">
        <f t="shared" si="71"/>
        <v>81</v>
      </c>
    </row>
    <row r="4604" spans="1:2" x14ac:dyDescent="0.2">
      <c r="A4604" s="117">
        <v>39301</v>
      </c>
      <c r="B4604" s="116">
        <f t="shared" si="71"/>
        <v>81</v>
      </c>
    </row>
    <row r="4605" spans="1:2" x14ac:dyDescent="0.2">
      <c r="A4605" s="117">
        <v>39302</v>
      </c>
      <c r="B4605" s="116">
        <f t="shared" si="71"/>
        <v>81</v>
      </c>
    </row>
    <row r="4606" spans="1:2" x14ac:dyDescent="0.2">
      <c r="A4606" s="117">
        <v>39303</v>
      </c>
      <c r="B4606" s="116">
        <f t="shared" si="71"/>
        <v>81</v>
      </c>
    </row>
    <row r="4607" spans="1:2" x14ac:dyDescent="0.2">
      <c r="A4607" s="117">
        <v>39304</v>
      </c>
      <c r="B4607" s="116">
        <f t="shared" si="71"/>
        <v>81</v>
      </c>
    </row>
    <row r="4608" spans="1:2" x14ac:dyDescent="0.2">
      <c r="A4608" s="117">
        <v>39305</v>
      </c>
      <c r="B4608" s="116">
        <f t="shared" si="71"/>
        <v>81</v>
      </c>
    </row>
    <row r="4609" spans="1:2" x14ac:dyDescent="0.2">
      <c r="A4609" s="117">
        <v>39306</v>
      </c>
      <c r="B4609" s="116">
        <f t="shared" si="71"/>
        <v>82</v>
      </c>
    </row>
    <row r="4610" spans="1:2" x14ac:dyDescent="0.2">
      <c r="A4610" s="117">
        <v>39307</v>
      </c>
      <c r="B4610" s="116">
        <f t="shared" si="71"/>
        <v>82</v>
      </c>
    </row>
    <row r="4611" spans="1:2" x14ac:dyDescent="0.2">
      <c r="A4611" s="117">
        <v>39308</v>
      </c>
      <c r="B4611" s="116">
        <f t="shared" si="71"/>
        <v>82</v>
      </c>
    </row>
    <row r="4612" spans="1:2" x14ac:dyDescent="0.2">
      <c r="A4612" s="117">
        <v>39309</v>
      </c>
      <c r="B4612" s="116">
        <f t="shared" ref="B4612:B4675" si="72">VLOOKUP(WEEKNUM(A4612),$D$4:$E$59,2)</f>
        <v>82</v>
      </c>
    </row>
    <row r="4613" spans="1:2" x14ac:dyDescent="0.2">
      <c r="A4613" s="117">
        <v>39310</v>
      </c>
      <c r="B4613" s="116">
        <f t="shared" si="72"/>
        <v>82</v>
      </c>
    </row>
    <row r="4614" spans="1:2" x14ac:dyDescent="0.2">
      <c r="A4614" s="117">
        <v>39311</v>
      </c>
      <c r="B4614" s="116">
        <f t="shared" si="72"/>
        <v>82</v>
      </c>
    </row>
    <row r="4615" spans="1:2" x14ac:dyDescent="0.2">
      <c r="A4615" s="117">
        <v>39312</v>
      </c>
      <c r="B4615" s="116">
        <f t="shared" si="72"/>
        <v>82</v>
      </c>
    </row>
    <row r="4616" spans="1:2" x14ac:dyDescent="0.2">
      <c r="A4616" s="117">
        <v>39313</v>
      </c>
      <c r="B4616" s="116">
        <f t="shared" si="72"/>
        <v>83</v>
      </c>
    </row>
    <row r="4617" spans="1:2" x14ac:dyDescent="0.2">
      <c r="A4617" s="117">
        <v>39314</v>
      </c>
      <c r="B4617" s="116">
        <f t="shared" si="72"/>
        <v>83</v>
      </c>
    </row>
    <row r="4618" spans="1:2" x14ac:dyDescent="0.2">
      <c r="A4618" s="117">
        <v>39315</v>
      </c>
      <c r="B4618" s="116">
        <f t="shared" si="72"/>
        <v>83</v>
      </c>
    </row>
    <row r="4619" spans="1:2" x14ac:dyDescent="0.2">
      <c r="A4619" s="117">
        <v>39316</v>
      </c>
      <c r="B4619" s="116">
        <f t="shared" si="72"/>
        <v>83</v>
      </c>
    </row>
    <row r="4620" spans="1:2" x14ac:dyDescent="0.2">
      <c r="A4620" s="117">
        <v>39317</v>
      </c>
      <c r="B4620" s="116">
        <f t="shared" si="72"/>
        <v>83</v>
      </c>
    </row>
    <row r="4621" spans="1:2" x14ac:dyDescent="0.2">
      <c r="A4621" s="117">
        <v>39318</v>
      </c>
      <c r="B4621" s="116">
        <f t="shared" si="72"/>
        <v>83</v>
      </c>
    </row>
    <row r="4622" spans="1:2" x14ac:dyDescent="0.2">
      <c r="A4622" s="117">
        <v>39319</v>
      </c>
      <c r="B4622" s="116">
        <f t="shared" si="72"/>
        <v>83</v>
      </c>
    </row>
    <row r="4623" spans="1:2" x14ac:dyDescent="0.2">
      <c r="A4623" s="117">
        <v>39320</v>
      </c>
      <c r="B4623" s="116">
        <f t="shared" si="72"/>
        <v>84</v>
      </c>
    </row>
    <row r="4624" spans="1:2" x14ac:dyDescent="0.2">
      <c r="A4624" s="117">
        <v>39321</v>
      </c>
      <c r="B4624" s="116">
        <f t="shared" si="72"/>
        <v>84</v>
      </c>
    </row>
    <row r="4625" spans="1:2" x14ac:dyDescent="0.2">
      <c r="A4625" s="117">
        <v>39322</v>
      </c>
      <c r="B4625" s="116">
        <f t="shared" si="72"/>
        <v>84</v>
      </c>
    </row>
    <row r="4626" spans="1:2" x14ac:dyDescent="0.2">
      <c r="A4626" s="117">
        <v>39323</v>
      </c>
      <c r="B4626" s="116">
        <f t="shared" si="72"/>
        <v>84</v>
      </c>
    </row>
    <row r="4627" spans="1:2" x14ac:dyDescent="0.2">
      <c r="A4627" s="117">
        <v>39324</v>
      </c>
      <c r="B4627" s="116">
        <f t="shared" si="72"/>
        <v>84</v>
      </c>
    </row>
    <row r="4628" spans="1:2" x14ac:dyDescent="0.2">
      <c r="A4628" s="117">
        <v>39325</v>
      </c>
      <c r="B4628" s="116">
        <f t="shared" si="72"/>
        <v>84</v>
      </c>
    </row>
    <row r="4629" spans="1:2" x14ac:dyDescent="0.2">
      <c r="A4629" s="117">
        <v>39326</v>
      </c>
      <c r="B4629" s="116">
        <f t="shared" si="72"/>
        <v>84</v>
      </c>
    </row>
    <row r="4630" spans="1:2" x14ac:dyDescent="0.2">
      <c r="A4630" s="117">
        <v>39327</v>
      </c>
      <c r="B4630" s="116">
        <f t="shared" si="72"/>
        <v>91</v>
      </c>
    </row>
    <row r="4631" spans="1:2" x14ac:dyDescent="0.2">
      <c r="A4631" s="117">
        <v>39328</v>
      </c>
      <c r="B4631" s="116">
        <f t="shared" si="72"/>
        <v>91</v>
      </c>
    </row>
    <row r="4632" spans="1:2" x14ac:dyDescent="0.2">
      <c r="A4632" s="117">
        <v>39329</v>
      </c>
      <c r="B4632" s="116">
        <f t="shared" si="72"/>
        <v>91</v>
      </c>
    </row>
    <row r="4633" spans="1:2" x14ac:dyDescent="0.2">
      <c r="A4633" s="117">
        <v>39330</v>
      </c>
      <c r="B4633" s="116">
        <f t="shared" si="72"/>
        <v>91</v>
      </c>
    </row>
    <row r="4634" spans="1:2" x14ac:dyDescent="0.2">
      <c r="A4634" s="117">
        <v>39331</v>
      </c>
      <c r="B4634" s="116">
        <f t="shared" si="72"/>
        <v>91</v>
      </c>
    </row>
    <row r="4635" spans="1:2" x14ac:dyDescent="0.2">
      <c r="A4635" s="117">
        <v>39332</v>
      </c>
      <c r="B4635" s="116">
        <f t="shared" si="72"/>
        <v>91</v>
      </c>
    </row>
    <row r="4636" spans="1:2" x14ac:dyDescent="0.2">
      <c r="A4636" s="117">
        <v>39333</v>
      </c>
      <c r="B4636" s="116">
        <f t="shared" si="72"/>
        <v>91</v>
      </c>
    </row>
    <row r="4637" spans="1:2" x14ac:dyDescent="0.2">
      <c r="A4637" s="117">
        <v>39334</v>
      </c>
      <c r="B4637" s="116">
        <f t="shared" si="72"/>
        <v>92</v>
      </c>
    </row>
    <row r="4638" spans="1:2" x14ac:dyDescent="0.2">
      <c r="A4638" s="117">
        <v>39335</v>
      </c>
      <c r="B4638" s="116">
        <f t="shared" si="72"/>
        <v>92</v>
      </c>
    </row>
    <row r="4639" spans="1:2" x14ac:dyDescent="0.2">
      <c r="A4639" s="117">
        <v>39336</v>
      </c>
      <c r="B4639" s="116">
        <f t="shared" si="72"/>
        <v>92</v>
      </c>
    </row>
    <row r="4640" spans="1:2" x14ac:dyDescent="0.2">
      <c r="A4640" s="117">
        <v>39337</v>
      </c>
      <c r="B4640" s="116">
        <f t="shared" si="72"/>
        <v>92</v>
      </c>
    </row>
    <row r="4641" spans="1:2" x14ac:dyDescent="0.2">
      <c r="A4641" s="117">
        <v>39338</v>
      </c>
      <c r="B4641" s="116">
        <f t="shared" si="72"/>
        <v>92</v>
      </c>
    </row>
    <row r="4642" spans="1:2" x14ac:dyDescent="0.2">
      <c r="A4642" s="117">
        <v>39339</v>
      </c>
      <c r="B4642" s="116">
        <f t="shared" si="72"/>
        <v>92</v>
      </c>
    </row>
    <row r="4643" spans="1:2" x14ac:dyDescent="0.2">
      <c r="A4643" s="117">
        <v>39340</v>
      </c>
      <c r="B4643" s="116">
        <f t="shared" si="72"/>
        <v>92</v>
      </c>
    </row>
    <row r="4644" spans="1:2" x14ac:dyDescent="0.2">
      <c r="A4644" s="117">
        <v>39341</v>
      </c>
      <c r="B4644" s="116">
        <f t="shared" si="72"/>
        <v>93</v>
      </c>
    </row>
    <row r="4645" spans="1:2" x14ac:dyDescent="0.2">
      <c r="A4645" s="117">
        <v>39342</v>
      </c>
      <c r="B4645" s="116">
        <f t="shared" si="72"/>
        <v>93</v>
      </c>
    </row>
    <row r="4646" spans="1:2" x14ac:dyDescent="0.2">
      <c r="A4646" s="117">
        <v>39343</v>
      </c>
      <c r="B4646" s="116">
        <f t="shared" si="72"/>
        <v>93</v>
      </c>
    </row>
    <row r="4647" spans="1:2" x14ac:dyDescent="0.2">
      <c r="A4647" s="117">
        <v>39344</v>
      </c>
      <c r="B4647" s="116">
        <f t="shared" si="72"/>
        <v>93</v>
      </c>
    </row>
    <row r="4648" spans="1:2" x14ac:dyDescent="0.2">
      <c r="A4648" s="117">
        <v>39345</v>
      </c>
      <c r="B4648" s="116">
        <f t="shared" si="72"/>
        <v>93</v>
      </c>
    </row>
    <row r="4649" spans="1:2" x14ac:dyDescent="0.2">
      <c r="A4649" s="117">
        <v>39346</v>
      </c>
      <c r="B4649" s="116">
        <f t="shared" si="72"/>
        <v>93</v>
      </c>
    </row>
    <row r="4650" spans="1:2" x14ac:dyDescent="0.2">
      <c r="A4650" s="117">
        <v>39347</v>
      </c>
      <c r="B4650" s="116">
        <f t="shared" si="72"/>
        <v>93</v>
      </c>
    </row>
    <row r="4651" spans="1:2" x14ac:dyDescent="0.2">
      <c r="A4651" s="117">
        <v>39348</v>
      </c>
      <c r="B4651" s="116">
        <f t="shared" si="72"/>
        <v>94</v>
      </c>
    </row>
    <row r="4652" spans="1:2" x14ac:dyDescent="0.2">
      <c r="A4652" s="117">
        <v>39349</v>
      </c>
      <c r="B4652" s="116">
        <f t="shared" si="72"/>
        <v>94</v>
      </c>
    </row>
    <row r="4653" spans="1:2" x14ac:dyDescent="0.2">
      <c r="A4653" s="117">
        <v>39350</v>
      </c>
      <c r="B4653" s="116">
        <f t="shared" si="72"/>
        <v>94</v>
      </c>
    </row>
    <row r="4654" spans="1:2" x14ac:dyDescent="0.2">
      <c r="A4654" s="117">
        <v>39351</v>
      </c>
      <c r="B4654" s="116">
        <f t="shared" si="72"/>
        <v>94</v>
      </c>
    </row>
    <row r="4655" spans="1:2" x14ac:dyDescent="0.2">
      <c r="A4655" s="117">
        <v>39352</v>
      </c>
      <c r="B4655" s="116">
        <f t="shared" si="72"/>
        <v>94</v>
      </c>
    </row>
    <row r="4656" spans="1:2" x14ac:dyDescent="0.2">
      <c r="A4656" s="117">
        <v>39353</v>
      </c>
      <c r="B4656" s="116">
        <f t="shared" si="72"/>
        <v>94</v>
      </c>
    </row>
    <row r="4657" spans="1:2" x14ac:dyDescent="0.2">
      <c r="A4657" s="117">
        <v>39354</v>
      </c>
      <c r="B4657" s="116">
        <f t="shared" si="72"/>
        <v>94</v>
      </c>
    </row>
    <row r="4658" spans="1:2" x14ac:dyDescent="0.2">
      <c r="A4658" s="117">
        <v>39355</v>
      </c>
      <c r="B4658" s="116">
        <f t="shared" si="72"/>
        <v>101</v>
      </c>
    </row>
    <row r="4659" spans="1:2" x14ac:dyDescent="0.2">
      <c r="A4659" s="117">
        <v>39356</v>
      </c>
      <c r="B4659" s="116">
        <f t="shared" si="72"/>
        <v>101</v>
      </c>
    </row>
    <row r="4660" spans="1:2" x14ac:dyDescent="0.2">
      <c r="A4660" s="117">
        <v>39357</v>
      </c>
      <c r="B4660" s="116">
        <f t="shared" si="72"/>
        <v>101</v>
      </c>
    </row>
    <row r="4661" spans="1:2" x14ac:dyDescent="0.2">
      <c r="A4661" s="117">
        <v>39358</v>
      </c>
      <c r="B4661" s="116">
        <f t="shared" si="72"/>
        <v>101</v>
      </c>
    </row>
    <row r="4662" spans="1:2" x14ac:dyDescent="0.2">
      <c r="A4662" s="117">
        <v>39359</v>
      </c>
      <c r="B4662" s="116">
        <f t="shared" si="72"/>
        <v>101</v>
      </c>
    </row>
    <row r="4663" spans="1:2" x14ac:dyDescent="0.2">
      <c r="A4663" s="117">
        <v>39360</v>
      </c>
      <c r="B4663" s="116">
        <f t="shared" si="72"/>
        <v>101</v>
      </c>
    </row>
    <row r="4664" spans="1:2" x14ac:dyDescent="0.2">
      <c r="A4664" s="117">
        <v>39361</v>
      </c>
      <c r="B4664" s="116">
        <f t="shared" si="72"/>
        <v>101</v>
      </c>
    </row>
    <row r="4665" spans="1:2" x14ac:dyDescent="0.2">
      <c r="A4665" s="117">
        <v>39362</v>
      </c>
      <c r="B4665" s="116">
        <f t="shared" si="72"/>
        <v>102</v>
      </c>
    </row>
    <row r="4666" spans="1:2" x14ac:dyDescent="0.2">
      <c r="A4666" s="117">
        <v>39363</v>
      </c>
      <c r="B4666" s="116">
        <f t="shared" si="72"/>
        <v>102</v>
      </c>
    </row>
    <row r="4667" spans="1:2" x14ac:dyDescent="0.2">
      <c r="A4667" s="117">
        <v>39364</v>
      </c>
      <c r="B4667" s="116">
        <f t="shared" si="72"/>
        <v>102</v>
      </c>
    </row>
    <row r="4668" spans="1:2" x14ac:dyDescent="0.2">
      <c r="A4668" s="117">
        <v>39365</v>
      </c>
      <c r="B4668" s="116">
        <f t="shared" si="72"/>
        <v>102</v>
      </c>
    </row>
    <row r="4669" spans="1:2" x14ac:dyDescent="0.2">
      <c r="A4669" s="117">
        <v>39366</v>
      </c>
      <c r="B4669" s="116">
        <f t="shared" si="72"/>
        <v>102</v>
      </c>
    </row>
    <row r="4670" spans="1:2" x14ac:dyDescent="0.2">
      <c r="A4670" s="117">
        <v>39367</v>
      </c>
      <c r="B4670" s="116">
        <f t="shared" si="72"/>
        <v>102</v>
      </c>
    </row>
    <row r="4671" spans="1:2" x14ac:dyDescent="0.2">
      <c r="A4671" s="117">
        <v>39368</v>
      </c>
      <c r="B4671" s="116">
        <f t="shared" si="72"/>
        <v>102</v>
      </c>
    </row>
    <row r="4672" spans="1:2" x14ac:dyDescent="0.2">
      <c r="A4672" s="117">
        <v>39369</v>
      </c>
      <c r="B4672" s="116">
        <f t="shared" si="72"/>
        <v>103</v>
      </c>
    </row>
    <row r="4673" spans="1:2" x14ac:dyDescent="0.2">
      <c r="A4673" s="117">
        <v>39370</v>
      </c>
      <c r="B4673" s="116">
        <f t="shared" si="72"/>
        <v>103</v>
      </c>
    </row>
    <row r="4674" spans="1:2" x14ac:dyDescent="0.2">
      <c r="A4674" s="117">
        <v>39371</v>
      </c>
      <c r="B4674" s="116">
        <f t="shared" si="72"/>
        <v>103</v>
      </c>
    </row>
    <row r="4675" spans="1:2" x14ac:dyDescent="0.2">
      <c r="A4675" s="117">
        <v>39372</v>
      </c>
      <c r="B4675" s="116">
        <f t="shared" si="72"/>
        <v>103</v>
      </c>
    </row>
    <row r="4676" spans="1:2" x14ac:dyDescent="0.2">
      <c r="A4676" s="117">
        <v>39373</v>
      </c>
      <c r="B4676" s="116">
        <f t="shared" ref="B4676:B4739" si="73">VLOOKUP(WEEKNUM(A4676),$D$4:$E$59,2)</f>
        <v>103</v>
      </c>
    </row>
    <row r="4677" spans="1:2" x14ac:dyDescent="0.2">
      <c r="A4677" s="117">
        <v>39374</v>
      </c>
      <c r="B4677" s="116">
        <f t="shared" si="73"/>
        <v>103</v>
      </c>
    </row>
    <row r="4678" spans="1:2" x14ac:dyDescent="0.2">
      <c r="A4678" s="117">
        <v>39375</v>
      </c>
      <c r="B4678" s="116">
        <f t="shared" si="73"/>
        <v>103</v>
      </c>
    </row>
    <row r="4679" spans="1:2" x14ac:dyDescent="0.2">
      <c r="A4679" s="117">
        <v>39376</v>
      </c>
      <c r="B4679" s="116">
        <f t="shared" si="73"/>
        <v>104</v>
      </c>
    </row>
    <row r="4680" spans="1:2" x14ac:dyDescent="0.2">
      <c r="A4680" s="117">
        <v>39377</v>
      </c>
      <c r="B4680" s="116">
        <f t="shared" si="73"/>
        <v>104</v>
      </c>
    </row>
    <row r="4681" spans="1:2" x14ac:dyDescent="0.2">
      <c r="A4681" s="117">
        <v>39378</v>
      </c>
      <c r="B4681" s="116">
        <f t="shared" si="73"/>
        <v>104</v>
      </c>
    </row>
    <row r="4682" spans="1:2" x14ac:dyDescent="0.2">
      <c r="A4682" s="117">
        <v>39379</v>
      </c>
      <c r="B4682" s="116">
        <f t="shared" si="73"/>
        <v>104</v>
      </c>
    </row>
    <row r="4683" spans="1:2" x14ac:dyDescent="0.2">
      <c r="A4683" s="117">
        <v>39380</v>
      </c>
      <c r="B4683" s="116">
        <f t="shared" si="73"/>
        <v>104</v>
      </c>
    </row>
    <row r="4684" spans="1:2" x14ac:dyDescent="0.2">
      <c r="A4684" s="117">
        <v>39381</v>
      </c>
      <c r="B4684" s="116">
        <f t="shared" si="73"/>
        <v>104</v>
      </c>
    </row>
    <row r="4685" spans="1:2" x14ac:dyDescent="0.2">
      <c r="A4685" s="117">
        <v>39382</v>
      </c>
      <c r="B4685" s="116">
        <f t="shared" si="73"/>
        <v>104</v>
      </c>
    </row>
    <row r="4686" spans="1:2" x14ac:dyDescent="0.2">
      <c r="A4686" s="117">
        <v>39383</v>
      </c>
      <c r="B4686" s="116">
        <f t="shared" si="73"/>
        <v>105</v>
      </c>
    </row>
    <row r="4687" spans="1:2" x14ac:dyDescent="0.2">
      <c r="A4687" s="117">
        <v>39384</v>
      </c>
      <c r="B4687" s="116">
        <f t="shared" si="73"/>
        <v>105</v>
      </c>
    </row>
    <row r="4688" spans="1:2" x14ac:dyDescent="0.2">
      <c r="A4688" s="117">
        <v>39385</v>
      </c>
      <c r="B4688" s="116">
        <f t="shared" si="73"/>
        <v>105</v>
      </c>
    </row>
    <row r="4689" spans="1:2" x14ac:dyDescent="0.2">
      <c r="A4689" s="117">
        <v>39386</v>
      </c>
      <c r="B4689" s="116">
        <f t="shared" si="73"/>
        <v>105</v>
      </c>
    </row>
    <row r="4690" spans="1:2" x14ac:dyDescent="0.2">
      <c r="A4690" s="117">
        <v>39387</v>
      </c>
      <c r="B4690" s="116">
        <f t="shared" si="73"/>
        <v>105</v>
      </c>
    </row>
    <row r="4691" spans="1:2" x14ac:dyDescent="0.2">
      <c r="A4691" s="117">
        <v>39388</v>
      </c>
      <c r="B4691" s="116">
        <f t="shared" si="73"/>
        <v>105</v>
      </c>
    </row>
    <row r="4692" spans="1:2" x14ac:dyDescent="0.2">
      <c r="A4692" s="117">
        <v>39389</v>
      </c>
      <c r="B4692" s="116">
        <f t="shared" si="73"/>
        <v>105</v>
      </c>
    </row>
    <row r="4693" spans="1:2" x14ac:dyDescent="0.2">
      <c r="A4693" s="117">
        <v>39390</v>
      </c>
      <c r="B4693" s="116">
        <f t="shared" si="73"/>
        <v>111</v>
      </c>
    </row>
    <row r="4694" spans="1:2" x14ac:dyDescent="0.2">
      <c r="A4694" s="117">
        <v>39391</v>
      </c>
      <c r="B4694" s="116">
        <f t="shared" si="73"/>
        <v>111</v>
      </c>
    </row>
    <row r="4695" spans="1:2" x14ac:dyDescent="0.2">
      <c r="A4695" s="117">
        <v>39392</v>
      </c>
      <c r="B4695" s="116">
        <f t="shared" si="73"/>
        <v>111</v>
      </c>
    </row>
    <row r="4696" spans="1:2" x14ac:dyDescent="0.2">
      <c r="A4696" s="117">
        <v>39393</v>
      </c>
      <c r="B4696" s="116">
        <f t="shared" si="73"/>
        <v>111</v>
      </c>
    </row>
    <row r="4697" spans="1:2" x14ac:dyDescent="0.2">
      <c r="A4697" s="117">
        <v>39394</v>
      </c>
      <c r="B4697" s="116">
        <f t="shared" si="73"/>
        <v>111</v>
      </c>
    </row>
    <row r="4698" spans="1:2" x14ac:dyDescent="0.2">
      <c r="A4698" s="117">
        <v>39395</v>
      </c>
      <c r="B4698" s="116">
        <f t="shared" si="73"/>
        <v>111</v>
      </c>
    </row>
    <row r="4699" spans="1:2" x14ac:dyDescent="0.2">
      <c r="A4699" s="117">
        <v>39396</v>
      </c>
      <c r="B4699" s="116">
        <f t="shared" si="73"/>
        <v>111</v>
      </c>
    </row>
    <row r="4700" spans="1:2" x14ac:dyDescent="0.2">
      <c r="A4700" s="117">
        <v>39397</v>
      </c>
      <c r="B4700" s="116">
        <f t="shared" si="73"/>
        <v>112</v>
      </c>
    </row>
    <row r="4701" spans="1:2" x14ac:dyDescent="0.2">
      <c r="A4701" s="117">
        <v>39398</v>
      </c>
      <c r="B4701" s="116">
        <f t="shared" si="73"/>
        <v>112</v>
      </c>
    </row>
    <row r="4702" spans="1:2" x14ac:dyDescent="0.2">
      <c r="A4702" s="117">
        <v>39399</v>
      </c>
      <c r="B4702" s="116">
        <f t="shared" si="73"/>
        <v>112</v>
      </c>
    </row>
    <row r="4703" spans="1:2" x14ac:dyDescent="0.2">
      <c r="A4703" s="117">
        <v>39400</v>
      </c>
      <c r="B4703" s="116">
        <f t="shared" si="73"/>
        <v>112</v>
      </c>
    </row>
    <row r="4704" spans="1:2" x14ac:dyDescent="0.2">
      <c r="A4704" s="117">
        <v>39401</v>
      </c>
      <c r="B4704" s="116">
        <f t="shared" si="73"/>
        <v>112</v>
      </c>
    </row>
    <row r="4705" spans="1:2" x14ac:dyDescent="0.2">
      <c r="A4705" s="117">
        <v>39402</v>
      </c>
      <c r="B4705" s="116">
        <f t="shared" si="73"/>
        <v>112</v>
      </c>
    </row>
    <row r="4706" spans="1:2" x14ac:dyDescent="0.2">
      <c r="A4706" s="117">
        <v>39403</v>
      </c>
      <c r="B4706" s="116">
        <f t="shared" si="73"/>
        <v>112</v>
      </c>
    </row>
    <row r="4707" spans="1:2" x14ac:dyDescent="0.2">
      <c r="A4707" s="117">
        <v>39404</v>
      </c>
      <c r="B4707" s="116">
        <f t="shared" si="73"/>
        <v>113</v>
      </c>
    </row>
    <row r="4708" spans="1:2" x14ac:dyDescent="0.2">
      <c r="A4708" s="117">
        <v>39405</v>
      </c>
      <c r="B4708" s="116">
        <f t="shared" si="73"/>
        <v>113</v>
      </c>
    </row>
    <row r="4709" spans="1:2" x14ac:dyDescent="0.2">
      <c r="A4709" s="117">
        <v>39406</v>
      </c>
      <c r="B4709" s="116">
        <f t="shared" si="73"/>
        <v>113</v>
      </c>
    </row>
    <row r="4710" spans="1:2" x14ac:dyDescent="0.2">
      <c r="A4710" s="117">
        <v>39407</v>
      </c>
      <c r="B4710" s="116">
        <f t="shared" si="73"/>
        <v>113</v>
      </c>
    </row>
    <row r="4711" spans="1:2" x14ac:dyDescent="0.2">
      <c r="A4711" s="117">
        <v>39408</v>
      </c>
      <c r="B4711" s="116">
        <f t="shared" si="73"/>
        <v>113</v>
      </c>
    </row>
    <row r="4712" spans="1:2" x14ac:dyDescent="0.2">
      <c r="A4712" s="117">
        <v>39409</v>
      </c>
      <c r="B4712" s="116">
        <f t="shared" si="73"/>
        <v>113</v>
      </c>
    </row>
    <row r="4713" spans="1:2" x14ac:dyDescent="0.2">
      <c r="A4713" s="117">
        <v>39410</v>
      </c>
      <c r="B4713" s="116">
        <f t="shared" si="73"/>
        <v>113</v>
      </c>
    </row>
    <row r="4714" spans="1:2" x14ac:dyDescent="0.2">
      <c r="A4714" s="117">
        <v>39411</v>
      </c>
      <c r="B4714" s="116">
        <f t="shared" si="73"/>
        <v>114</v>
      </c>
    </row>
    <row r="4715" spans="1:2" x14ac:dyDescent="0.2">
      <c r="A4715" s="117">
        <v>39412</v>
      </c>
      <c r="B4715" s="116">
        <f t="shared" si="73"/>
        <v>114</v>
      </c>
    </row>
    <row r="4716" spans="1:2" x14ac:dyDescent="0.2">
      <c r="A4716" s="117">
        <v>39413</v>
      </c>
      <c r="B4716" s="116">
        <f t="shared" si="73"/>
        <v>114</v>
      </c>
    </row>
    <row r="4717" spans="1:2" x14ac:dyDescent="0.2">
      <c r="A4717" s="117">
        <v>39414</v>
      </c>
      <c r="B4717" s="116">
        <f t="shared" si="73"/>
        <v>114</v>
      </c>
    </row>
    <row r="4718" spans="1:2" x14ac:dyDescent="0.2">
      <c r="A4718" s="117">
        <v>39415</v>
      </c>
      <c r="B4718" s="116">
        <f t="shared" si="73"/>
        <v>114</v>
      </c>
    </row>
    <row r="4719" spans="1:2" x14ac:dyDescent="0.2">
      <c r="A4719" s="117">
        <v>39416</v>
      </c>
      <c r="B4719" s="116">
        <f t="shared" si="73"/>
        <v>114</v>
      </c>
    </row>
    <row r="4720" spans="1:2" x14ac:dyDescent="0.2">
      <c r="A4720" s="117">
        <v>39417</v>
      </c>
      <c r="B4720" s="116">
        <f t="shared" si="73"/>
        <v>114</v>
      </c>
    </row>
    <row r="4721" spans="1:2" x14ac:dyDescent="0.2">
      <c r="A4721" s="117">
        <v>39418</v>
      </c>
      <c r="B4721" s="116">
        <f t="shared" si="73"/>
        <v>115</v>
      </c>
    </row>
    <row r="4722" spans="1:2" x14ac:dyDescent="0.2">
      <c r="A4722" s="117">
        <v>39419</v>
      </c>
      <c r="B4722" s="116">
        <f t="shared" si="73"/>
        <v>115</v>
      </c>
    </row>
    <row r="4723" spans="1:2" x14ac:dyDescent="0.2">
      <c r="A4723" s="117">
        <v>39420</v>
      </c>
      <c r="B4723" s="116">
        <f t="shared" si="73"/>
        <v>115</v>
      </c>
    </row>
    <row r="4724" spans="1:2" x14ac:dyDescent="0.2">
      <c r="A4724" s="117">
        <v>39421</v>
      </c>
      <c r="B4724" s="116">
        <f t="shared" si="73"/>
        <v>115</v>
      </c>
    </row>
    <row r="4725" spans="1:2" x14ac:dyDescent="0.2">
      <c r="A4725" s="117">
        <v>39422</v>
      </c>
      <c r="B4725" s="116">
        <f t="shared" si="73"/>
        <v>115</v>
      </c>
    </row>
    <row r="4726" spans="1:2" x14ac:dyDescent="0.2">
      <c r="A4726" s="117">
        <v>39423</v>
      </c>
      <c r="B4726" s="116">
        <f t="shared" si="73"/>
        <v>115</v>
      </c>
    </row>
    <row r="4727" spans="1:2" x14ac:dyDescent="0.2">
      <c r="A4727" s="117">
        <v>39424</v>
      </c>
      <c r="B4727" s="116">
        <f t="shared" si="73"/>
        <v>115</v>
      </c>
    </row>
    <row r="4728" spans="1:2" x14ac:dyDescent="0.2">
      <c r="A4728" s="117">
        <v>39425</v>
      </c>
      <c r="B4728" s="116">
        <f t="shared" si="73"/>
        <v>121</v>
      </c>
    </row>
    <row r="4729" spans="1:2" x14ac:dyDescent="0.2">
      <c r="A4729" s="117">
        <v>39426</v>
      </c>
      <c r="B4729" s="116">
        <f t="shared" si="73"/>
        <v>121</v>
      </c>
    </row>
    <row r="4730" spans="1:2" x14ac:dyDescent="0.2">
      <c r="A4730" s="117">
        <v>39427</v>
      </c>
      <c r="B4730" s="116">
        <f t="shared" si="73"/>
        <v>121</v>
      </c>
    </row>
    <row r="4731" spans="1:2" x14ac:dyDescent="0.2">
      <c r="A4731" s="117">
        <v>39428</v>
      </c>
      <c r="B4731" s="116">
        <f t="shared" si="73"/>
        <v>121</v>
      </c>
    </row>
    <row r="4732" spans="1:2" x14ac:dyDescent="0.2">
      <c r="A4732" s="117">
        <v>39429</v>
      </c>
      <c r="B4732" s="116">
        <f t="shared" si="73"/>
        <v>121</v>
      </c>
    </row>
    <row r="4733" spans="1:2" x14ac:dyDescent="0.2">
      <c r="A4733" s="117">
        <v>39430</v>
      </c>
      <c r="B4733" s="116">
        <f t="shared" si="73"/>
        <v>121</v>
      </c>
    </row>
    <row r="4734" spans="1:2" x14ac:dyDescent="0.2">
      <c r="A4734" s="117">
        <v>39431</v>
      </c>
      <c r="B4734" s="116">
        <f t="shared" si="73"/>
        <v>121</v>
      </c>
    </row>
    <row r="4735" spans="1:2" x14ac:dyDescent="0.2">
      <c r="A4735" s="117">
        <v>39432</v>
      </c>
      <c r="B4735" s="116">
        <f t="shared" si="73"/>
        <v>122</v>
      </c>
    </row>
    <row r="4736" spans="1:2" x14ac:dyDescent="0.2">
      <c r="A4736" s="117">
        <v>39433</v>
      </c>
      <c r="B4736" s="116">
        <f t="shared" si="73"/>
        <v>122</v>
      </c>
    </row>
    <row r="4737" spans="1:2" x14ac:dyDescent="0.2">
      <c r="A4737" s="117">
        <v>39434</v>
      </c>
      <c r="B4737" s="116">
        <f t="shared" si="73"/>
        <v>122</v>
      </c>
    </row>
    <row r="4738" spans="1:2" x14ac:dyDescent="0.2">
      <c r="A4738" s="117">
        <v>39435</v>
      </c>
      <c r="B4738" s="116">
        <f t="shared" si="73"/>
        <v>122</v>
      </c>
    </row>
    <row r="4739" spans="1:2" x14ac:dyDescent="0.2">
      <c r="A4739" s="117">
        <v>39436</v>
      </c>
      <c r="B4739" s="116">
        <f t="shared" si="73"/>
        <v>122</v>
      </c>
    </row>
    <row r="4740" spans="1:2" x14ac:dyDescent="0.2">
      <c r="A4740" s="117">
        <v>39437</v>
      </c>
      <c r="B4740" s="116">
        <f t="shared" ref="B4740:B4803" si="74">VLOOKUP(WEEKNUM(A4740),$D$4:$E$59,2)</f>
        <v>122</v>
      </c>
    </row>
    <row r="4741" spans="1:2" x14ac:dyDescent="0.2">
      <c r="A4741" s="117">
        <v>39438</v>
      </c>
      <c r="B4741" s="116">
        <f t="shared" si="74"/>
        <v>122</v>
      </c>
    </row>
    <row r="4742" spans="1:2" x14ac:dyDescent="0.2">
      <c r="A4742" s="117">
        <v>39439</v>
      </c>
      <c r="B4742" s="116">
        <f t="shared" si="74"/>
        <v>123</v>
      </c>
    </row>
    <row r="4743" spans="1:2" x14ac:dyDescent="0.2">
      <c r="A4743" s="117">
        <v>39440</v>
      </c>
      <c r="B4743" s="116">
        <f t="shared" si="74"/>
        <v>123</v>
      </c>
    </row>
    <row r="4744" spans="1:2" x14ac:dyDescent="0.2">
      <c r="A4744" s="117">
        <v>39441</v>
      </c>
      <c r="B4744" s="116">
        <f t="shared" si="74"/>
        <v>123</v>
      </c>
    </row>
    <row r="4745" spans="1:2" x14ac:dyDescent="0.2">
      <c r="A4745" s="117">
        <v>39442</v>
      </c>
      <c r="B4745" s="116">
        <f t="shared" si="74"/>
        <v>123</v>
      </c>
    </row>
    <row r="4746" spans="1:2" x14ac:dyDescent="0.2">
      <c r="A4746" s="117">
        <v>39443</v>
      </c>
      <c r="B4746" s="116">
        <f t="shared" si="74"/>
        <v>123</v>
      </c>
    </row>
    <row r="4747" spans="1:2" x14ac:dyDescent="0.2">
      <c r="A4747" s="117">
        <v>39444</v>
      </c>
      <c r="B4747" s="116">
        <f t="shared" si="74"/>
        <v>123</v>
      </c>
    </row>
    <row r="4748" spans="1:2" x14ac:dyDescent="0.2">
      <c r="A4748" s="117">
        <v>39445</v>
      </c>
      <c r="B4748" s="116">
        <f t="shared" si="74"/>
        <v>123</v>
      </c>
    </row>
    <row r="4749" spans="1:2" x14ac:dyDescent="0.2">
      <c r="A4749" s="117">
        <v>39446</v>
      </c>
      <c r="B4749" s="116">
        <f t="shared" si="74"/>
        <v>124</v>
      </c>
    </row>
    <row r="4750" spans="1:2" x14ac:dyDescent="0.2">
      <c r="A4750" s="117">
        <v>39447</v>
      </c>
      <c r="B4750" s="116">
        <f t="shared" si="74"/>
        <v>124</v>
      </c>
    </row>
    <row r="4751" spans="1:2" x14ac:dyDescent="0.2">
      <c r="A4751" s="117">
        <v>39448</v>
      </c>
      <c r="B4751" s="116">
        <f t="shared" si="74"/>
        <v>11</v>
      </c>
    </row>
    <row r="4752" spans="1:2" x14ac:dyDescent="0.2">
      <c r="A4752" s="117">
        <v>39449</v>
      </c>
      <c r="B4752" s="116">
        <f t="shared" si="74"/>
        <v>11</v>
      </c>
    </row>
    <row r="4753" spans="1:2" x14ac:dyDescent="0.2">
      <c r="A4753" s="117">
        <v>39450</v>
      </c>
      <c r="B4753" s="116">
        <f t="shared" si="74"/>
        <v>11</v>
      </c>
    </row>
    <row r="4754" spans="1:2" x14ac:dyDescent="0.2">
      <c r="A4754" s="117">
        <v>39451</v>
      </c>
      <c r="B4754" s="116">
        <f t="shared" si="74"/>
        <v>11</v>
      </c>
    </row>
    <row r="4755" spans="1:2" x14ac:dyDescent="0.2">
      <c r="A4755" s="117">
        <v>39452</v>
      </c>
      <c r="B4755" s="116">
        <f t="shared" si="74"/>
        <v>11</v>
      </c>
    </row>
    <row r="4756" spans="1:2" x14ac:dyDescent="0.2">
      <c r="A4756" s="117">
        <v>39453</v>
      </c>
      <c r="B4756" s="116">
        <f t="shared" si="74"/>
        <v>12</v>
      </c>
    </row>
    <row r="4757" spans="1:2" x14ac:dyDescent="0.2">
      <c r="A4757" s="117">
        <v>39454</v>
      </c>
      <c r="B4757" s="116">
        <f t="shared" si="74"/>
        <v>12</v>
      </c>
    </row>
    <row r="4758" spans="1:2" x14ac:dyDescent="0.2">
      <c r="A4758" s="117">
        <v>39455</v>
      </c>
      <c r="B4758" s="116">
        <f t="shared" si="74"/>
        <v>12</v>
      </c>
    </row>
    <row r="4759" spans="1:2" x14ac:dyDescent="0.2">
      <c r="A4759" s="117">
        <v>39456</v>
      </c>
      <c r="B4759" s="116">
        <f t="shared" si="74"/>
        <v>12</v>
      </c>
    </row>
    <row r="4760" spans="1:2" x14ac:dyDescent="0.2">
      <c r="A4760" s="117">
        <v>39457</v>
      </c>
      <c r="B4760" s="116">
        <f t="shared" si="74"/>
        <v>12</v>
      </c>
    </row>
    <row r="4761" spans="1:2" x14ac:dyDescent="0.2">
      <c r="A4761" s="117">
        <v>39458</v>
      </c>
      <c r="B4761" s="116">
        <f t="shared" si="74"/>
        <v>12</v>
      </c>
    </row>
    <row r="4762" spans="1:2" x14ac:dyDescent="0.2">
      <c r="A4762" s="117">
        <v>39459</v>
      </c>
      <c r="B4762" s="116">
        <f t="shared" si="74"/>
        <v>12</v>
      </c>
    </row>
    <row r="4763" spans="1:2" x14ac:dyDescent="0.2">
      <c r="A4763" s="117">
        <v>39460</v>
      </c>
      <c r="B4763" s="116">
        <f t="shared" si="74"/>
        <v>13</v>
      </c>
    </row>
    <row r="4764" spans="1:2" x14ac:dyDescent="0.2">
      <c r="A4764" s="117">
        <v>39461</v>
      </c>
      <c r="B4764" s="116">
        <f t="shared" si="74"/>
        <v>13</v>
      </c>
    </row>
    <row r="4765" spans="1:2" x14ac:dyDescent="0.2">
      <c r="A4765" s="117">
        <v>39462</v>
      </c>
      <c r="B4765" s="116">
        <f t="shared" si="74"/>
        <v>13</v>
      </c>
    </row>
    <row r="4766" spans="1:2" x14ac:dyDescent="0.2">
      <c r="A4766" s="117">
        <v>39463</v>
      </c>
      <c r="B4766" s="116">
        <f t="shared" si="74"/>
        <v>13</v>
      </c>
    </row>
    <row r="4767" spans="1:2" x14ac:dyDescent="0.2">
      <c r="A4767" s="117">
        <v>39464</v>
      </c>
      <c r="B4767" s="116">
        <f t="shared" si="74"/>
        <v>13</v>
      </c>
    </row>
    <row r="4768" spans="1:2" x14ac:dyDescent="0.2">
      <c r="A4768" s="117">
        <v>39465</v>
      </c>
      <c r="B4768" s="116">
        <f t="shared" si="74"/>
        <v>13</v>
      </c>
    </row>
    <row r="4769" spans="1:2" x14ac:dyDescent="0.2">
      <c r="A4769" s="117">
        <v>39466</v>
      </c>
      <c r="B4769" s="116">
        <f t="shared" si="74"/>
        <v>13</v>
      </c>
    </row>
    <row r="4770" spans="1:2" x14ac:dyDescent="0.2">
      <c r="A4770" s="117">
        <v>39467</v>
      </c>
      <c r="B4770" s="116">
        <f t="shared" si="74"/>
        <v>14</v>
      </c>
    </row>
    <row r="4771" spans="1:2" x14ac:dyDescent="0.2">
      <c r="A4771" s="117">
        <v>39468</v>
      </c>
      <c r="B4771" s="116">
        <f t="shared" si="74"/>
        <v>14</v>
      </c>
    </row>
    <row r="4772" spans="1:2" x14ac:dyDescent="0.2">
      <c r="A4772" s="117">
        <v>39469</v>
      </c>
      <c r="B4772" s="116">
        <f t="shared" si="74"/>
        <v>14</v>
      </c>
    </row>
    <row r="4773" spans="1:2" x14ac:dyDescent="0.2">
      <c r="A4773" s="117">
        <v>39470</v>
      </c>
      <c r="B4773" s="116">
        <f t="shared" si="74"/>
        <v>14</v>
      </c>
    </row>
    <row r="4774" spans="1:2" x14ac:dyDescent="0.2">
      <c r="A4774" s="117">
        <v>39471</v>
      </c>
      <c r="B4774" s="116">
        <f t="shared" si="74"/>
        <v>14</v>
      </c>
    </row>
    <row r="4775" spans="1:2" x14ac:dyDescent="0.2">
      <c r="A4775" s="117">
        <v>39472</v>
      </c>
      <c r="B4775" s="116">
        <f t="shared" si="74"/>
        <v>14</v>
      </c>
    </row>
    <row r="4776" spans="1:2" x14ac:dyDescent="0.2">
      <c r="A4776" s="117">
        <v>39473</v>
      </c>
      <c r="B4776" s="116">
        <f t="shared" si="74"/>
        <v>14</v>
      </c>
    </row>
    <row r="4777" spans="1:2" x14ac:dyDescent="0.2">
      <c r="A4777" s="117">
        <v>39474</v>
      </c>
      <c r="B4777" s="116">
        <f t="shared" si="74"/>
        <v>15</v>
      </c>
    </row>
    <row r="4778" spans="1:2" x14ac:dyDescent="0.2">
      <c r="A4778" s="117">
        <v>39475</v>
      </c>
      <c r="B4778" s="116">
        <f t="shared" si="74"/>
        <v>15</v>
      </c>
    </row>
    <row r="4779" spans="1:2" x14ac:dyDescent="0.2">
      <c r="A4779" s="117">
        <v>39476</v>
      </c>
      <c r="B4779" s="116">
        <f t="shared" si="74"/>
        <v>15</v>
      </c>
    </row>
    <row r="4780" spans="1:2" x14ac:dyDescent="0.2">
      <c r="A4780" s="117">
        <v>39477</v>
      </c>
      <c r="B4780" s="116">
        <f t="shared" si="74"/>
        <v>15</v>
      </c>
    </row>
    <row r="4781" spans="1:2" x14ac:dyDescent="0.2">
      <c r="A4781" s="117">
        <v>39478</v>
      </c>
      <c r="B4781" s="116">
        <f t="shared" si="74"/>
        <v>15</v>
      </c>
    </row>
    <row r="4782" spans="1:2" x14ac:dyDescent="0.2">
      <c r="A4782" s="117">
        <v>39479</v>
      </c>
      <c r="B4782" s="116">
        <f t="shared" si="74"/>
        <v>15</v>
      </c>
    </row>
    <row r="4783" spans="1:2" x14ac:dyDescent="0.2">
      <c r="A4783" s="117">
        <v>39480</v>
      </c>
      <c r="B4783" s="116">
        <f t="shared" si="74"/>
        <v>15</v>
      </c>
    </row>
    <row r="4784" spans="1:2" x14ac:dyDescent="0.2">
      <c r="A4784" s="117">
        <v>39481</v>
      </c>
      <c r="B4784" s="116">
        <f t="shared" si="74"/>
        <v>21</v>
      </c>
    </row>
    <row r="4785" spans="1:2" x14ac:dyDescent="0.2">
      <c r="A4785" s="117">
        <v>39482</v>
      </c>
      <c r="B4785" s="116">
        <f t="shared" si="74"/>
        <v>21</v>
      </c>
    </row>
    <row r="4786" spans="1:2" x14ac:dyDescent="0.2">
      <c r="A4786" s="117">
        <v>39483</v>
      </c>
      <c r="B4786" s="116">
        <f t="shared" si="74"/>
        <v>21</v>
      </c>
    </row>
    <row r="4787" spans="1:2" x14ac:dyDescent="0.2">
      <c r="A4787" s="117">
        <v>39484</v>
      </c>
      <c r="B4787" s="116">
        <f t="shared" si="74"/>
        <v>21</v>
      </c>
    </row>
    <row r="4788" spans="1:2" x14ac:dyDescent="0.2">
      <c r="A4788" s="117">
        <v>39485</v>
      </c>
      <c r="B4788" s="116">
        <f t="shared" si="74"/>
        <v>21</v>
      </c>
    </row>
    <row r="4789" spans="1:2" x14ac:dyDescent="0.2">
      <c r="A4789" s="117">
        <v>39486</v>
      </c>
      <c r="B4789" s="116">
        <f t="shared" si="74"/>
        <v>21</v>
      </c>
    </row>
    <row r="4790" spans="1:2" x14ac:dyDescent="0.2">
      <c r="A4790" s="117">
        <v>39487</v>
      </c>
      <c r="B4790" s="116">
        <f t="shared" si="74"/>
        <v>21</v>
      </c>
    </row>
    <row r="4791" spans="1:2" x14ac:dyDescent="0.2">
      <c r="A4791" s="117">
        <v>39488</v>
      </c>
      <c r="B4791" s="116">
        <f t="shared" si="74"/>
        <v>22</v>
      </c>
    </row>
    <row r="4792" spans="1:2" x14ac:dyDescent="0.2">
      <c r="A4792" s="117">
        <v>39489</v>
      </c>
      <c r="B4792" s="116">
        <f t="shared" si="74"/>
        <v>22</v>
      </c>
    </row>
    <row r="4793" spans="1:2" x14ac:dyDescent="0.2">
      <c r="A4793" s="117">
        <v>39490</v>
      </c>
      <c r="B4793" s="116">
        <f t="shared" si="74"/>
        <v>22</v>
      </c>
    </row>
    <row r="4794" spans="1:2" x14ac:dyDescent="0.2">
      <c r="A4794" s="117">
        <v>39491</v>
      </c>
      <c r="B4794" s="116">
        <f t="shared" si="74"/>
        <v>22</v>
      </c>
    </row>
    <row r="4795" spans="1:2" x14ac:dyDescent="0.2">
      <c r="A4795" s="117">
        <v>39492</v>
      </c>
      <c r="B4795" s="116">
        <f t="shared" si="74"/>
        <v>22</v>
      </c>
    </row>
    <row r="4796" spans="1:2" x14ac:dyDescent="0.2">
      <c r="A4796" s="117">
        <v>39493</v>
      </c>
      <c r="B4796" s="116">
        <f t="shared" si="74"/>
        <v>22</v>
      </c>
    </row>
    <row r="4797" spans="1:2" x14ac:dyDescent="0.2">
      <c r="A4797" s="117">
        <v>39494</v>
      </c>
      <c r="B4797" s="116">
        <f t="shared" si="74"/>
        <v>22</v>
      </c>
    </row>
    <row r="4798" spans="1:2" x14ac:dyDescent="0.2">
      <c r="A4798" s="117">
        <v>39495</v>
      </c>
      <c r="B4798" s="116">
        <f t="shared" si="74"/>
        <v>23</v>
      </c>
    </row>
    <row r="4799" spans="1:2" x14ac:dyDescent="0.2">
      <c r="A4799" s="117">
        <v>39496</v>
      </c>
      <c r="B4799" s="116">
        <f t="shared" si="74"/>
        <v>23</v>
      </c>
    </row>
    <row r="4800" spans="1:2" x14ac:dyDescent="0.2">
      <c r="A4800" s="117">
        <v>39497</v>
      </c>
      <c r="B4800" s="116">
        <f t="shared" si="74"/>
        <v>23</v>
      </c>
    </row>
    <row r="4801" spans="1:2" x14ac:dyDescent="0.2">
      <c r="A4801" s="117">
        <v>39498</v>
      </c>
      <c r="B4801" s="116">
        <f t="shared" si="74"/>
        <v>23</v>
      </c>
    </row>
    <row r="4802" spans="1:2" x14ac:dyDescent="0.2">
      <c r="A4802" s="117">
        <v>39499</v>
      </c>
      <c r="B4802" s="116">
        <f t="shared" si="74"/>
        <v>23</v>
      </c>
    </row>
    <row r="4803" spans="1:2" x14ac:dyDescent="0.2">
      <c r="A4803" s="117">
        <v>39500</v>
      </c>
      <c r="B4803" s="116">
        <f t="shared" si="74"/>
        <v>23</v>
      </c>
    </row>
    <row r="4804" spans="1:2" x14ac:dyDescent="0.2">
      <c r="A4804" s="117">
        <v>39501</v>
      </c>
      <c r="B4804" s="116">
        <f t="shared" ref="B4804:B4867" si="75">VLOOKUP(WEEKNUM(A4804),$D$4:$E$59,2)</f>
        <v>23</v>
      </c>
    </row>
    <row r="4805" spans="1:2" x14ac:dyDescent="0.2">
      <c r="A4805" s="117">
        <v>39502</v>
      </c>
      <c r="B4805" s="116">
        <f t="shared" si="75"/>
        <v>24</v>
      </c>
    </row>
    <row r="4806" spans="1:2" x14ac:dyDescent="0.2">
      <c r="A4806" s="117">
        <v>39503</v>
      </c>
      <c r="B4806" s="116">
        <f t="shared" si="75"/>
        <v>24</v>
      </c>
    </row>
    <row r="4807" spans="1:2" x14ac:dyDescent="0.2">
      <c r="A4807" s="117">
        <v>39504</v>
      </c>
      <c r="B4807" s="116">
        <f t="shared" si="75"/>
        <v>24</v>
      </c>
    </row>
    <row r="4808" spans="1:2" x14ac:dyDescent="0.2">
      <c r="A4808" s="117">
        <v>39505</v>
      </c>
      <c r="B4808" s="116">
        <f t="shared" si="75"/>
        <v>24</v>
      </c>
    </row>
    <row r="4809" spans="1:2" x14ac:dyDescent="0.2">
      <c r="A4809" s="117">
        <v>39506</v>
      </c>
      <c r="B4809" s="116">
        <f t="shared" si="75"/>
        <v>24</v>
      </c>
    </row>
    <row r="4810" spans="1:2" x14ac:dyDescent="0.2">
      <c r="A4810" s="117">
        <v>39507</v>
      </c>
      <c r="B4810" s="116">
        <f t="shared" si="75"/>
        <v>24</v>
      </c>
    </row>
    <row r="4811" spans="1:2" x14ac:dyDescent="0.2">
      <c r="A4811" s="117">
        <v>39508</v>
      </c>
      <c r="B4811" s="116">
        <f t="shared" si="75"/>
        <v>24</v>
      </c>
    </row>
    <row r="4812" spans="1:2" x14ac:dyDescent="0.2">
      <c r="A4812" s="117">
        <v>39509</v>
      </c>
      <c r="B4812" s="116">
        <f t="shared" si="75"/>
        <v>31</v>
      </c>
    </row>
    <row r="4813" spans="1:2" x14ac:dyDescent="0.2">
      <c r="A4813" s="117">
        <v>39510</v>
      </c>
      <c r="B4813" s="116">
        <f t="shared" si="75"/>
        <v>31</v>
      </c>
    </row>
    <row r="4814" spans="1:2" x14ac:dyDescent="0.2">
      <c r="A4814" s="117">
        <v>39511</v>
      </c>
      <c r="B4814" s="116">
        <f t="shared" si="75"/>
        <v>31</v>
      </c>
    </row>
    <row r="4815" spans="1:2" x14ac:dyDescent="0.2">
      <c r="A4815" s="117">
        <v>39512</v>
      </c>
      <c r="B4815" s="116">
        <f t="shared" si="75"/>
        <v>31</v>
      </c>
    </row>
    <row r="4816" spans="1:2" x14ac:dyDescent="0.2">
      <c r="A4816" s="117">
        <v>39513</v>
      </c>
      <c r="B4816" s="116">
        <f t="shared" si="75"/>
        <v>31</v>
      </c>
    </row>
    <row r="4817" spans="1:2" x14ac:dyDescent="0.2">
      <c r="A4817" s="117">
        <v>39514</v>
      </c>
      <c r="B4817" s="116">
        <f t="shared" si="75"/>
        <v>31</v>
      </c>
    </row>
    <row r="4818" spans="1:2" x14ac:dyDescent="0.2">
      <c r="A4818" s="117">
        <v>39515</v>
      </c>
      <c r="B4818" s="116">
        <f t="shared" si="75"/>
        <v>31</v>
      </c>
    </row>
    <row r="4819" spans="1:2" x14ac:dyDescent="0.2">
      <c r="A4819" s="117">
        <v>39516</v>
      </c>
      <c r="B4819" s="116">
        <f t="shared" si="75"/>
        <v>32</v>
      </c>
    </row>
    <row r="4820" spans="1:2" x14ac:dyDescent="0.2">
      <c r="A4820" s="117">
        <v>39517</v>
      </c>
      <c r="B4820" s="116">
        <f t="shared" si="75"/>
        <v>32</v>
      </c>
    </row>
    <row r="4821" spans="1:2" x14ac:dyDescent="0.2">
      <c r="A4821" s="117">
        <v>39518</v>
      </c>
      <c r="B4821" s="116">
        <f t="shared" si="75"/>
        <v>32</v>
      </c>
    </row>
    <row r="4822" spans="1:2" x14ac:dyDescent="0.2">
      <c r="A4822" s="117">
        <v>39519</v>
      </c>
      <c r="B4822" s="116">
        <f t="shared" si="75"/>
        <v>32</v>
      </c>
    </row>
    <row r="4823" spans="1:2" x14ac:dyDescent="0.2">
      <c r="A4823" s="117">
        <v>39520</v>
      </c>
      <c r="B4823" s="116">
        <f t="shared" si="75"/>
        <v>32</v>
      </c>
    </row>
    <row r="4824" spans="1:2" x14ac:dyDescent="0.2">
      <c r="A4824" s="117">
        <v>39521</v>
      </c>
      <c r="B4824" s="116">
        <f t="shared" si="75"/>
        <v>32</v>
      </c>
    </row>
    <row r="4825" spans="1:2" x14ac:dyDescent="0.2">
      <c r="A4825" s="117">
        <v>39522</v>
      </c>
      <c r="B4825" s="116">
        <f t="shared" si="75"/>
        <v>32</v>
      </c>
    </row>
    <row r="4826" spans="1:2" x14ac:dyDescent="0.2">
      <c r="A4826" s="117">
        <v>39523</v>
      </c>
      <c r="B4826" s="116">
        <f t="shared" si="75"/>
        <v>33</v>
      </c>
    </row>
    <row r="4827" spans="1:2" x14ac:dyDescent="0.2">
      <c r="A4827" s="117">
        <v>39524</v>
      </c>
      <c r="B4827" s="116">
        <f t="shared" si="75"/>
        <v>33</v>
      </c>
    </row>
    <row r="4828" spans="1:2" x14ac:dyDescent="0.2">
      <c r="A4828" s="117">
        <v>39525</v>
      </c>
      <c r="B4828" s="116">
        <f t="shared" si="75"/>
        <v>33</v>
      </c>
    </row>
    <row r="4829" spans="1:2" x14ac:dyDescent="0.2">
      <c r="A4829" s="117">
        <v>39526</v>
      </c>
      <c r="B4829" s="116">
        <f t="shared" si="75"/>
        <v>33</v>
      </c>
    </row>
    <row r="4830" spans="1:2" x14ac:dyDescent="0.2">
      <c r="A4830" s="117">
        <v>39527</v>
      </c>
      <c r="B4830" s="116">
        <f t="shared" si="75"/>
        <v>33</v>
      </c>
    </row>
    <row r="4831" spans="1:2" x14ac:dyDescent="0.2">
      <c r="A4831" s="117">
        <v>39528</v>
      </c>
      <c r="B4831" s="116">
        <f t="shared" si="75"/>
        <v>33</v>
      </c>
    </row>
    <row r="4832" spans="1:2" x14ac:dyDescent="0.2">
      <c r="A4832" s="117">
        <v>39529</v>
      </c>
      <c r="B4832" s="116">
        <f t="shared" si="75"/>
        <v>33</v>
      </c>
    </row>
    <row r="4833" spans="1:2" x14ac:dyDescent="0.2">
      <c r="A4833" s="117">
        <v>39530</v>
      </c>
      <c r="B4833" s="116">
        <f t="shared" si="75"/>
        <v>34</v>
      </c>
    </row>
    <row r="4834" spans="1:2" x14ac:dyDescent="0.2">
      <c r="A4834" s="117">
        <v>39531</v>
      </c>
      <c r="B4834" s="116">
        <f t="shared" si="75"/>
        <v>34</v>
      </c>
    </row>
    <row r="4835" spans="1:2" x14ac:dyDescent="0.2">
      <c r="A4835" s="117">
        <v>39532</v>
      </c>
      <c r="B4835" s="116">
        <f t="shared" si="75"/>
        <v>34</v>
      </c>
    </row>
    <row r="4836" spans="1:2" x14ac:dyDescent="0.2">
      <c r="A4836" s="117">
        <v>39533</v>
      </c>
      <c r="B4836" s="116">
        <f t="shared" si="75"/>
        <v>34</v>
      </c>
    </row>
    <row r="4837" spans="1:2" x14ac:dyDescent="0.2">
      <c r="A4837" s="117">
        <v>39534</v>
      </c>
      <c r="B4837" s="116">
        <f t="shared" si="75"/>
        <v>34</v>
      </c>
    </row>
    <row r="4838" spans="1:2" x14ac:dyDescent="0.2">
      <c r="A4838" s="117">
        <v>39535</v>
      </c>
      <c r="B4838" s="116">
        <f t="shared" si="75"/>
        <v>34</v>
      </c>
    </row>
    <row r="4839" spans="1:2" x14ac:dyDescent="0.2">
      <c r="A4839" s="117">
        <v>39536</v>
      </c>
      <c r="B4839" s="116">
        <f t="shared" si="75"/>
        <v>34</v>
      </c>
    </row>
    <row r="4840" spans="1:2" x14ac:dyDescent="0.2">
      <c r="A4840" s="117">
        <v>39537</v>
      </c>
      <c r="B4840" s="116">
        <f t="shared" si="75"/>
        <v>41</v>
      </c>
    </row>
    <row r="4841" spans="1:2" x14ac:dyDescent="0.2">
      <c r="A4841" s="117">
        <v>39538</v>
      </c>
      <c r="B4841" s="116">
        <f t="shared" si="75"/>
        <v>41</v>
      </c>
    </row>
    <row r="4842" spans="1:2" x14ac:dyDescent="0.2">
      <c r="A4842" s="117">
        <v>39539</v>
      </c>
      <c r="B4842" s="116">
        <f t="shared" si="75"/>
        <v>41</v>
      </c>
    </row>
    <row r="4843" spans="1:2" x14ac:dyDescent="0.2">
      <c r="A4843" s="117">
        <v>39540</v>
      </c>
      <c r="B4843" s="116">
        <f t="shared" si="75"/>
        <v>41</v>
      </c>
    </row>
    <row r="4844" spans="1:2" x14ac:dyDescent="0.2">
      <c r="A4844" s="117">
        <v>39541</v>
      </c>
      <c r="B4844" s="116">
        <f t="shared" si="75"/>
        <v>41</v>
      </c>
    </row>
    <row r="4845" spans="1:2" x14ac:dyDescent="0.2">
      <c r="A4845" s="117">
        <v>39542</v>
      </c>
      <c r="B4845" s="116">
        <f t="shared" si="75"/>
        <v>41</v>
      </c>
    </row>
    <row r="4846" spans="1:2" x14ac:dyDescent="0.2">
      <c r="A4846" s="117">
        <v>39543</v>
      </c>
      <c r="B4846" s="116">
        <f t="shared" si="75"/>
        <v>41</v>
      </c>
    </row>
    <row r="4847" spans="1:2" x14ac:dyDescent="0.2">
      <c r="A4847" s="117">
        <v>39544</v>
      </c>
      <c r="B4847" s="116">
        <f t="shared" si="75"/>
        <v>42</v>
      </c>
    </row>
    <row r="4848" spans="1:2" x14ac:dyDescent="0.2">
      <c r="A4848" s="117">
        <v>39545</v>
      </c>
      <c r="B4848" s="116">
        <f t="shared" si="75"/>
        <v>42</v>
      </c>
    </row>
    <row r="4849" spans="1:2" x14ac:dyDescent="0.2">
      <c r="A4849" s="117">
        <v>39546</v>
      </c>
      <c r="B4849" s="116">
        <f t="shared" si="75"/>
        <v>42</v>
      </c>
    </row>
    <row r="4850" spans="1:2" x14ac:dyDescent="0.2">
      <c r="A4850" s="117">
        <v>39547</v>
      </c>
      <c r="B4850" s="116">
        <f t="shared" si="75"/>
        <v>42</v>
      </c>
    </row>
    <row r="4851" spans="1:2" x14ac:dyDescent="0.2">
      <c r="A4851" s="117">
        <v>39548</v>
      </c>
      <c r="B4851" s="116">
        <f t="shared" si="75"/>
        <v>42</v>
      </c>
    </row>
    <row r="4852" spans="1:2" x14ac:dyDescent="0.2">
      <c r="A4852" s="117">
        <v>39549</v>
      </c>
      <c r="B4852" s="116">
        <f t="shared" si="75"/>
        <v>42</v>
      </c>
    </row>
    <row r="4853" spans="1:2" x14ac:dyDescent="0.2">
      <c r="A4853" s="117">
        <v>39550</v>
      </c>
      <c r="B4853" s="116">
        <f t="shared" si="75"/>
        <v>42</v>
      </c>
    </row>
    <row r="4854" spans="1:2" x14ac:dyDescent="0.2">
      <c r="A4854" s="117">
        <v>39551</v>
      </c>
      <c r="B4854" s="116">
        <f t="shared" si="75"/>
        <v>43</v>
      </c>
    </row>
    <row r="4855" spans="1:2" x14ac:dyDescent="0.2">
      <c r="A4855" s="117">
        <v>39552</v>
      </c>
      <c r="B4855" s="116">
        <f t="shared" si="75"/>
        <v>43</v>
      </c>
    </row>
    <row r="4856" spans="1:2" x14ac:dyDescent="0.2">
      <c r="A4856" s="117">
        <v>39553</v>
      </c>
      <c r="B4856" s="116">
        <f t="shared" si="75"/>
        <v>43</v>
      </c>
    </row>
    <row r="4857" spans="1:2" x14ac:dyDescent="0.2">
      <c r="A4857" s="117">
        <v>39554</v>
      </c>
      <c r="B4857" s="116">
        <f t="shared" si="75"/>
        <v>43</v>
      </c>
    </row>
    <row r="4858" spans="1:2" x14ac:dyDescent="0.2">
      <c r="A4858" s="117">
        <v>39555</v>
      </c>
      <c r="B4858" s="116">
        <f t="shared" si="75"/>
        <v>43</v>
      </c>
    </row>
    <row r="4859" spans="1:2" x14ac:dyDescent="0.2">
      <c r="A4859" s="117">
        <v>39556</v>
      </c>
      <c r="B4859" s="116">
        <f t="shared" si="75"/>
        <v>43</v>
      </c>
    </row>
    <row r="4860" spans="1:2" x14ac:dyDescent="0.2">
      <c r="A4860" s="117">
        <v>39557</v>
      </c>
      <c r="B4860" s="116">
        <f t="shared" si="75"/>
        <v>43</v>
      </c>
    </row>
    <row r="4861" spans="1:2" x14ac:dyDescent="0.2">
      <c r="A4861" s="117">
        <v>39558</v>
      </c>
      <c r="B4861" s="116">
        <f t="shared" si="75"/>
        <v>44</v>
      </c>
    </row>
    <row r="4862" spans="1:2" x14ac:dyDescent="0.2">
      <c r="A4862" s="117">
        <v>39559</v>
      </c>
      <c r="B4862" s="116">
        <f t="shared" si="75"/>
        <v>44</v>
      </c>
    </row>
    <row r="4863" spans="1:2" x14ac:dyDescent="0.2">
      <c r="A4863" s="117">
        <v>39560</v>
      </c>
      <c r="B4863" s="116">
        <f t="shared" si="75"/>
        <v>44</v>
      </c>
    </row>
    <row r="4864" spans="1:2" x14ac:dyDescent="0.2">
      <c r="A4864" s="117">
        <v>39561</v>
      </c>
      <c r="B4864" s="116">
        <f t="shared" si="75"/>
        <v>44</v>
      </c>
    </row>
    <row r="4865" spans="1:2" x14ac:dyDescent="0.2">
      <c r="A4865" s="117">
        <v>39562</v>
      </c>
      <c r="B4865" s="116">
        <f t="shared" si="75"/>
        <v>44</v>
      </c>
    </row>
    <row r="4866" spans="1:2" x14ac:dyDescent="0.2">
      <c r="A4866" s="117">
        <v>39563</v>
      </c>
      <c r="B4866" s="116">
        <f t="shared" si="75"/>
        <v>44</v>
      </c>
    </row>
    <row r="4867" spans="1:2" x14ac:dyDescent="0.2">
      <c r="A4867" s="117">
        <v>39564</v>
      </c>
      <c r="B4867" s="116">
        <f t="shared" si="75"/>
        <v>44</v>
      </c>
    </row>
    <row r="4868" spans="1:2" x14ac:dyDescent="0.2">
      <c r="A4868" s="117">
        <v>39565</v>
      </c>
      <c r="B4868" s="116">
        <f t="shared" ref="B4868:B4931" si="76">VLOOKUP(WEEKNUM(A4868),$D$4:$E$59,2)</f>
        <v>45</v>
      </c>
    </row>
    <row r="4869" spans="1:2" x14ac:dyDescent="0.2">
      <c r="A4869" s="117">
        <v>39566</v>
      </c>
      <c r="B4869" s="116">
        <f t="shared" si="76"/>
        <v>45</v>
      </c>
    </row>
    <row r="4870" spans="1:2" x14ac:dyDescent="0.2">
      <c r="A4870" s="117">
        <v>39567</v>
      </c>
      <c r="B4870" s="116">
        <f t="shared" si="76"/>
        <v>45</v>
      </c>
    </row>
    <row r="4871" spans="1:2" x14ac:dyDescent="0.2">
      <c r="A4871" s="117">
        <v>39568</v>
      </c>
      <c r="B4871" s="116">
        <f t="shared" si="76"/>
        <v>45</v>
      </c>
    </row>
    <row r="4872" spans="1:2" x14ac:dyDescent="0.2">
      <c r="A4872" s="117">
        <v>39569</v>
      </c>
      <c r="B4872" s="116">
        <f t="shared" si="76"/>
        <v>45</v>
      </c>
    </row>
    <row r="4873" spans="1:2" x14ac:dyDescent="0.2">
      <c r="A4873" s="117">
        <v>39570</v>
      </c>
      <c r="B4873" s="116">
        <f t="shared" si="76"/>
        <v>45</v>
      </c>
    </row>
    <row r="4874" spans="1:2" x14ac:dyDescent="0.2">
      <c r="A4874" s="117">
        <v>39571</v>
      </c>
      <c r="B4874" s="116">
        <f t="shared" si="76"/>
        <v>45</v>
      </c>
    </row>
    <row r="4875" spans="1:2" x14ac:dyDescent="0.2">
      <c r="A4875" s="117">
        <v>39572</v>
      </c>
      <c r="B4875" s="116">
        <f t="shared" si="76"/>
        <v>51</v>
      </c>
    </row>
    <row r="4876" spans="1:2" x14ac:dyDescent="0.2">
      <c r="A4876" s="117">
        <v>39573</v>
      </c>
      <c r="B4876" s="116">
        <f t="shared" si="76"/>
        <v>51</v>
      </c>
    </row>
    <row r="4877" spans="1:2" x14ac:dyDescent="0.2">
      <c r="A4877" s="117">
        <v>39574</v>
      </c>
      <c r="B4877" s="116">
        <f t="shared" si="76"/>
        <v>51</v>
      </c>
    </row>
    <row r="4878" spans="1:2" x14ac:dyDescent="0.2">
      <c r="A4878" s="117">
        <v>39575</v>
      </c>
      <c r="B4878" s="116">
        <f t="shared" si="76"/>
        <v>51</v>
      </c>
    </row>
    <row r="4879" spans="1:2" x14ac:dyDescent="0.2">
      <c r="A4879" s="117">
        <v>39576</v>
      </c>
      <c r="B4879" s="116">
        <f t="shared" si="76"/>
        <v>51</v>
      </c>
    </row>
    <row r="4880" spans="1:2" x14ac:dyDescent="0.2">
      <c r="A4880" s="117">
        <v>39577</v>
      </c>
      <c r="B4880" s="116">
        <f t="shared" si="76"/>
        <v>51</v>
      </c>
    </row>
    <row r="4881" spans="1:2" x14ac:dyDescent="0.2">
      <c r="A4881" s="117">
        <v>39578</v>
      </c>
      <c r="B4881" s="116">
        <f t="shared" si="76"/>
        <v>51</v>
      </c>
    </row>
    <row r="4882" spans="1:2" x14ac:dyDescent="0.2">
      <c r="A4882" s="117">
        <v>39579</v>
      </c>
      <c r="B4882" s="116">
        <f t="shared" si="76"/>
        <v>52</v>
      </c>
    </row>
    <row r="4883" spans="1:2" x14ac:dyDescent="0.2">
      <c r="A4883" s="117">
        <v>39580</v>
      </c>
      <c r="B4883" s="116">
        <f t="shared" si="76"/>
        <v>52</v>
      </c>
    </row>
    <row r="4884" spans="1:2" x14ac:dyDescent="0.2">
      <c r="A4884" s="117">
        <v>39581</v>
      </c>
      <c r="B4884" s="116">
        <f t="shared" si="76"/>
        <v>52</v>
      </c>
    </row>
    <row r="4885" spans="1:2" x14ac:dyDescent="0.2">
      <c r="A4885" s="117">
        <v>39582</v>
      </c>
      <c r="B4885" s="116">
        <f t="shared" si="76"/>
        <v>52</v>
      </c>
    </row>
    <row r="4886" spans="1:2" x14ac:dyDescent="0.2">
      <c r="A4886" s="117">
        <v>39583</v>
      </c>
      <c r="B4886" s="116">
        <f t="shared" si="76"/>
        <v>52</v>
      </c>
    </row>
    <row r="4887" spans="1:2" x14ac:dyDescent="0.2">
      <c r="A4887" s="117">
        <v>39584</v>
      </c>
      <c r="B4887" s="116">
        <f t="shared" si="76"/>
        <v>52</v>
      </c>
    </row>
    <row r="4888" spans="1:2" x14ac:dyDescent="0.2">
      <c r="A4888" s="117">
        <v>39585</v>
      </c>
      <c r="B4888" s="116">
        <f t="shared" si="76"/>
        <v>52</v>
      </c>
    </row>
    <row r="4889" spans="1:2" x14ac:dyDescent="0.2">
      <c r="A4889" s="117">
        <v>39586</v>
      </c>
      <c r="B4889" s="116">
        <f t="shared" si="76"/>
        <v>53</v>
      </c>
    </row>
    <row r="4890" spans="1:2" x14ac:dyDescent="0.2">
      <c r="A4890" s="117">
        <v>39587</v>
      </c>
      <c r="B4890" s="116">
        <f t="shared" si="76"/>
        <v>53</v>
      </c>
    </row>
    <row r="4891" spans="1:2" x14ac:dyDescent="0.2">
      <c r="A4891" s="117">
        <v>39588</v>
      </c>
      <c r="B4891" s="116">
        <f t="shared" si="76"/>
        <v>53</v>
      </c>
    </row>
    <row r="4892" spans="1:2" x14ac:dyDescent="0.2">
      <c r="A4892" s="117">
        <v>39589</v>
      </c>
      <c r="B4892" s="116">
        <f t="shared" si="76"/>
        <v>53</v>
      </c>
    </row>
    <row r="4893" spans="1:2" x14ac:dyDescent="0.2">
      <c r="A4893" s="117">
        <v>39590</v>
      </c>
      <c r="B4893" s="116">
        <f t="shared" si="76"/>
        <v>53</v>
      </c>
    </row>
    <row r="4894" spans="1:2" x14ac:dyDescent="0.2">
      <c r="A4894" s="117">
        <v>39591</v>
      </c>
      <c r="B4894" s="116">
        <f t="shared" si="76"/>
        <v>53</v>
      </c>
    </row>
    <row r="4895" spans="1:2" x14ac:dyDescent="0.2">
      <c r="A4895" s="117">
        <v>39592</v>
      </c>
      <c r="B4895" s="116">
        <f t="shared" si="76"/>
        <v>53</v>
      </c>
    </row>
    <row r="4896" spans="1:2" x14ac:dyDescent="0.2">
      <c r="A4896" s="117">
        <v>39593</v>
      </c>
      <c r="B4896" s="116">
        <f t="shared" si="76"/>
        <v>54</v>
      </c>
    </row>
    <row r="4897" spans="1:2" x14ac:dyDescent="0.2">
      <c r="A4897" s="117">
        <v>39594</v>
      </c>
      <c r="B4897" s="116">
        <f t="shared" si="76"/>
        <v>54</v>
      </c>
    </row>
    <row r="4898" spans="1:2" x14ac:dyDescent="0.2">
      <c r="A4898" s="117">
        <v>39595</v>
      </c>
      <c r="B4898" s="116">
        <f t="shared" si="76"/>
        <v>54</v>
      </c>
    </row>
    <row r="4899" spans="1:2" x14ac:dyDescent="0.2">
      <c r="A4899" s="117">
        <v>39596</v>
      </c>
      <c r="B4899" s="116">
        <f t="shared" si="76"/>
        <v>54</v>
      </c>
    </row>
    <row r="4900" spans="1:2" x14ac:dyDescent="0.2">
      <c r="A4900" s="117">
        <v>39597</v>
      </c>
      <c r="B4900" s="116">
        <f t="shared" si="76"/>
        <v>54</v>
      </c>
    </row>
    <row r="4901" spans="1:2" x14ac:dyDescent="0.2">
      <c r="A4901" s="117">
        <v>39598</v>
      </c>
      <c r="B4901" s="116">
        <f t="shared" si="76"/>
        <v>54</v>
      </c>
    </row>
    <row r="4902" spans="1:2" x14ac:dyDescent="0.2">
      <c r="A4902" s="117">
        <v>39599</v>
      </c>
      <c r="B4902" s="116">
        <f t="shared" si="76"/>
        <v>54</v>
      </c>
    </row>
    <row r="4903" spans="1:2" x14ac:dyDescent="0.2">
      <c r="A4903" s="117">
        <v>39600</v>
      </c>
      <c r="B4903" s="116">
        <f t="shared" si="76"/>
        <v>61</v>
      </c>
    </row>
    <row r="4904" spans="1:2" x14ac:dyDescent="0.2">
      <c r="A4904" s="117">
        <v>39601</v>
      </c>
      <c r="B4904" s="116">
        <f t="shared" si="76"/>
        <v>61</v>
      </c>
    </row>
    <row r="4905" spans="1:2" x14ac:dyDescent="0.2">
      <c r="A4905" s="117">
        <v>39602</v>
      </c>
      <c r="B4905" s="116">
        <f t="shared" si="76"/>
        <v>61</v>
      </c>
    </row>
    <row r="4906" spans="1:2" x14ac:dyDescent="0.2">
      <c r="A4906" s="117">
        <v>39603</v>
      </c>
      <c r="B4906" s="116">
        <f t="shared" si="76"/>
        <v>61</v>
      </c>
    </row>
    <row r="4907" spans="1:2" x14ac:dyDescent="0.2">
      <c r="A4907" s="117">
        <v>39604</v>
      </c>
      <c r="B4907" s="116">
        <f t="shared" si="76"/>
        <v>61</v>
      </c>
    </row>
    <row r="4908" spans="1:2" x14ac:dyDescent="0.2">
      <c r="A4908" s="117">
        <v>39605</v>
      </c>
      <c r="B4908" s="116">
        <f t="shared" si="76"/>
        <v>61</v>
      </c>
    </row>
    <row r="4909" spans="1:2" x14ac:dyDescent="0.2">
      <c r="A4909" s="117">
        <v>39606</v>
      </c>
      <c r="B4909" s="116">
        <f t="shared" si="76"/>
        <v>61</v>
      </c>
    </row>
    <row r="4910" spans="1:2" x14ac:dyDescent="0.2">
      <c r="A4910" s="117">
        <v>39607</v>
      </c>
      <c r="B4910" s="116">
        <f t="shared" si="76"/>
        <v>62</v>
      </c>
    </row>
    <row r="4911" spans="1:2" x14ac:dyDescent="0.2">
      <c r="A4911" s="117">
        <v>39608</v>
      </c>
      <c r="B4911" s="116">
        <f t="shared" si="76"/>
        <v>62</v>
      </c>
    </row>
    <row r="4912" spans="1:2" x14ac:dyDescent="0.2">
      <c r="A4912" s="117">
        <v>39609</v>
      </c>
      <c r="B4912" s="116">
        <f t="shared" si="76"/>
        <v>62</v>
      </c>
    </row>
    <row r="4913" spans="1:2" x14ac:dyDescent="0.2">
      <c r="A4913" s="117">
        <v>39610</v>
      </c>
      <c r="B4913" s="116">
        <f t="shared" si="76"/>
        <v>62</v>
      </c>
    </row>
    <row r="4914" spans="1:2" x14ac:dyDescent="0.2">
      <c r="A4914" s="117">
        <v>39611</v>
      </c>
      <c r="B4914" s="116">
        <f t="shared" si="76"/>
        <v>62</v>
      </c>
    </row>
    <row r="4915" spans="1:2" x14ac:dyDescent="0.2">
      <c r="A4915" s="117">
        <v>39612</v>
      </c>
      <c r="B4915" s="116">
        <f t="shared" si="76"/>
        <v>62</v>
      </c>
    </row>
    <row r="4916" spans="1:2" x14ac:dyDescent="0.2">
      <c r="A4916" s="117">
        <v>39613</v>
      </c>
      <c r="B4916" s="116">
        <f t="shared" si="76"/>
        <v>62</v>
      </c>
    </row>
    <row r="4917" spans="1:2" x14ac:dyDescent="0.2">
      <c r="A4917" s="117">
        <v>39614</v>
      </c>
      <c r="B4917" s="116">
        <f t="shared" si="76"/>
        <v>63</v>
      </c>
    </row>
    <row r="4918" spans="1:2" x14ac:dyDescent="0.2">
      <c r="A4918" s="117">
        <v>39615</v>
      </c>
      <c r="B4918" s="116">
        <f t="shared" si="76"/>
        <v>63</v>
      </c>
    </row>
    <row r="4919" spans="1:2" x14ac:dyDescent="0.2">
      <c r="A4919" s="117">
        <v>39616</v>
      </c>
      <c r="B4919" s="116">
        <f t="shared" si="76"/>
        <v>63</v>
      </c>
    </row>
    <row r="4920" spans="1:2" x14ac:dyDescent="0.2">
      <c r="A4920" s="117">
        <v>39617</v>
      </c>
      <c r="B4920" s="116">
        <f t="shared" si="76"/>
        <v>63</v>
      </c>
    </row>
    <row r="4921" spans="1:2" x14ac:dyDescent="0.2">
      <c r="A4921" s="117">
        <v>39618</v>
      </c>
      <c r="B4921" s="116">
        <f t="shared" si="76"/>
        <v>63</v>
      </c>
    </row>
    <row r="4922" spans="1:2" x14ac:dyDescent="0.2">
      <c r="A4922" s="117">
        <v>39619</v>
      </c>
      <c r="B4922" s="116">
        <f t="shared" si="76"/>
        <v>63</v>
      </c>
    </row>
    <row r="4923" spans="1:2" x14ac:dyDescent="0.2">
      <c r="A4923" s="117">
        <v>39620</v>
      </c>
      <c r="B4923" s="116">
        <f t="shared" si="76"/>
        <v>63</v>
      </c>
    </row>
    <row r="4924" spans="1:2" x14ac:dyDescent="0.2">
      <c r="A4924" s="117">
        <v>39621</v>
      </c>
      <c r="B4924" s="116">
        <f t="shared" si="76"/>
        <v>64</v>
      </c>
    </row>
    <row r="4925" spans="1:2" x14ac:dyDescent="0.2">
      <c r="A4925" s="117">
        <v>39622</v>
      </c>
      <c r="B4925" s="116">
        <f t="shared" si="76"/>
        <v>64</v>
      </c>
    </row>
    <row r="4926" spans="1:2" x14ac:dyDescent="0.2">
      <c r="A4926" s="117">
        <v>39623</v>
      </c>
      <c r="B4926" s="116">
        <f t="shared" si="76"/>
        <v>64</v>
      </c>
    </row>
    <row r="4927" spans="1:2" x14ac:dyDescent="0.2">
      <c r="A4927" s="117">
        <v>39624</v>
      </c>
      <c r="B4927" s="116">
        <f t="shared" si="76"/>
        <v>64</v>
      </c>
    </row>
    <row r="4928" spans="1:2" x14ac:dyDescent="0.2">
      <c r="A4928" s="117">
        <v>39625</v>
      </c>
      <c r="B4928" s="116">
        <f t="shared" si="76"/>
        <v>64</v>
      </c>
    </row>
    <row r="4929" spans="1:2" x14ac:dyDescent="0.2">
      <c r="A4929" s="117">
        <v>39626</v>
      </c>
      <c r="B4929" s="116">
        <f t="shared" si="76"/>
        <v>64</v>
      </c>
    </row>
    <row r="4930" spans="1:2" x14ac:dyDescent="0.2">
      <c r="A4930" s="117">
        <v>39627</v>
      </c>
      <c r="B4930" s="116">
        <f t="shared" si="76"/>
        <v>64</v>
      </c>
    </row>
    <row r="4931" spans="1:2" x14ac:dyDescent="0.2">
      <c r="A4931" s="117">
        <v>39628</v>
      </c>
      <c r="B4931" s="116">
        <f t="shared" si="76"/>
        <v>71</v>
      </c>
    </row>
    <row r="4932" spans="1:2" x14ac:dyDescent="0.2">
      <c r="A4932" s="117">
        <v>39629</v>
      </c>
      <c r="B4932" s="116">
        <f t="shared" ref="B4932:B4995" si="77">VLOOKUP(WEEKNUM(A4932),$D$4:$E$59,2)</f>
        <v>71</v>
      </c>
    </row>
    <row r="4933" spans="1:2" x14ac:dyDescent="0.2">
      <c r="A4933" s="117">
        <v>39630</v>
      </c>
      <c r="B4933" s="116">
        <f t="shared" si="77"/>
        <v>71</v>
      </c>
    </row>
    <row r="4934" spans="1:2" x14ac:dyDescent="0.2">
      <c r="A4934" s="117">
        <v>39631</v>
      </c>
      <c r="B4934" s="116">
        <f t="shared" si="77"/>
        <v>71</v>
      </c>
    </row>
    <row r="4935" spans="1:2" x14ac:dyDescent="0.2">
      <c r="A4935" s="117">
        <v>39632</v>
      </c>
      <c r="B4935" s="116">
        <f t="shared" si="77"/>
        <v>71</v>
      </c>
    </row>
    <row r="4936" spans="1:2" x14ac:dyDescent="0.2">
      <c r="A4936" s="117">
        <v>39633</v>
      </c>
      <c r="B4936" s="116">
        <f t="shared" si="77"/>
        <v>71</v>
      </c>
    </row>
    <row r="4937" spans="1:2" x14ac:dyDescent="0.2">
      <c r="A4937" s="117">
        <v>39634</v>
      </c>
      <c r="B4937" s="116">
        <f t="shared" si="77"/>
        <v>71</v>
      </c>
    </row>
    <row r="4938" spans="1:2" x14ac:dyDescent="0.2">
      <c r="A4938" s="117">
        <v>39635</v>
      </c>
      <c r="B4938" s="116">
        <f t="shared" si="77"/>
        <v>72</v>
      </c>
    </row>
    <row r="4939" spans="1:2" x14ac:dyDescent="0.2">
      <c r="A4939" s="117">
        <v>39636</v>
      </c>
      <c r="B4939" s="116">
        <f t="shared" si="77"/>
        <v>72</v>
      </c>
    </row>
    <row r="4940" spans="1:2" x14ac:dyDescent="0.2">
      <c r="A4940" s="117">
        <v>39637</v>
      </c>
      <c r="B4940" s="116">
        <f t="shared" si="77"/>
        <v>72</v>
      </c>
    </row>
    <row r="4941" spans="1:2" x14ac:dyDescent="0.2">
      <c r="A4941" s="117">
        <v>39638</v>
      </c>
      <c r="B4941" s="116">
        <f t="shared" si="77"/>
        <v>72</v>
      </c>
    </row>
    <row r="4942" spans="1:2" x14ac:dyDescent="0.2">
      <c r="A4942" s="117">
        <v>39639</v>
      </c>
      <c r="B4942" s="116">
        <f t="shared" si="77"/>
        <v>72</v>
      </c>
    </row>
    <row r="4943" spans="1:2" x14ac:dyDescent="0.2">
      <c r="A4943" s="117">
        <v>39640</v>
      </c>
      <c r="B4943" s="116">
        <f t="shared" si="77"/>
        <v>72</v>
      </c>
    </row>
    <row r="4944" spans="1:2" x14ac:dyDescent="0.2">
      <c r="A4944" s="117">
        <v>39641</v>
      </c>
      <c r="B4944" s="116">
        <f t="shared" si="77"/>
        <v>72</v>
      </c>
    </row>
    <row r="4945" spans="1:2" x14ac:dyDescent="0.2">
      <c r="A4945" s="117">
        <v>39642</v>
      </c>
      <c r="B4945" s="116">
        <f t="shared" si="77"/>
        <v>73</v>
      </c>
    </row>
    <row r="4946" spans="1:2" x14ac:dyDescent="0.2">
      <c r="A4946" s="117">
        <v>39643</v>
      </c>
      <c r="B4946" s="116">
        <f t="shared" si="77"/>
        <v>73</v>
      </c>
    </row>
    <row r="4947" spans="1:2" x14ac:dyDescent="0.2">
      <c r="A4947" s="117">
        <v>39644</v>
      </c>
      <c r="B4947" s="116">
        <f t="shared" si="77"/>
        <v>73</v>
      </c>
    </row>
    <row r="4948" spans="1:2" x14ac:dyDescent="0.2">
      <c r="A4948" s="117">
        <v>39645</v>
      </c>
      <c r="B4948" s="116">
        <f t="shared" si="77"/>
        <v>73</v>
      </c>
    </row>
    <row r="4949" spans="1:2" x14ac:dyDescent="0.2">
      <c r="A4949" s="117">
        <v>39646</v>
      </c>
      <c r="B4949" s="116">
        <f t="shared" si="77"/>
        <v>73</v>
      </c>
    </row>
    <row r="4950" spans="1:2" x14ac:dyDescent="0.2">
      <c r="A4950" s="117">
        <v>39647</v>
      </c>
      <c r="B4950" s="116">
        <f t="shared" si="77"/>
        <v>73</v>
      </c>
    </row>
    <row r="4951" spans="1:2" x14ac:dyDescent="0.2">
      <c r="A4951" s="117">
        <v>39648</v>
      </c>
      <c r="B4951" s="116">
        <f t="shared" si="77"/>
        <v>73</v>
      </c>
    </row>
    <row r="4952" spans="1:2" x14ac:dyDescent="0.2">
      <c r="A4952" s="117">
        <v>39649</v>
      </c>
      <c r="B4952" s="116">
        <f t="shared" si="77"/>
        <v>74</v>
      </c>
    </row>
    <row r="4953" spans="1:2" x14ac:dyDescent="0.2">
      <c r="A4953" s="117">
        <v>39650</v>
      </c>
      <c r="B4953" s="116">
        <f t="shared" si="77"/>
        <v>74</v>
      </c>
    </row>
    <row r="4954" spans="1:2" x14ac:dyDescent="0.2">
      <c r="A4954" s="117">
        <v>39651</v>
      </c>
      <c r="B4954" s="116">
        <f t="shared" si="77"/>
        <v>74</v>
      </c>
    </row>
    <row r="4955" spans="1:2" x14ac:dyDescent="0.2">
      <c r="A4955" s="117">
        <v>39652</v>
      </c>
      <c r="B4955" s="116">
        <f t="shared" si="77"/>
        <v>74</v>
      </c>
    </row>
    <row r="4956" spans="1:2" x14ac:dyDescent="0.2">
      <c r="A4956" s="117">
        <v>39653</v>
      </c>
      <c r="B4956" s="116">
        <f t="shared" si="77"/>
        <v>74</v>
      </c>
    </row>
    <row r="4957" spans="1:2" x14ac:dyDescent="0.2">
      <c r="A4957" s="117">
        <v>39654</v>
      </c>
      <c r="B4957" s="116">
        <f t="shared" si="77"/>
        <v>74</v>
      </c>
    </row>
    <row r="4958" spans="1:2" x14ac:dyDescent="0.2">
      <c r="A4958" s="117">
        <v>39655</v>
      </c>
      <c r="B4958" s="116">
        <f t="shared" si="77"/>
        <v>74</v>
      </c>
    </row>
    <row r="4959" spans="1:2" x14ac:dyDescent="0.2">
      <c r="A4959" s="117">
        <v>39656</v>
      </c>
      <c r="B4959" s="116">
        <f t="shared" si="77"/>
        <v>75</v>
      </c>
    </row>
    <row r="4960" spans="1:2" x14ac:dyDescent="0.2">
      <c r="A4960" s="117">
        <v>39657</v>
      </c>
      <c r="B4960" s="116">
        <f t="shared" si="77"/>
        <v>75</v>
      </c>
    </row>
    <row r="4961" spans="1:2" x14ac:dyDescent="0.2">
      <c r="A4961" s="117">
        <v>39658</v>
      </c>
      <c r="B4961" s="116">
        <f t="shared" si="77"/>
        <v>75</v>
      </c>
    </row>
    <row r="4962" spans="1:2" x14ac:dyDescent="0.2">
      <c r="A4962" s="117">
        <v>39659</v>
      </c>
      <c r="B4962" s="116">
        <f t="shared" si="77"/>
        <v>75</v>
      </c>
    </row>
    <row r="4963" spans="1:2" x14ac:dyDescent="0.2">
      <c r="A4963" s="117">
        <v>39660</v>
      </c>
      <c r="B4963" s="116">
        <f t="shared" si="77"/>
        <v>75</v>
      </c>
    </row>
    <row r="4964" spans="1:2" x14ac:dyDescent="0.2">
      <c r="A4964" s="117">
        <v>39661</v>
      </c>
      <c r="B4964" s="116">
        <f t="shared" si="77"/>
        <v>75</v>
      </c>
    </row>
    <row r="4965" spans="1:2" x14ac:dyDescent="0.2">
      <c r="A4965" s="117">
        <v>39662</v>
      </c>
      <c r="B4965" s="116">
        <f t="shared" si="77"/>
        <v>75</v>
      </c>
    </row>
    <row r="4966" spans="1:2" x14ac:dyDescent="0.2">
      <c r="A4966" s="117">
        <v>39663</v>
      </c>
      <c r="B4966" s="116">
        <f t="shared" si="77"/>
        <v>81</v>
      </c>
    </row>
    <row r="4967" spans="1:2" x14ac:dyDescent="0.2">
      <c r="A4967" s="117">
        <v>39664</v>
      </c>
      <c r="B4967" s="116">
        <f t="shared" si="77"/>
        <v>81</v>
      </c>
    </row>
    <row r="4968" spans="1:2" x14ac:dyDescent="0.2">
      <c r="A4968" s="117">
        <v>39665</v>
      </c>
      <c r="B4968" s="116">
        <f t="shared" si="77"/>
        <v>81</v>
      </c>
    </row>
    <row r="4969" spans="1:2" x14ac:dyDescent="0.2">
      <c r="A4969" s="117">
        <v>39666</v>
      </c>
      <c r="B4969" s="116">
        <f t="shared" si="77"/>
        <v>81</v>
      </c>
    </row>
    <row r="4970" spans="1:2" x14ac:dyDescent="0.2">
      <c r="A4970" s="117">
        <v>39667</v>
      </c>
      <c r="B4970" s="116">
        <f t="shared" si="77"/>
        <v>81</v>
      </c>
    </row>
    <row r="4971" spans="1:2" x14ac:dyDescent="0.2">
      <c r="A4971" s="117">
        <v>39668</v>
      </c>
      <c r="B4971" s="116">
        <f t="shared" si="77"/>
        <v>81</v>
      </c>
    </row>
    <row r="4972" spans="1:2" x14ac:dyDescent="0.2">
      <c r="A4972" s="117">
        <v>39669</v>
      </c>
      <c r="B4972" s="116">
        <f t="shared" si="77"/>
        <v>81</v>
      </c>
    </row>
    <row r="4973" spans="1:2" x14ac:dyDescent="0.2">
      <c r="A4973" s="117">
        <v>39670</v>
      </c>
      <c r="B4973" s="116">
        <f t="shared" si="77"/>
        <v>82</v>
      </c>
    </row>
    <row r="4974" spans="1:2" x14ac:dyDescent="0.2">
      <c r="A4974" s="117">
        <v>39671</v>
      </c>
      <c r="B4974" s="116">
        <f t="shared" si="77"/>
        <v>82</v>
      </c>
    </row>
    <row r="4975" spans="1:2" x14ac:dyDescent="0.2">
      <c r="A4975" s="117">
        <v>39672</v>
      </c>
      <c r="B4975" s="116">
        <f t="shared" si="77"/>
        <v>82</v>
      </c>
    </row>
    <row r="4976" spans="1:2" x14ac:dyDescent="0.2">
      <c r="A4976" s="117">
        <v>39673</v>
      </c>
      <c r="B4976" s="116">
        <f t="shared" si="77"/>
        <v>82</v>
      </c>
    </row>
    <row r="4977" spans="1:2" x14ac:dyDescent="0.2">
      <c r="A4977" s="117">
        <v>39674</v>
      </c>
      <c r="B4977" s="116">
        <f t="shared" si="77"/>
        <v>82</v>
      </c>
    </row>
    <row r="4978" spans="1:2" x14ac:dyDescent="0.2">
      <c r="A4978" s="117">
        <v>39675</v>
      </c>
      <c r="B4978" s="116">
        <f t="shared" si="77"/>
        <v>82</v>
      </c>
    </row>
    <row r="4979" spans="1:2" x14ac:dyDescent="0.2">
      <c r="A4979" s="117">
        <v>39676</v>
      </c>
      <c r="B4979" s="116">
        <f t="shared" si="77"/>
        <v>82</v>
      </c>
    </row>
    <row r="4980" spans="1:2" x14ac:dyDescent="0.2">
      <c r="A4980" s="117">
        <v>39677</v>
      </c>
      <c r="B4980" s="116">
        <f t="shared" si="77"/>
        <v>83</v>
      </c>
    </row>
    <row r="4981" spans="1:2" x14ac:dyDescent="0.2">
      <c r="A4981" s="117">
        <v>39678</v>
      </c>
      <c r="B4981" s="116">
        <f t="shared" si="77"/>
        <v>83</v>
      </c>
    </row>
    <row r="4982" spans="1:2" x14ac:dyDescent="0.2">
      <c r="A4982" s="117">
        <v>39679</v>
      </c>
      <c r="B4982" s="116">
        <f t="shared" si="77"/>
        <v>83</v>
      </c>
    </row>
    <row r="4983" spans="1:2" x14ac:dyDescent="0.2">
      <c r="A4983" s="117">
        <v>39680</v>
      </c>
      <c r="B4983" s="116">
        <f t="shared" si="77"/>
        <v>83</v>
      </c>
    </row>
    <row r="4984" spans="1:2" x14ac:dyDescent="0.2">
      <c r="A4984" s="117">
        <v>39681</v>
      </c>
      <c r="B4984" s="116">
        <f t="shared" si="77"/>
        <v>83</v>
      </c>
    </row>
    <row r="4985" spans="1:2" x14ac:dyDescent="0.2">
      <c r="A4985" s="117">
        <v>39682</v>
      </c>
      <c r="B4985" s="116">
        <f t="shared" si="77"/>
        <v>83</v>
      </c>
    </row>
    <row r="4986" spans="1:2" x14ac:dyDescent="0.2">
      <c r="A4986" s="117">
        <v>39683</v>
      </c>
      <c r="B4986" s="116">
        <f t="shared" si="77"/>
        <v>83</v>
      </c>
    </row>
    <row r="4987" spans="1:2" x14ac:dyDescent="0.2">
      <c r="A4987" s="117">
        <v>39684</v>
      </c>
      <c r="B4987" s="116">
        <f t="shared" si="77"/>
        <v>84</v>
      </c>
    </row>
    <row r="4988" spans="1:2" x14ac:dyDescent="0.2">
      <c r="A4988" s="117">
        <v>39685</v>
      </c>
      <c r="B4988" s="116">
        <f t="shared" si="77"/>
        <v>84</v>
      </c>
    </row>
    <row r="4989" spans="1:2" x14ac:dyDescent="0.2">
      <c r="A4989" s="117">
        <v>39686</v>
      </c>
      <c r="B4989" s="116">
        <f t="shared" si="77"/>
        <v>84</v>
      </c>
    </row>
    <row r="4990" spans="1:2" x14ac:dyDescent="0.2">
      <c r="A4990" s="117">
        <v>39687</v>
      </c>
      <c r="B4990" s="116">
        <f t="shared" si="77"/>
        <v>84</v>
      </c>
    </row>
    <row r="4991" spans="1:2" x14ac:dyDescent="0.2">
      <c r="A4991" s="117">
        <v>39688</v>
      </c>
      <c r="B4991" s="116">
        <f t="shared" si="77"/>
        <v>84</v>
      </c>
    </row>
    <row r="4992" spans="1:2" x14ac:dyDescent="0.2">
      <c r="A4992" s="117">
        <v>39689</v>
      </c>
      <c r="B4992" s="116">
        <f t="shared" si="77"/>
        <v>84</v>
      </c>
    </row>
    <row r="4993" spans="1:2" x14ac:dyDescent="0.2">
      <c r="A4993" s="117">
        <v>39690</v>
      </c>
      <c r="B4993" s="116">
        <f t="shared" si="77"/>
        <v>84</v>
      </c>
    </row>
    <row r="4994" spans="1:2" x14ac:dyDescent="0.2">
      <c r="A4994" s="117">
        <v>39691</v>
      </c>
      <c r="B4994" s="116">
        <f t="shared" si="77"/>
        <v>91</v>
      </c>
    </row>
    <row r="4995" spans="1:2" x14ac:dyDescent="0.2">
      <c r="A4995" s="117">
        <v>39692</v>
      </c>
      <c r="B4995" s="116">
        <f t="shared" si="77"/>
        <v>91</v>
      </c>
    </row>
    <row r="4996" spans="1:2" x14ac:dyDescent="0.2">
      <c r="A4996" s="117">
        <v>39693</v>
      </c>
      <c r="B4996" s="116">
        <f t="shared" ref="B4996:B5059" si="78">VLOOKUP(WEEKNUM(A4996),$D$4:$E$59,2)</f>
        <v>91</v>
      </c>
    </row>
    <row r="4997" spans="1:2" x14ac:dyDescent="0.2">
      <c r="A4997" s="117">
        <v>39694</v>
      </c>
      <c r="B4997" s="116">
        <f t="shared" si="78"/>
        <v>91</v>
      </c>
    </row>
    <row r="4998" spans="1:2" x14ac:dyDescent="0.2">
      <c r="A4998" s="117">
        <v>39695</v>
      </c>
      <c r="B4998" s="116">
        <f t="shared" si="78"/>
        <v>91</v>
      </c>
    </row>
    <row r="4999" spans="1:2" x14ac:dyDescent="0.2">
      <c r="A4999" s="117">
        <v>39696</v>
      </c>
      <c r="B4999" s="116">
        <f t="shared" si="78"/>
        <v>91</v>
      </c>
    </row>
    <row r="5000" spans="1:2" x14ac:dyDescent="0.2">
      <c r="A5000" s="117">
        <v>39697</v>
      </c>
      <c r="B5000" s="116">
        <f t="shared" si="78"/>
        <v>91</v>
      </c>
    </row>
    <row r="5001" spans="1:2" x14ac:dyDescent="0.2">
      <c r="A5001" s="117">
        <v>39698</v>
      </c>
      <c r="B5001" s="116">
        <f t="shared" si="78"/>
        <v>92</v>
      </c>
    </row>
    <row r="5002" spans="1:2" x14ac:dyDescent="0.2">
      <c r="A5002" s="117">
        <v>39699</v>
      </c>
      <c r="B5002" s="116">
        <f t="shared" si="78"/>
        <v>92</v>
      </c>
    </row>
    <row r="5003" spans="1:2" x14ac:dyDescent="0.2">
      <c r="A5003" s="117">
        <v>39700</v>
      </c>
      <c r="B5003" s="116">
        <f t="shared" si="78"/>
        <v>92</v>
      </c>
    </row>
    <row r="5004" spans="1:2" x14ac:dyDescent="0.2">
      <c r="A5004" s="117">
        <v>39701</v>
      </c>
      <c r="B5004" s="116">
        <f t="shared" si="78"/>
        <v>92</v>
      </c>
    </row>
    <row r="5005" spans="1:2" x14ac:dyDescent="0.2">
      <c r="A5005" s="117">
        <v>39702</v>
      </c>
      <c r="B5005" s="116">
        <f t="shared" si="78"/>
        <v>92</v>
      </c>
    </row>
    <row r="5006" spans="1:2" x14ac:dyDescent="0.2">
      <c r="A5006" s="117">
        <v>39703</v>
      </c>
      <c r="B5006" s="116">
        <f t="shared" si="78"/>
        <v>92</v>
      </c>
    </row>
    <row r="5007" spans="1:2" x14ac:dyDescent="0.2">
      <c r="A5007" s="117">
        <v>39704</v>
      </c>
      <c r="B5007" s="116">
        <f t="shared" si="78"/>
        <v>92</v>
      </c>
    </row>
    <row r="5008" spans="1:2" x14ac:dyDescent="0.2">
      <c r="A5008" s="117">
        <v>39705</v>
      </c>
      <c r="B5008" s="116">
        <f t="shared" si="78"/>
        <v>93</v>
      </c>
    </row>
    <row r="5009" spans="1:2" x14ac:dyDescent="0.2">
      <c r="A5009" s="117">
        <v>39706</v>
      </c>
      <c r="B5009" s="116">
        <f t="shared" si="78"/>
        <v>93</v>
      </c>
    </row>
    <row r="5010" spans="1:2" x14ac:dyDescent="0.2">
      <c r="A5010" s="117">
        <v>39707</v>
      </c>
      <c r="B5010" s="116">
        <f t="shared" si="78"/>
        <v>93</v>
      </c>
    </row>
    <row r="5011" spans="1:2" x14ac:dyDescent="0.2">
      <c r="A5011" s="117">
        <v>39708</v>
      </c>
      <c r="B5011" s="116">
        <f t="shared" si="78"/>
        <v>93</v>
      </c>
    </row>
    <row r="5012" spans="1:2" x14ac:dyDescent="0.2">
      <c r="A5012" s="117">
        <v>39709</v>
      </c>
      <c r="B5012" s="116">
        <f t="shared" si="78"/>
        <v>93</v>
      </c>
    </row>
    <row r="5013" spans="1:2" x14ac:dyDescent="0.2">
      <c r="A5013" s="117">
        <v>39710</v>
      </c>
      <c r="B5013" s="116">
        <f t="shared" si="78"/>
        <v>93</v>
      </c>
    </row>
    <row r="5014" spans="1:2" x14ac:dyDescent="0.2">
      <c r="A5014" s="117">
        <v>39711</v>
      </c>
      <c r="B5014" s="116">
        <f t="shared" si="78"/>
        <v>93</v>
      </c>
    </row>
    <row r="5015" spans="1:2" x14ac:dyDescent="0.2">
      <c r="A5015" s="117">
        <v>39712</v>
      </c>
      <c r="B5015" s="116">
        <f t="shared" si="78"/>
        <v>94</v>
      </c>
    </row>
    <row r="5016" spans="1:2" x14ac:dyDescent="0.2">
      <c r="A5016" s="117">
        <v>39713</v>
      </c>
      <c r="B5016" s="116">
        <f t="shared" si="78"/>
        <v>94</v>
      </c>
    </row>
    <row r="5017" spans="1:2" x14ac:dyDescent="0.2">
      <c r="A5017" s="117">
        <v>39714</v>
      </c>
      <c r="B5017" s="116">
        <f t="shared" si="78"/>
        <v>94</v>
      </c>
    </row>
    <row r="5018" spans="1:2" x14ac:dyDescent="0.2">
      <c r="A5018" s="117">
        <v>39715</v>
      </c>
      <c r="B5018" s="116">
        <f t="shared" si="78"/>
        <v>94</v>
      </c>
    </row>
    <row r="5019" spans="1:2" x14ac:dyDescent="0.2">
      <c r="A5019" s="117">
        <v>39716</v>
      </c>
      <c r="B5019" s="116">
        <f t="shared" si="78"/>
        <v>94</v>
      </c>
    </row>
    <row r="5020" spans="1:2" x14ac:dyDescent="0.2">
      <c r="A5020" s="117">
        <v>39717</v>
      </c>
      <c r="B5020" s="116">
        <f t="shared" si="78"/>
        <v>94</v>
      </c>
    </row>
    <row r="5021" spans="1:2" x14ac:dyDescent="0.2">
      <c r="A5021" s="117">
        <v>39718</v>
      </c>
      <c r="B5021" s="116">
        <f t="shared" si="78"/>
        <v>94</v>
      </c>
    </row>
    <row r="5022" spans="1:2" x14ac:dyDescent="0.2">
      <c r="A5022" s="117">
        <v>39719</v>
      </c>
      <c r="B5022" s="116">
        <f t="shared" si="78"/>
        <v>101</v>
      </c>
    </row>
    <row r="5023" spans="1:2" x14ac:dyDescent="0.2">
      <c r="A5023" s="117">
        <v>39720</v>
      </c>
      <c r="B5023" s="116">
        <f t="shared" si="78"/>
        <v>101</v>
      </c>
    </row>
    <row r="5024" spans="1:2" x14ac:dyDescent="0.2">
      <c r="A5024" s="117">
        <v>39721</v>
      </c>
      <c r="B5024" s="116">
        <f t="shared" si="78"/>
        <v>101</v>
      </c>
    </row>
    <row r="5025" spans="1:2" x14ac:dyDescent="0.2">
      <c r="A5025" s="117">
        <v>39722</v>
      </c>
      <c r="B5025" s="116">
        <f t="shared" si="78"/>
        <v>101</v>
      </c>
    </row>
    <row r="5026" spans="1:2" x14ac:dyDescent="0.2">
      <c r="A5026" s="117">
        <v>39723</v>
      </c>
      <c r="B5026" s="116">
        <f t="shared" si="78"/>
        <v>101</v>
      </c>
    </row>
    <row r="5027" spans="1:2" x14ac:dyDescent="0.2">
      <c r="A5027" s="117">
        <v>39724</v>
      </c>
      <c r="B5027" s="116">
        <f t="shared" si="78"/>
        <v>101</v>
      </c>
    </row>
    <row r="5028" spans="1:2" x14ac:dyDescent="0.2">
      <c r="A5028" s="117">
        <v>39725</v>
      </c>
      <c r="B5028" s="116">
        <f t="shared" si="78"/>
        <v>101</v>
      </c>
    </row>
    <row r="5029" spans="1:2" x14ac:dyDescent="0.2">
      <c r="A5029" s="117">
        <v>39726</v>
      </c>
      <c r="B5029" s="116">
        <f t="shared" si="78"/>
        <v>102</v>
      </c>
    </row>
    <row r="5030" spans="1:2" x14ac:dyDescent="0.2">
      <c r="A5030" s="117">
        <v>39727</v>
      </c>
      <c r="B5030" s="116">
        <f t="shared" si="78"/>
        <v>102</v>
      </c>
    </row>
    <row r="5031" spans="1:2" x14ac:dyDescent="0.2">
      <c r="A5031" s="117">
        <v>39728</v>
      </c>
      <c r="B5031" s="116">
        <f t="shared" si="78"/>
        <v>102</v>
      </c>
    </row>
    <row r="5032" spans="1:2" x14ac:dyDescent="0.2">
      <c r="A5032" s="117">
        <v>39729</v>
      </c>
      <c r="B5032" s="116">
        <f t="shared" si="78"/>
        <v>102</v>
      </c>
    </row>
    <row r="5033" spans="1:2" x14ac:dyDescent="0.2">
      <c r="A5033" s="117">
        <v>39730</v>
      </c>
      <c r="B5033" s="116">
        <f t="shared" si="78"/>
        <v>102</v>
      </c>
    </row>
    <row r="5034" spans="1:2" x14ac:dyDescent="0.2">
      <c r="A5034" s="117">
        <v>39731</v>
      </c>
      <c r="B5034" s="116">
        <f t="shared" si="78"/>
        <v>102</v>
      </c>
    </row>
    <row r="5035" spans="1:2" x14ac:dyDescent="0.2">
      <c r="A5035" s="117">
        <v>39732</v>
      </c>
      <c r="B5035" s="116">
        <f t="shared" si="78"/>
        <v>102</v>
      </c>
    </row>
    <row r="5036" spans="1:2" x14ac:dyDescent="0.2">
      <c r="A5036" s="117">
        <v>39733</v>
      </c>
      <c r="B5036" s="116">
        <f t="shared" si="78"/>
        <v>103</v>
      </c>
    </row>
    <row r="5037" spans="1:2" x14ac:dyDescent="0.2">
      <c r="A5037" s="117">
        <v>39734</v>
      </c>
      <c r="B5037" s="116">
        <f t="shared" si="78"/>
        <v>103</v>
      </c>
    </row>
    <row r="5038" spans="1:2" x14ac:dyDescent="0.2">
      <c r="A5038" s="117">
        <v>39735</v>
      </c>
      <c r="B5038" s="116">
        <f t="shared" si="78"/>
        <v>103</v>
      </c>
    </row>
    <row r="5039" spans="1:2" x14ac:dyDescent="0.2">
      <c r="A5039" s="117">
        <v>39736</v>
      </c>
      <c r="B5039" s="116">
        <f t="shared" si="78"/>
        <v>103</v>
      </c>
    </row>
    <row r="5040" spans="1:2" x14ac:dyDescent="0.2">
      <c r="A5040" s="117">
        <v>39737</v>
      </c>
      <c r="B5040" s="116">
        <f t="shared" si="78"/>
        <v>103</v>
      </c>
    </row>
    <row r="5041" spans="1:2" x14ac:dyDescent="0.2">
      <c r="A5041" s="117">
        <v>39738</v>
      </c>
      <c r="B5041" s="116">
        <f t="shared" si="78"/>
        <v>103</v>
      </c>
    </row>
    <row r="5042" spans="1:2" x14ac:dyDescent="0.2">
      <c r="A5042" s="117">
        <v>39739</v>
      </c>
      <c r="B5042" s="116">
        <f t="shared" si="78"/>
        <v>103</v>
      </c>
    </row>
    <row r="5043" spans="1:2" x14ac:dyDescent="0.2">
      <c r="A5043" s="117">
        <v>39740</v>
      </c>
      <c r="B5043" s="116">
        <f t="shared" si="78"/>
        <v>104</v>
      </c>
    </row>
    <row r="5044" spans="1:2" x14ac:dyDescent="0.2">
      <c r="A5044" s="117">
        <v>39741</v>
      </c>
      <c r="B5044" s="116">
        <f t="shared" si="78"/>
        <v>104</v>
      </c>
    </row>
    <row r="5045" spans="1:2" x14ac:dyDescent="0.2">
      <c r="A5045" s="117">
        <v>39742</v>
      </c>
      <c r="B5045" s="116">
        <f t="shared" si="78"/>
        <v>104</v>
      </c>
    </row>
    <row r="5046" spans="1:2" x14ac:dyDescent="0.2">
      <c r="A5046" s="117">
        <v>39743</v>
      </c>
      <c r="B5046" s="116">
        <f t="shared" si="78"/>
        <v>104</v>
      </c>
    </row>
    <row r="5047" spans="1:2" x14ac:dyDescent="0.2">
      <c r="A5047" s="117">
        <v>39744</v>
      </c>
      <c r="B5047" s="116">
        <f t="shared" si="78"/>
        <v>104</v>
      </c>
    </row>
    <row r="5048" spans="1:2" x14ac:dyDescent="0.2">
      <c r="A5048" s="117">
        <v>39745</v>
      </c>
      <c r="B5048" s="116">
        <f t="shared" si="78"/>
        <v>104</v>
      </c>
    </row>
    <row r="5049" spans="1:2" x14ac:dyDescent="0.2">
      <c r="A5049" s="117">
        <v>39746</v>
      </c>
      <c r="B5049" s="116">
        <f t="shared" si="78"/>
        <v>104</v>
      </c>
    </row>
    <row r="5050" spans="1:2" x14ac:dyDescent="0.2">
      <c r="A5050" s="117">
        <v>39747</v>
      </c>
      <c r="B5050" s="116">
        <f t="shared" si="78"/>
        <v>105</v>
      </c>
    </row>
    <row r="5051" spans="1:2" x14ac:dyDescent="0.2">
      <c r="A5051" s="117">
        <v>39748</v>
      </c>
      <c r="B5051" s="116">
        <f t="shared" si="78"/>
        <v>105</v>
      </c>
    </row>
    <row r="5052" spans="1:2" x14ac:dyDescent="0.2">
      <c r="A5052" s="117">
        <v>39749</v>
      </c>
      <c r="B5052" s="116">
        <f t="shared" si="78"/>
        <v>105</v>
      </c>
    </row>
    <row r="5053" spans="1:2" x14ac:dyDescent="0.2">
      <c r="A5053" s="117">
        <v>39750</v>
      </c>
      <c r="B5053" s="116">
        <f t="shared" si="78"/>
        <v>105</v>
      </c>
    </row>
    <row r="5054" spans="1:2" x14ac:dyDescent="0.2">
      <c r="A5054" s="117">
        <v>39751</v>
      </c>
      <c r="B5054" s="116">
        <f t="shared" si="78"/>
        <v>105</v>
      </c>
    </row>
    <row r="5055" spans="1:2" x14ac:dyDescent="0.2">
      <c r="A5055" s="117">
        <v>39752</v>
      </c>
      <c r="B5055" s="116">
        <f t="shared" si="78"/>
        <v>105</v>
      </c>
    </row>
    <row r="5056" spans="1:2" x14ac:dyDescent="0.2">
      <c r="A5056" s="117">
        <v>39753</v>
      </c>
      <c r="B5056" s="116">
        <f t="shared" si="78"/>
        <v>105</v>
      </c>
    </row>
    <row r="5057" spans="1:2" x14ac:dyDescent="0.2">
      <c r="A5057" s="117">
        <v>39754</v>
      </c>
      <c r="B5057" s="116">
        <f t="shared" si="78"/>
        <v>111</v>
      </c>
    </row>
    <row r="5058" spans="1:2" x14ac:dyDescent="0.2">
      <c r="A5058" s="117">
        <v>39755</v>
      </c>
      <c r="B5058" s="116">
        <f t="shared" si="78"/>
        <v>111</v>
      </c>
    </row>
    <row r="5059" spans="1:2" x14ac:dyDescent="0.2">
      <c r="A5059" s="117">
        <v>39756</v>
      </c>
      <c r="B5059" s="116">
        <f t="shared" si="78"/>
        <v>111</v>
      </c>
    </row>
    <row r="5060" spans="1:2" x14ac:dyDescent="0.2">
      <c r="A5060" s="117">
        <v>39757</v>
      </c>
      <c r="B5060" s="116">
        <f t="shared" ref="B5060:B5123" si="79">VLOOKUP(WEEKNUM(A5060),$D$4:$E$59,2)</f>
        <v>111</v>
      </c>
    </row>
    <row r="5061" spans="1:2" x14ac:dyDescent="0.2">
      <c r="A5061" s="117">
        <v>39758</v>
      </c>
      <c r="B5061" s="116">
        <f t="shared" si="79"/>
        <v>111</v>
      </c>
    </row>
    <row r="5062" spans="1:2" x14ac:dyDescent="0.2">
      <c r="A5062" s="117">
        <v>39759</v>
      </c>
      <c r="B5062" s="116">
        <f t="shared" si="79"/>
        <v>111</v>
      </c>
    </row>
    <row r="5063" spans="1:2" x14ac:dyDescent="0.2">
      <c r="A5063" s="117">
        <v>39760</v>
      </c>
      <c r="B5063" s="116">
        <f t="shared" si="79"/>
        <v>111</v>
      </c>
    </row>
    <row r="5064" spans="1:2" x14ac:dyDescent="0.2">
      <c r="A5064" s="117">
        <v>39761</v>
      </c>
      <c r="B5064" s="116">
        <f t="shared" si="79"/>
        <v>112</v>
      </c>
    </row>
    <row r="5065" spans="1:2" x14ac:dyDescent="0.2">
      <c r="A5065" s="117">
        <v>39762</v>
      </c>
      <c r="B5065" s="116">
        <f t="shared" si="79"/>
        <v>112</v>
      </c>
    </row>
    <row r="5066" spans="1:2" x14ac:dyDescent="0.2">
      <c r="A5066" s="117">
        <v>39763</v>
      </c>
      <c r="B5066" s="116">
        <f t="shared" si="79"/>
        <v>112</v>
      </c>
    </row>
    <row r="5067" spans="1:2" x14ac:dyDescent="0.2">
      <c r="A5067" s="117">
        <v>39764</v>
      </c>
      <c r="B5067" s="116">
        <f t="shared" si="79"/>
        <v>112</v>
      </c>
    </row>
    <row r="5068" spans="1:2" x14ac:dyDescent="0.2">
      <c r="A5068" s="117">
        <v>39765</v>
      </c>
      <c r="B5068" s="116">
        <f t="shared" si="79"/>
        <v>112</v>
      </c>
    </row>
    <row r="5069" spans="1:2" x14ac:dyDescent="0.2">
      <c r="A5069" s="117">
        <v>39766</v>
      </c>
      <c r="B5069" s="116">
        <f t="shared" si="79"/>
        <v>112</v>
      </c>
    </row>
    <row r="5070" spans="1:2" x14ac:dyDescent="0.2">
      <c r="A5070" s="117">
        <v>39767</v>
      </c>
      <c r="B5070" s="116">
        <f t="shared" si="79"/>
        <v>112</v>
      </c>
    </row>
    <row r="5071" spans="1:2" x14ac:dyDescent="0.2">
      <c r="A5071" s="117">
        <v>39768</v>
      </c>
      <c r="B5071" s="116">
        <f t="shared" si="79"/>
        <v>113</v>
      </c>
    </row>
    <row r="5072" spans="1:2" x14ac:dyDescent="0.2">
      <c r="A5072" s="117">
        <v>39769</v>
      </c>
      <c r="B5072" s="116">
        <f t="shared" si="79"/>
        <v>113</v>
      </c>
    </row>
    <row r="5073" spans="1:2" x14ac:dyDescent="0.2">
      <c r="A5073" s="117">
        <v>39770</v>
      </c>
      <c r="B5073" s="116">
        <f t="shared" si="79"/>
        <v>113</v>
      </c>
    </row>
    <row r="5074" spans="1:2" x14ac:dyDescent="0.2">
      <c r="A5074" s="117">
        <v>39771</v>
      </c>
      <c r="B5074" s="116">
        <f t="shared" si="79"/>
        <v>113</v>
      </c>
    </row>
    <row r="5075" spans="1:2" x14ac:dyDescent="0.2">
      <c r="A5075" s="117">
        <v>39772</v>
      </c>
      <c r="B5075" s="116">
        <f t="shared" si="79"/>
        <v>113</v>
      </c>
    </row>
    <row r="5076" spans="1:2" x14ac:dyDescent="0.2">
      <c r="A5076" s="117">
        <v>39773</v>
      </c>
      <c r="B5076" s="116">
        <f t="shared" si="79"/>
        <v>113</v>
      </c>
    </row>
    <row r="5077" spans="1:2" x14ac:dyDescent="0.2">
      <c r="A5077" s="117">
        <v>39774</v>
      </c>
      <c r="B5077" s="116">
        <f t="shared" si="79"/>
        <v>113</v>
      </c>
    </row>
    <row r="5078" spans="1:2" x14ac:dyDescent="0.2">
      <c r="A5078" s="117">
        <v>39775</v>
      </c>
      <c r="B5078" s="116">
        <f t="shared" si="79"/>
        <v>114</v>
      </c>
    </row>
    <row r="5079" spans="1:2" x14ac:dyDescent="0.2">
      <c r="A5079" s="117">
        <v>39776</v>
      </c>
      <c r="B5079" s="116">
        <f t="shared" si="79"/>
        <v>114</v>
      </c>
    </row>
    <row r="5080" spans="1:2" x14ac:dyDescent="0.2">
      <c r="A5080" s="117">
        <v>39777</v>
      </c>
      <c r="B5080" s="116">
        <f t="shared" si="79"/>
        <v>114</v>
      </c>
    </row>
    <row r="5081" spans="1:2" x14ac:dyDescent="0.2">
      <c r="A5081" s="117">
        <v>39778</v>
      </c>
      <c r="B5081" s="116">
        <f t="shared" si="79"/>
        <v>114</v>
      </c>
    </row>
    <row r="5082" spans="1:2" x14ac:dyDescent="0.2">
      <c r="A5082" s="117">
        <v>39779</v>
      </c>
      <c r="B5082" s="116">
        <f t="shared" si="79"/>
        <v>114</v>
      </c>
    </row>
    <row r="5083" spans="1:2" x14ac:dyDescent="0.2">
      <c r="A5083" s="117">
        <v>39780</v>
      </c>
      <c r="B5083" s="116">
        <f t="shared" si="79"/>
        <v>114</v>
      </c>
    </row>
    <row r="5084" spans="1:2" x14ac:dyDescent="0.2">
      <c r="A5084" s="117">
        <v>39781</v>
      </c>
      <c r="B5084" s="116">
        <f t="shared" si="79"/>
        <v>114</v>
      </c>
    </row>
    <row r="5085" spans="1:2" x14ac:dyDescent="0.2">
      <c r="A5085" s="117">
        <v>39782</v>
      </c>
      <c r="B5085" s="116">
        <f t="shared" si="79"/>
        <v>115</v>
      </c>
    </row>
    <row r="5086" spans="1:2" x14ac:dyDescent="0.2">
      <c r="A5086" s="117">
        <v>39783</v>
      </c>
      <c r="B5086" s="116">
        <f t="shared" si="79"/>
        <v>115</v>
      </c>
    </row>
    <row r="5087" spans="1:2" x14ac:dyDescent="0.2">
      <c r="A5087" s="117">
        <v>39784</v>
      </c>
      <c r="B5087" s="116">
        <f t="shared" si="79"/>
        <v>115</v>
      </c>
    </row>
    <row r="5088" spans="1:2" x14ac:dyDescent="0.2">
      <c r="A5088" s="117">
        <v>39785</v>
      </c>
      <c r="B5088" s="116">
        <f t="shared" si="79"/>
        <v>115</v>
      </c>
    </row>
    <row r="5089" spans="1:2" x14ac:dyDescent="0.2">
      <c r="A5089" s="117">
        <v>39786</v>
      </c>
      <c r="B5089" s="116">
        <f t="shared" si="79"/>
        <v>115</v>
      </c>
    </row>
    <row r="5090" spans="1:2" x14ac:dyDescent="0.2">
      <c r="A5090" s="117">
        <v>39787</v>
      </c>
      <c r="B5090" s="116">
        <f t="shared" si="79"/>
        <v>115</v>
      </c>
    </row>
    <row r="5091" spans="1:2" x14ac:dyDescent="0.2">
      <c r="A5091" s="117">
        <v>39788</v>
      </c>
      <c r="B5091" s="116">
        <f t="shared" si="79"/>
        <v>115</v>
      </c>
    </row>
    <row r="5092" spans="1:2" x14ac:dyDescent="0.2">
      <c r="A5092" s="117">
        <v>39789</v>
      </c>
      <c r="B5092" s="116">
        <f t="shared" si="79"/>
        <v>121</v>
      </c>
    </row>
    <row r="5093" spans="1:2" x14ac:dyDescent="0.2">
      <c r="A5093" s="117">
        <v>39790</v>
      </c>
      <c r="B5093" s="116">
        <f t="shared" si="79"/>
        <v>121</v>
      </c>
    </row>
    <row r="5094" spans="1:2" x14ac:dyDescent="0.2">
      <c r="A5094" s="117">
        <v>39791</v>
      </c>
      <c r="B5094" s="116">
        <f t="shared" si="79"/>
        <v>121</v>
      </c>
    </row>
    <row r="5095" spans="1:2" x14ac:dyDescent="0.2">
      <c r="A5095" s="117">
        <v>39792</v>
      </c>
      <c r="B5095" s="116">
        <f t="shared" si="79"/>
        <v>121</v>
      </c>
    </row>
    <row r="5096" spans="1:2" x14ac:dyDescent="0.2">
      <c r="A5096" s="117">
        <v>39793</v>
      </c>
      <c r="B5096" s="116">
        <f t="shared" si="79"/>
        <v>121</v>
      </c>
    </row>
    <row r="5097" spans="1:2" x14ac:dyDescent="0.2">
      <c r="A5097" s="117">
        <v>39794</v>
      </c>
      <c r="B5097" s="116">
        <f t="shared" si="79"/>
        <v>121</v>
      </c>
    </row>
    <row r="5098" spans="1:2" x14ac:dyDescent="0.2">
      <c r="A5098" s="117">
        <v>39795</v>
      </c>
      <c r="B5098" s="116">
        <f t="shared" si="79"/>
        <v>121</v>
      </c>
    </row>
    <row r="5099" spans="1:2" x14ac:dyDescent="0.2">
      <c r="A5099" s="117">
        <v>39796</v>
      </c>
      <c r="B5099" s="116">
        <f t="shared" si="79"/>
        <v>122</v>
      </c>
    </row>
    <row r="5100" spans="1:2" x14ac:dyDescent="0.2">
      <c r="A5100" s="117">
        <v>39797</v>
      </c>
      <c r="B5100" s="116">
        <f t="shared" si="79"/>
        <v>122</v>
      </c>
    </row>
    <row r="5101" spans="1:2" x14ac:dyDescent="0.2">
      <c r="A5101" s="117">
        <v>39798</v>
      </c>
      <c r="B5101" s="116">
        <f t="shared" si="79"/>
        <v>122</v>
      </c>
    </row>
    <row r="5102" spans="1:2" x14ac:dyDescent="0.2">
      <c r="A5102" s="117">
        <v>39799</v>
      </c>
      <c r="B5102" s="116">
        <f t="shared" si="79"/>
        <v>122</v>
      </c>
    </row>
    <row r="5103" spans="1:2" x14ac:dyDescent="0.2">
      <c r="A5103" s="117">
        <v>39800</v>
      </c>
      <c r="B5103" s="116">
        <f t="shared" si="79"/>
        <v>122</v>
      </c>
    </row>
    <row r="5104" spans="1:2" x14ac:dyDescent="0.2">
      <c r="A5104" s="117">
        <v>39801</v>
      </c>
      <c r="B5104" s="116">
        <f t="shared" si="79"/>
        <v>122</v>
      </c>
    </row>
    <row r="5105" spans="1:2" x14ac:dyDescent="0.2">
      <c r="A5105" s="117">
        <v>39802</v>
      </c>
      <c r="B5105" s="116">
        <f t="shared" si="79"/>
        <v>122</v>
      </c>
    </row>
    <row r="5106" spans="1:2" x14ac:dyDescent="0.2">
      <c r="A5106" s="117">
        <v>39803</v>
      </c>
      <c r="B5106" s="116">
        <f t="shared" si="79"/>
        <v>123</v>
      </c>
    </row>
    <row r="5107" spans="1:2" x14ac:dyDescent="0.2">
      <c r="A5107" s="117">
        <v>39804</v>
      </c>
      <c r="B5107" s="116">
        <f t="shared" si="79"/>
        <v>123</v>
      </c>
    </row>
    <row r="5108" spans="1:2" x14ac:dyDescent="0.2">
      <c r="A5108" s="117">
        <v>39805</v>
      </c>
      <c r="B5108" s="116">
        <f t="shared" si="79"/>
        <v>123</v>
      </c>
    </row>
    <row r="5109" spans="1:2" x14ac:dyDescent="0.2">
      <c r="A5109" s="117">
        <v>39806</v>
      </c>
      <c r="B5109" s="116">
        <f t="shared" si="79"/>
        <v>123</v>
      </c>
    </row>
    <row r="5110" spans="1:2" x14ac:dyDescent="0.2">
      <c r="A5110" s="117">
        <v>39807</v>
      </c>
      <c r="B5110" s="116">
        <f t="shared" si="79"/>
        <v>123</v>
      </c>
    </row>
    <row r="5111" spans="1:2" x14ac:dyDescent="0.2">
      <c r="A5111" s="117">
        <v>39808</v>
      </c>
      <c r="B5111" s="116">
        <f t="shared" si="79"/>
        <v>123</v>
      </c>
    </row>
    <row r="5112" spans="1:2" x14ac:dyDescent="0.2">
      <c r="A5112" s="117">
        <v>39809</v>
      </c>
      <c r="B5112" s="116">
        <f t="shared" si="79"/>
        <v>123</v>
      </c>
    </row>
    <row r="5113" spans="1:2" x14ac:dyDescent="0.2">
      <c r="A5113" s="117">
        <v>39810</v>
      </c>
      <c r="B5113" s="116">
        <f t="shared" si="79"/>
        <v>124</v>
      </c>
    </row>
    <row r="5114" spans="1:2" x14ac:dyDescent="0.2">
      <c r="A5114" s="117">
        <v>39811</v>
      </c>
      <c r="B5114" s="116">
        <f t="shared" si="79"/>
        <v>124</v>
      </c>
    </row>
    <row r="5115" spans="1:2" x14ac:dyDescent="0.2">
      <c r="A5115" s="117">
        <v>39812</v>
      </c>
      <c r="B5115" s="116">
        <f t="shared" si="79"/>
        <v>124</v>
      </c>
    </row>
    <row r="5116" spans="1:2" x14ac:dyDescent="0.2">
      <c r="A5116" s="117">
        <v>39813</v>
      </c>
      <c r="B5116" s="116">
        <f t="shared" si="79"/>
        <v>124</v>
      </c>
    </row>
    <row r="5117" spans="1:2" x14ac:dyDescent="0.2">
      <c r="A5117" s="117">
        <v>39814</v>
      </c>
      <c r="B5117" s="116">
        <f t="shared" si="79"/>
        <v>11</v>
      </c>
    </row>
    <row r="5118" spans="1:2" x14ac:dyDescent="0.2">
      <c r="A5118" s="117">
        <v>39815</v>
      </c>
      <c r="B5118" s="116">
        <f t="shared" si="79"/>
        <v>11</v>
      </c>
    </row>
    <row r="5119" spans="1:2" x14ac:dyDescent="0.2">
      <c r="A5119" s="117">
        <v>39816</v>
      </c>
      <c r="B5119" s="116">
        <f t="shared" si="79"/>
        <v>11</v>
      </c>
    </row>
    <row r="5120" spans="1:2" x14ac:dyDescent="0.2">
      <c r="A5120" s="117">
        <v>39817</v>
      </c>
      <c r="B5120" s="116">
        <f t="shared" si="79"/>
        <v>12</v>
      </c>
    </row>
    <row r="5121" spans="1:2" x14ac:dyDescent="0.2">
      <c r="A5121" s="117">
        <v>39818</v>
      </c>
      <c r="B5121" s="116">
        <f t="shared" si="79"/>
        <v>12</v>
      </c>
    </row>
    <row r="5122" spans="1:2" x14ac:dyDescent="0.2">
      <c r="A5122" s="117">
        <v>39819</v>
      </c>
      <c r="B5122" s="116">
        <f t="shared" si="79"/>
        <v>12</v>
      </c>
    </row>
    <row r="5123" spans="1:2" x14ac:dyDescent="0.2">
      <c r="A5123" s="117">
        <v>39820</v>
      </c>
      <c r="B5123" s="116">
        <f t="shared" si="79"/>
        <v>12</v>
      </c>
    </row>
    <row r="5124" spans="1:2" x14ac:dyDescent="0.2">
      <c r="A5124" s="117">
        <v>39821</v>
      </c>
      <c r="B5124" s="116">
        <f t="shared" ref="B5124:B5187" si="80">VLOOKUP(WEEKNUM(A5124),$D$4:$E$59,2)</f>
        <v>12</v>
      </c>
    </row>
    <row r="5125" spans="1:2" x14ac:dyDescent="0.2">
      <c r="A5125" s="117">
        <v>39822</v>
      </c>
      <c r="B5125" s="116">
        <f t="shared" si="80"/>
        <v>12</v>
      </c>
    </row>
    <row r="5126" spans="1:2" x14ac:dyDescent="0.2">
      <c r="A5126" s="117">
        <v>39823</v>
      </c>
      <c r="B5126" s="116">
        <f t="shared" si="80"/>
        <v>12</v>
      </c>
    </row>
    <row r="5127" spans="1:2" x14ac:dyDescent="0.2">
      <c r="A5127" s="117">
        <v>39824</v>
      </c>
      <c r="B5127" s="116">
        <f t="shared" si="80"/>
        <v>13</v>
      </c>
    </row>
    <row r="5128" spans="1:2" x14ac:dyDescent="0.2">
      <c r="A5128" s="117">
        <v>39825</v>
      </c>
      <c r="B5128" s="116">
        <f t="shared" si="80"/>
        <v>13</v>
      </c>
    </row>
    <row r="5129" spans="1:2" x14ac:dyDescent="0.2">
      <c r="A5129" s="117">
        <v>39826</v>
      </c>
      <c r="B5129" s="116">
        <f t="shared" si="80"/>
        <v>13</v>
      </c>
    </row>
    <row r="5130" spans="1:2" x14ac:dyDescent="0.2">
      <c r="A5130" s="117">
        <v>39827</v>
      </c>
      <c r="B5130" s="116">
        <f t="shared" si="80"/>
        <v>13</v>
      </c>
    </row>
    <row r="5131" spans="1:2" x14ac:dyDescent="0.2">
      <c r="A5131" s="117">
        <v>39828</v>
      </c>
      <c r="B5131" s="116">
        <f t="shared" si="80"/>
        <v>13</v>
      </c>
    </row>
    <row r="5132" spans="1:2" x14ac:dyDescent="0.2">
      <c r="A5132" s="117">
        <v>39829</v>
      </c>
      <c r="B5132" s="116">
        <f t="shared" si="80"/>
        <v>13</v>
      </c>
    </row>
    <row r="5133" spans="1:2" x14ac:dyDescent="0.2">
      <c r="A5133" s="117">
        <v>39830</v>
      </c>
      <c r="B5133" s="116">
        <f t="shared" si="80"/>
        <v>13</v>
      </c>
    </row>
    <row r="5134" spans="1:2" x14ac:dyDescent="0.2">
      <c r="A5134" s="117">
        <v>39831</v>
      </c>
      <c r="B5134" s="116">
        <f t="shared" si="80"/>
        <v>14</v>
      </c>
    </row>
    <row r="5135" spans="1:2" x14ac:dyDescent="0.2">
      <c r="A5135" s="117">
        <v>39832</v>
      </c>
      <c r="B5135" s="116">
        <f t="shared" si="80"/>
        <v>14</v>
      </c>
    </row>
    <row r="5136" spans="1:2" x14ac:dyDescent="0.2">
      <c r="A5136" s="117">
        <v>39833</v>
      </c>
      <c r="B5136" s="116">
        <f t="shared" si="80"/>
        <v>14</v>
      </c>
    </row>
    <row r="5137" spans="1:2" x14ac:dyDescent="0.2">
      <c r="A5137" s="117">
        <v>39834</v>
      </c>
      <c r="B5137" s="116">
        <f t="shared" si="80"/>
        <v>14</v>
      </c>
    </row>
    <row r="5138" spans="1:2" x14ac:dyDescent="0.2">
      <c r="A5138" s="117">
        <v>39835</v>
      </c>
      <c r="B5138" s="116">
        <f t="shared" si="80"/>
        <v>14</v>
      </c>
    </row>
    <row r="5139" spans="1:2" x14ac:dyDescent="0.2">
      <c r="A5139" s="117">
        <v>39836</v>
      </c>
      <c r="B5139" s="116">
        <f t="shared" si="80"/>
        <v>14</v>
      </c>
    </row>
    <row r="5140" spans="1:2" x14ac:dyDescent="0.2">
      <c r="A5140" s="117">
        <v>39837</v>
      </c>
      <c r="B5140" s="116">
        <f t="shared" si="80"/>
        <v>14</v>
      </c>
    </row>
    <row r="5141" spans="1:2" x14ac:dyDescent="0.2">
      <c r="A5141" s="117">
        <v>39838</v>
      </c>
      <c r="B5141" s="116">
        <f t="shared" si="80"/>
        <v>15</v>
      </c>
    </row>
    <row r="5142" spans="1:2" x14ac:dyDescent="0.2">
      <c r="A5142" s="117">
        <v>39839</v>
      </c>
      <c r="B5142" s="116">
        <f t="shared" si="80"/>
        <v>15</v>
      </c>
    </row>
    <row r="5143" spans="1:2" x14ac:dyDescent="0.2">
      <c r="A5143" s="117">
        <v>39840</v>
      </c>
      <c r="B5143" s="116">
        <f t="shared" si="80"/>
        <v>15</v>
      </c>
    </row>
    <row r="5144" spans="1:2" x14ac:dyDescent="0.2">
      <c r="A5144" s="117">
        <v>39841</v>
      </c>
      <c r="B5144" s="116">
        <f t="shared" si="80"/>
        <v>15</v>
      </c>
    </row>
    <row r="5145" spans="1:2" x14ac:dyDescent="0.2">
      <c r="A5145" s="117">
        <v>39842</v>
      </c>
      <c r="B5145" s="116">
        <f t="shared" si="80"/>
        <v>15</v>
      </c>
    </row>
    <row r="5146" spans="1:2" x14ac:dyDescent="0.2">
      <c r="A5146" s="117">
        <v>39843</v>
      </c>
      <c r="B5146" s="116">
        <f t="shared" si="80"/>
        <v>15</v>
      </c>
    </row>
    <row r="5147" spans="1:2" x14ac:dyDescent="0.2">
      <c r="A5147" s="117">
        <v>39844</v>
      </c>
      <c r="B5147" s="116">
        <f t="shared" si="80"/>
        <v>15</v>
      </c>
    </row>
    <row r="5148" spans="1:2" x14ac:dyDescent="0.2">
      <c r="A5148" s="117">
        <v>39845</v>
      </c>
      <c r="B5148" s="116">
        <f t="shared" si="80"/>
        <v>21</v>
      </c>
    </row>
    <row r="5149" spans="1:2" x14ac:dyDescent="0.2">
      <c r="A5149" s="117">
        <v>39846</v>
      </c>
      <c r="B5149" s="116">
        <f t="shared" si="80"/>
        <v>21</v>
      </c>
    </row>
    <row r="5150" spans="1:2" x14ac:dyDescent="0.2">
      <c r="A5150" s="117">
        <v>39847</v>
      </c>
      <c r="B5150" s="116">
        <f t="shared" si="80"/>
        <v>21</v>
      </c>
    </row>
    <row r="5151" spans="1:2" x14ac:dyDescent="0.2">
      <c r="A5151" s="117">
        <v>39848</v>
      </c>
      <c r="B5151" s="116">
        <f t="shared" si="80"/>
        <v>21</v>
      </c>
    </row>
    <row r="5152" spans="1:2" x14ac:dyDescent="0.2">
      <c r="A5152" s="117">
        <v>39849</v>
      </c>
      <c r="B5152" s="116">
        <f t="shared" si="80"/>
        <v>21</v>
      </c>
    </row>
    <row r="5153" spans="1:2" x14ac:dyDescent="0.2">
      <c r="A5153" s="117">
        <v>39850</v>
      </c>
      <c r="B5153" s="116">
        <f t="shared" si="80"/>
        <v>21</v>
      </c>
    </row>
    <row r="5154" spans="1:2" x14ac:dyDescent="0.2">
      <c r="A5154" s="117">
        <v>39851</v>
      </c>
      <c r="B5154" s="116">
        <f t="shared" si="80"/>
        <v>21</v>
      </c>
    </row>
    <row r="5155" spans="1:2" x14ac:dyDescent="0.2">
      <c r="A5155" s="117">
        <v>39852</v>
      </c>
      <c r="B5155" s="116">
        <f t="shared" si="80"/>
        <v>22</v>
      </c>
    </row>
    <row r="5156" spans="1:2" x14ac:dyDescent="0.2">
      <c r="A5156" s="117">
        <v>39853</v>
      </c>
      <c r="B5156" s="116">
        <f t="shared" si="80"/>
        <v>22</v>
      </c>
    </row>
    <row r="5157" spans="1:2" x14ac:dyDescent="0.2">
      <c r="A5157" s="117">
        <v>39854</v>
      </c>
      <c r="B5157" s="116">
        <f t="shared" si="80"/>
        <v>22</v>
      </c>
    </row>
    <row r="5158" spans="1:2" x14ac:dyDescent="0.2">
      <c r="A5158" s="117">
        <v>39855</v>
      </c>
      <c r="B5158" s="116">
        <f t="shared" si="80"/>
        <v>22</v>
      </c>
    </row>
    <row r="5159" spans="1:2" x14ac:dyDescent="0.2">
      <c r="A5159" s="117">
        <v>39856</v>
      </c>
      <c r="B5159" s="116">
        <f t="shared" si="80"/>
        <v>22</v>
      </c>
    </row>
    <row r="5160" spans="1:2" x14ac:dyDescent="0.2">
      <c r="A5160" s="117">
        <v>39857</v>
      </c>
      <c r="B5160" s="116">
        <f t="shared" si="80"/>
        <v>22</v>
      </c>
    </row>
    <row r="5161" spans="1:2" x14ac:dyDescent="0.2">
      <c r="A5161" s="117">
        <v>39858</v>
      </c>
      <c r="B5161" s="116">
        <f t="shared" si="80"/>
        <v>22</v>
      </c>
    </row>
    <row r="5162" spans="1:2" x14ac:dyDescent="0.2">
      <c r="A5162" s="117">
        <v>39859</v>
      </c>
      <c r="B5162" s="116">
        <f t="shared" si="80"/>
        <v>23</v>
      </c>
    </row>
    <row r="5163" spans="1:2" x14ac:dyDescent="0.2">
      <c r="A5163" s="117">
        <v>39860</v>
      </c>
      <c r="B5163" s="116">
        <f t="shared" si="80"/>
        <v>23</v>
      </c>
    </row>
    <row r="5164" spans="1:2" x14ac:dyDescent="0.2">
      <c r="A5164" s="117">
        <v>39861</v>
      </c>
      <c r="B5164" s="116">
        <f t="shared" si="80"/>
        <v>23</v>
      </c>
    </row>
    <row r="5165" spans="1:2" x14ac:dyDescent="0.2">
      <c r="A5165" s="117">
        <v>39862</v>
      </c>
      <c r="B5165" s="116">
        <f t="shared" si="80"/>
        <v>23</v>
      </c>
    </row>
    <row r="5166" spans="1:2" x14ac:dyDescent="0.2">
      <c r="A5166" s="117">
        <v>39863</v>
      </c>
      <c r="B5166" s="116">
        <f t="shared" si="80"/>
        <v>23</v>
      </c>
    </row>
    <row r="5167" spans="1:2" x14ac:dyDescent="0.2">
      <c r="A5167" s="117">
        <v>39864</v>
      </c>
      <c r="B5167" s="116">
        <f t="shared" si="80"/>
        <v>23</v>
      </c>
    </row>
    <row r="5168" spans="1:2" x14ac:dyDescent="0.2">
      <c r="A5168" s="117">
        <v>39865</v>
      </c>
      <c r="B5168" s="116">
        <f t="shared" si="80"/>
        <v>23</v>
      </c>
    </row>
    <row r="5169" spans="1:2" x14ac:dyDescent="0.2">
      <c r="A5169" s="117">
        <v>39866</v>
      </c>
      <c r="B5169" s="116">
        <f t="shared" si="80"/>
        <v>24</v>
      </c>
    </row>
    <row r="5170" spans="1:2" x14ac:dyDescent="0.2">
      <c r="A5170" s="117">
        <v>39867</v>
      </c>
      <c r="B5170" s="116">
        <f t="shared" si="80"/>
        <v>24</v>
      </c>
    </row>
    <row r="5171" spans="1:2" x14ac:dyDescent="0.2">
      <c r="A5171" s="117">
        <v>39868</v>
      </c>
      <c r="B5171" s="116">
        <f t="shared" si="80"/>
        <v>24</v>
      </c>
    </row>
    <row r="5172" spans="1:2" x14ac:dyDescent="0.2">
      <c r="A5172" s="117">
        <v>39869</v>
      </c>
      <c r="B5172" s="116">
        <f t="shared" si="80"/>
        <v>24</v>
      </c>
    </row>
    <row r="5173" spans="1:2" x14ac:dyDescent="0.2">
      <c r="A5173" s="117">
        <v>39870</v>
      </c>
      <c r="B5173" s="116">
        <f t="shared" si="80"/>
        <v>24</v>
      </c>
    </row>
    <row r="5174" spans="1:2" x14ac:dyDescent="0.2">
      <c r="A5174" s="117">
        <v>39871</v>
      </c>
      <c r="B5174" s="116">
        <f t="shared" si="80"/>
        <v>24</v>
      </c>
    </row>
    <row r="5175" spans="1:2" x14ac:dyDescent="0.2">
      <c r="A5175" s="117">
        <v>39872</v>
      </c>
      <c r="B5175" s="116">
        <f t="shared" si="80"/>
        <v>24</v>
      </c>
    </row>
    <row r="5176" spans="1:2" x14ac:dyDescent="0.2">
      <c r="A5176" s="117">
        <v>39873</v>
      </c>
      <c r="B5176" s="116">
        <f t="shared" si="80"/>
        <v>31</v>
      </c>
    </row>
    <row r="5177" spans="1:2" x14ac:dyDescent="0.2">
      <c r="A5177" s="117">
        <v>39874</v>
      </c>
      <c r="B5177" s="116">
        <f t="shared" si="80"/>
        <v>31</v>
      </c>
    </row>
    <row r="5178" spans="1:2" x14ac:dyDescent="0.2">
      <c r="A5178" s="117">
        <v>39875</v>
      </c>
      <c r="B5178" s="116">
        <f t="shared" si="80"/>
        <v>31</v>
      </c>
    </row>
    <row r="5179" spans="1:2" x14ac:dyDescent="0.2">
      <c r="A5179" s="117">
        <v>39876</v>
      </c>
      <c r="B5179" s="116">
        <f t="shared" si="80"/>
        <v>31</v>
      </c>
    </row>
    <row r="5180" spans="1:2" x14ac:dyDescent="0.2">
      <c r="A5180" s="117">
        <v>39877</v>
      </c>
      <c r="B5180" s="116">
        <f t="shared" si="80"/>
        <v>31</v>
      </c>
    </row>
    <row r="5181" spans="1:2" x14ac:dyDescent="0.2">
      <c r="A5181" s="117">
        <v>39878</v>
      </c>
      <c r="B5181" s="116">
        <f t="shared" si="80"/>
        <v>31</v>
      </c>
    </row>
    <row r="5182" spans="1:2" x14ac:dyDescent="0.2">
      <c r="A5182" s="117">
        <v>39879</v>
      </c>
      <c r="B5182" s="116">
        <f t="shared" si="80"/>
        <v>31</v>
      </c>
    </row>
    <row r="5183" spans="1:2" x14ac:dyDescent="0.2">
      <c r="A5183" s="117">
        <v>39880</v>
      </c>
      <c r="B5183" s="116">
        <f t="shared" si="80"/>
        <v>32</v>
      </c>
    </row>
    <row r="5184" spans="1:2" x14ac:dyDescent="0.2">
      <c r="A5184" s="117">
        <v>39881</v>
      </c>
      <c r="B5184" s="116">
        <f t="shared" si="80"/>
        <v>32</v>
      </c>
    </row>
    <row r="5185" spans="1:2" x14ac:dyDescent="0.2">
      <c r="A5185" s="117">
        <v>39882</v>
      </c>
      <c r="B5185" s="116">
        <f t="shared" si="80"/>
        <v>32</v>
      </c>
    </row>
    <row r="5186" spans="1:2" x14ac:dyDescent="0.2">
      <c r="A5186" s="117">
        <v>39883</v>
      </c>
      <c r="B5186" s="116">
        <f t="shared" si="80"/>
        <v>32</v>
      </c>
    </row>
    <row r="5187" spans="1:2" x14ac:dyDescent="0.2">
      <c r="A5187" s="117">
        <v>39884</v>
      </c>
      <c r="B5187" s="116">
        <f t="shared" si="80"/>
        <v>32</v>
      </c>
    </row>
    <row r="5188" spans="1:2" x14ac:dyDescent="0.2">
      <c r="A5188" s="117">
        <v>39885</v>
      </c>
      <c r="B5188" s="116">
        <f t="shared" ref="B5188:B5251" si="81">VLOOKUP(WEEKNUM(A5188),$D$4:$E$59,2)</f>
        <v>32</v>
      </c>
    </row>
    <row r="5189" spans="1:2" x14ac:dyDescent="0.2">
      <c r="A5189" s="117">
        <v>39886</v>
      </c>
      <c r="B5189" s="116">
        <f t="shared" si="81"/>
        <v>32</v>
      </c>
    </row>
    <row r="5190" spans="1:2" x14ac:dyDescent="0.2">
      <c r="A5190" s="117">
        <v>39887</v>
      </c>
      <c r="B5190" s="116">
        <f t="shared" si="81"/>
        <v>33</v>
      </c>
    </row>
    <row r="5191" spans="1:2" x14ac:dyDescent="0.2">
      <c r="A5191" s="117">
        <v>39888</v>
      </c>
      <c r="B5191" s="116">
        <f t="shared" si="81"/>
        <v>33</v>
      </c>
    </row>
    <row r="5192" spans="1:2" x14ac:dyDescent="0.2">
      <c r="A5192" s="117">
        <v>39889</v>
      </c>
      <c r="B5192" s="116">
        <f t="shared" si="81"/>
        <v>33</v>
      </c>
    </row>
    <row r="5193" spans="1:2" x14ac:dyDescent="0.2">
      <c r="A5193" s="117">
        <v>39890</v>
      </c>
      <c r="B5193" s="116">
        <f t="shared" si="81"/>
        <v>33</v>
      </c>
    </row>
    <row r="5194" spans="1:2" x14ac:dyDescent="0.2">
      <c r="A5194" s="117">
        <v>39891</v>
      </c>
      <c r="B5194" s="116">
        <f t="shared" si="81"/>
        <v>33</v>
      </c>
    </row>
    <row r="5195" spans="1:2" x14ac:dyDescent="0.2">
      <c r="A5195" s="117">
        <v>39892</v>
      </c>
      <c r="B5195" s="116">
        <f t="shared" si="81"/>
        <v>33</v>
      </c>
    </row>
    <row r="5196" spans="1:2" x14ac:dyDescent="0.2">
      <c r="A5196" s="117">
        <v>39893</v>
      </c>
      <c r="B5196" s="116">
        <f t="shared" si="81"/>
        <v>33</v>
      </c>
    </row>
    <row r="5197" spans="1:2" x14ac:dyDescent="0.2">
      <c r="A5197" s="117">
        <v>39894</v>
      </c>
      <c r="B5197" s="116">
        <f t="shared" si="81"/>
        <v>34</v>
      </c>
    </row>
    <row r="5198" spans="1:2" x14ac:dyDescent="0.2">
      <c r="A5198" s="117">
        <v>39895</v>
      </c>
      <c r="B5198" s="116">
        <f t="shared" si="81"/>
        <v>34</v>
      </c>
    </row>
    <row r="5199" spans="1:2" x14ac:dyDescent="0.2">
      <c r="A5199" s="117">
        <v>39896</v>
      </c>
      <c r="B5199" s="116">
        <f t="shared" si="81"/>
        <v>34</v>
      </c>
    </row>
    <row r="5200" spans="1:2" x14ac:dyDescent="0.2">
      <c r="A5200" s="117">
        <v>39897</v>
      </c>
      <c r="B5200" s="116">
        <f t="shared" si="81"/>
        <v>34</v>
      </c>
    </row>
    <row r="5201" spans="1:2" x14ac:dyDescent="0.2">
      <c r="A5201" s="117">
        <v>39898</v>
      </c>
      <c r="B5201" s="116">
        <f t="shared" si="81"/>
        <v>34</v>
      </c>
    </row>
    <row r="5202" spans="1:2" x14ac:dyDescent="0.2">
      <c r="A5202" s="117">
        <v>39899</v>
      </c>
      <c r="B5202" s="116">
        <f t="shared" si="81"/>
        <v>34</v>
      </c>
    </row>
    <row r="5203" spans="1:2" x14ac:dyDescent="0.2">
      <c r="A5203" s="117">
        <v>39900</v>
      </c>
      <c r="B5203" s="116">
        <f t="shared" si="81"/>
        <v>34</v>
      </c>
    </row>
    <row r="5204" spans="1:2" x14ac:dyDescent="0.2">
      <c r="A5204" s="117">
        <v>39901</v>
      </c>
      <c r="B5204" s="116">
        <f t="shared" si="81"/>
        <v>41</v>
      </c>
    </row>
    <row r="5205" spans="1:2" x14ac:dyDescent="0.2">
      <c r="A5205" s="117">
        <v>39902</v>
      </c>
      <c r="B5205" s="116">
        <f t="shared" si="81"/>
        <v>41</v>
      </c>
    </row>
    <row r="5206" spans="1:2" x14ac:dyDescent="0.2">
      <c r="A5206" s="117">
        <v>39903</v>
      </c>
      <c r="B5206" s="116">
        <f t="shared" si="81"/>
        <v>41</v>
      </c>
    </row>
    <row r="5207" spans="1:2" x14ac:dyDescent="0.2">
      <c r="A5207" s="117">
        <v>39904</v>
      </c>
      <c r="B5207" s="116">
        <f t="shared" si="81"/>
        <v>41</v>
      </c>
    </row>
    <row r="5208" spans="1:2" x14ac:dyDescent="0.2">
      <c r="A5208" s="117">
        <v>39905</v>
      </c>
      <c r="B5208" s="116">
        <f t="shared" si="81"/>
        <v>41</v>
      </c>
    </row>
    <row r="5209" spans="1:2" x14ac:dyDescent="0.2">
      <c r="A5209" s="117">
        <v>39906</v>
      </c>
      <c r="B5209" s="116">
        <f t="shared" si="81"/>
        <v>41</v>
      </c>
    </row>
    <row r="5210" spans="1:2" x14ac:dyDescent="0.2">
      <c r="A5210" s="117">
        <v>39907</v>
      </c>
      <c r="B5210" s="116">
        <f t="shared" si="81"/>
        <v>41</v>
      </c>
    </row>
    <row r="5211" spans="1:2" x14ac:dyDescent="0.2">
      <c r="A5211" s="117">
        <v>39908</v>
      </c>
      <c r="B5211" s="116">
        <f t="shared" si="81"/>
        <v>42</v>
      </c>
    </row>
    <row r="5212" spans="1:2" x14ac:dyDescent="0.2">
      <c r="A5212" s="117">
        <v>39909</v>
      </c>
      <c r="B5212" s="116">
        <f t="shared" si="81"/>
        <v>42</v>
      </c>
    </row>
    <row r="5213" spans="1:2" x14ac:dyDescent="0.2">
      <c r="A5213" s="117">
        <v>39910</v>
      </c>
      <c r="B5213" s="116">
        <f t="shared" si="81"/>
        <v>42</v>
      </c>
    </row>
    <row r="5214" spans="1:2" x14ac:dyDescent="0.2">
      <c r="A5214" s="117">
        <v>39911</v>
      </c>
      <c r="B5214" s="116">
        <f t="shared" si="81"/>
        <v>42</v>
      </c>
    </row>
    <row r="5215" spans="1:2" x14ac:dyDescent="0.2">
      <c r="A5215" s="117">
        <v>39912</v>
      </c>
      <c r="B5215" s="116">
        <f t="shared" si="81"/>
        <v>42</v>
      </c>
    </row>
    <row r="5216" spans="1:2" x14ac:dyDescent="0.2">
      <c r="A5216" s="117">
        <v>39913</v>
      </c>
      <c r="B5216" s="116">
        <f t="shared" si="81"/>
        <v>42</v>
      </c>
    </row>
    <row r="5217" spans="1:2" x14ac:dyDescent="0.2">
      <c r="A5217" s="117">
        <v>39914</v>
      </c>
      <c r="B5217" s="116">
        <f t="shared" si="81"/>
        <v>42</v>
      </c>
    </row>
    <row r="5218" spans="1:2" x14ac:dyDescent="0.2">
      <c r="A5218" s="117">
        <v>39915</v>
      </c>
      <c r="B5218" s="116">
        <f t="shared" si="81"/>
        <v>43</v>
      </c>
    </row>
    <row r="5219" spans="1:2" x14ac:dyDescent="0.2">
      <c r="A5219" s="117">
        <v>39916</v>
      </c>
      <c r="B5219" s="116">
        <f t="shared" si="81"/>
        <v>43</v>
      </c>
    </row>
    <row r="5220" spans="1:2" x14ac:dyDescent="0.2">
      <c r="A5220" s="117">
        <v>39917</v>
      </c>
      <c r="B5220" s="116">
        <f t="shared" si="81"/>
        <v>43</v>
      </c>
    </row>
    <row r="5221" spans="1:2" x14ac:dyDescent="0.2">
      <c r="A5221" s="117">
        <v>39918</v>
      </c>
      <c r="B5221" s="116">
        <f t="shared" si="81"/>
        <v>43</v>
      </c>
    </row>
    <row r="5222" spans="1:2" x14ac:dyDescent="0.2">
      <c r="A5222" s="117">
        <v>39919</v>
      </c>
      <c r="B5222" s="116">
        <f t="shared" si="81"/>
        <v>43</v>
      </c>
    </row>
    <row r="5223" spans="1:2" x14ac:dyDescent="0.2">
      <c r="A5223" s="117">
        <v>39920</v>
      </c>
      <c r="B5223" s="116">
        <f t="shared" si="81"/>
        <v>43</v>
      </c>
    </row>
    <row r="5224" spans="1:2" x14ac:dyDescent="0.2">
      <c r="A5224" s="117">
        <v>39921</v>
      </c>
      <c r="B5224" s="116">
        <f t="shared" si="81"/>
        <v>43</v>
      </c>
    </row>
    <row r="5225" spans="1:2" x14ac:dyDescent="0.2">
      <c r="A5225" s="117">
        <v>39922</v>
      </c>
      <c r="B5225" s="116">
        <f t="shared" si="81"/>
        <v>44</v>
      </c>
    </row>
    <row r="5226" spans="1:2" x14ac:dyDescent="0.2">
      <c r="A5226" s="117">
        <v>39923</v>
      </c>
      <c r="B5226" s="116">
        <f t="shared" si="81"/>
        <v>44</v>
      </c>
    </row>
    <row r="5227" spans="1:2" x14ac:dyDescent="0.2">
      <c r="A5227" s="117">
        <v>39924</v>
      </c>
      <c r="B5227" s="116">
        <f t="shared" si="81"/>
        <v>44</v>
      </c>
    </row>
    <row r="5228" spans="1:2" x14ac:dyDescent="0.2">
      <c r="A5228" s="117">
        <v>39925</v>
      </c>
      <c r="B5228" s="116">
        <f t="shared" si="81"/>
        <v>44</v>
      </c>
    </row>
    <row r="5229" spans="1:2" x14ac:dyDescent="0.2">
      <c r="A5229" s="117">
        <v>39926</v>
      </c>
      <c r="B5229" s="116">
        <f t="shared" si="81"/>
        <v>44</v>
      </c>
    </row>
    <row r="5230" spans="1:2" x14ac:dyDescent="0.2">
      <c r="A5230" s="117">
        <v>39927</v>
      </c>
      <c r="B5230" s="116">
        <f t="shared" si="81"/>
        <v>44</v>
      </c>
    </row>
    <row r="5231" spans="1:2" x14ac:dyDescent="0.2">
      <c r="A5231" s="117">
        <v>39928</v>
      </c>
      <c r="B5231" s="116">
        <f t="shared" si="81"/>
        <v>44</v>
      </c>
    </row>
    <row r="5232" spans="1:2" x14ac:dyDescent="0.2">
      <c r="A5232" s="117">
        <v>39929</v>
      </c>
      <c r="B5232" s="116">
        <f t="shared" si="81"/>
        <v>45</v>
      </c>
    </row>
    <row r="5233" spans="1:2" x14ac:dyDescent="0.2">
      <c r="A5233" s="117">
        <v>39930</v>
      </c>
      <c r="B5233" s="116">
        <f t="shared" si="81"/>
        <v>45</v>
      </c>
    </row>
    <row r="5234" spans="1:2" x14ac:dyDescent="0.2">
      <c r="A5234" s="117">
        <v>39931</v>
      </c>
      <c r="B5234" s="116">
        <f t="shared" si="81"/>
        <v>45</v>
      </c>
    </row>
    <row r="5235" spans="1:2" x14ac:dyDescent="0.2">
      <c r="A5235" s="117">
        <v>39932</v>
      </c>
      <c r="B5235" s="116">
        <f t="shared" si="81"/>
        <v>45</v>
      </c>
    </row>
    <row r="5236" spans="1:2" x14ac:dyDescent="0.2">
      <c r="A5236" s="117">
        <v>39933</v>
      </c>
      <c r="B5236" s="116">
        <f t="shared" si="81"/>
        <v>45</v>
      </c>
    </row>
    <row r="5237" spans="1:2" x14ac:dyDescent="0.2">
      <c r="A5237" s="117">
        <v>39934</v>
      </c>
      <c r="B5237" s="116">
        <f t="shared" si="81"/>
        <v>45</v>
      </c>
    </row>
    <row r="5238" spans="1:2" x14ac:dyDescent="0.2">
      <c r="A5238" s="117">
        <v>39935</v>
      </c>
      <c r="B5238" s="116">
        <f t="shared" si="81"/>
        <v>45</v>
      </c>
    </row>
    <row r="5239" spans="1:2" x14ac:dyDescent="0.2">
      <c r="A5239" s="117">
        <v>39936</v>
      </c>
      <c r="B5239" s="116">
        <f t="shared" si="81"/>
        <v>51</v>
      </c>
    </row>
    <row r="5240" spans="1:2" x14ac:dyDescent="0.2">
      <c r="A5240" s="117">
        <v>39937</v>
      </c>
      <c r="B5240" s="116">
        <f t="shared" si="81"/>
        <v>51</v>
      </c>
    </row>
    <row r="5241" spans="1:2" x14ac:dyDescent="0.2">
      <c r="A5241" s="117">
        <v>39938</v>
      </c>
      <c r="B5241" s="116">
        <f t="shared" si="81"/>
        <v>51</v>
      </c>
    </row>
    <row r="5242" spans="1:2" x14ac:dyDescent="0.2">
      <c r="A5242" s="117">
        <v>39939</v>
      </c>
      <c r="B5242" s="116">
        <f t="shared" si="81"/>
        <v>51</v>
      </c>
    </row>
    <row r="5243" spans="1:2" x14ac:dyDescent="0.2">
      <c r="A5243" s="117">
        <v>39940</v>
      </c>
      <c r="B5243" s="116">
        <f t="shared" si="81"/>
        <v>51</v>
      </c>
    </row>
    <row r="5244" spans="1:2" x14ac:dyDescent="0.2">
      <c r="A5244" s="117">
        <v>39941</v>
      </c>
      <c r="B5244" s="116">
        <f t="shared" si="81"/>
        <v>51</v>
      </c>
    </row>
    <row r="5245" spans="1:2" x14ac:dyDescent="0.2">
      <c r="A5245" s="117">
        <v>39942</v>
      </c>
      <c r="B5245" s="116">
        <f t="shared" si="81"/>
        <v>51</v>
      </c>
    </row>
    <row r="5246" spans="1:2" x14ac:dyDescent="0.2">
      <c r="A5246" s="117">
        <v>39943</v>
      </c>
      <c r="B5246" s="116">
        <f t="shared" si="81"/>
        <v>52</v>
      </c>
    </row>
    <row r="5247" spans="1:2" x14ac:dyDescent="0.2">
      <c r="A5247" s="117">
        <v>39944</v>
      </c>
      <c r="B5247" s="116">
        <f t="shared" si="81"/>
        <v>52</v>
      </c>
    </row>
    <row r="5248" spans="1:2" x14ac:dyDescent="0.2">
      <c r="A5248" s="117">
        <v>39945</v>
      </c>
      <c r="B5248" s="116">
        <f t="shared" si="81"/>
        <v>52</v>
      </c>
    </row>
    <row r="5249" spans="1:2" x14ac:dyDescent="0.2">
      <c r="A5249" s="117">
        <v>39946</v>
      </c>
      <c r="B5249" s="116">
        <f t="shared" si="81"/>
        <v>52</v>
      </c>
    </row>
    <row r="5250" spans="1:2" x14ac:dyDescent="0.2">
      <c r="A5250" s="117">
        <v>39947</v>
      </c>
      <c r="B5250" s="116">
        <f t="shared" si="81"/>
        <v>52</v>
      </c>
    </row>
    <row r="5251" spans="1:2" x14ac:dyDescent="0.2">
      <c r="A5251" s="117">
        <v>39948</v>
      </c>
      <c r="B5251" s="116">
        <f t="shared" si="81"/>
        <v>52</v>
      </c>
    </row>
    <row r="5252" spans="1:2" x14ac:dyDescent="0.2">
      <c r="A5252" s="117">
        <v>39949</v>
      </c>
      <c r="B5252" s="116">
        <f t="shared" ref="B5252:B5315" si="82">VLOOKUP(WEEKNUM(A5252),$D$4:$E$59,2)</f>
        <v>52</v>
      </c>
    </row>
    <row r="5253" spans="1:2" x14ac:dyDescent="0.2">
      <c r="A5253" s="117">
        <v>39950</v>
      </c>
      <c r="B5253" s="116">
        <f t="shared" si="82"/>
        <v>53</v>
      </c>
    </row>
    <row r="5254" spans="1:2" x14ac:dyDescent="0.2">
      <c r="A5254" s="117">
        <v>39951</v>
      </c>
      <c r="B5254" s="116">
        <f t="shared" si="82"/>
        <v>53</v>
      </c>
    </row>
    <row r="5255" spans="1:2" x14ac:dyDescent="0.2">
      <c r="A5255" s="117">
        <v>39952</v>
      </c>
      <c r="B5255" s="116">
        <f t="shared" si="82"/>
        <v>53</v>
      </c>
    </row>
    <row r="5256" spans="1:2" x14ac:dyDescent="0.2">
      <c r="A5256" s="117">
        <v>39953</v>
      </c>
      <c r="B5256" s="116">
        <f t="shared" si="82"/>
        <v>53</v>
      </c>
    </row>
    <row r="5257" spans="1:2" x14ac:dyDescent="0.2">
      <c r="A5257" s="117">
        <v>39954</v>
      </c>
      <c r="B5257" s="116">
        <f t="shared" si="82"/>
        <v>53</v>
      </c>
    </row>
    <row r="5258" spans="1:2" x14ac:dyDescent="0.2">
      <c r="A5258" s="117">
        <v>39955</v>
      </c>
      <c r="B5258" s="116">
        <f t="shared" si="82"/>
        <v>53</v>
      </c>
    </row>
    <row r="5259" spans="1:2" x14ac:dyDescent="0.2">
      <c r="A5259" s="117">
        <v>39956</v>
      </c>
      <c r="B5259" s="116">
        <f t="shared" si="82"/>
        <v>53</v>
      </c>
    </row>
    <row r="5260" spans="1:2" x14ac:dyDescent="0.2">
      <c r="A5260" s="117">
        <v>39957</v>
      </c>
      <c r="B5260" s="116">
        <f t="shared" si="82"/>
        <v>54</v>
      </c>
    </row>
    <row r="5261" spans="1:2" x14ac:dyDescent="0.2">
      <c r="A5261" s="117">
        <v>39958</v>
      </c>
      <c r="B5261" s="116">
        <f t="shared" si="82"/>
        <v>54</v>
      </c>
    </row>
    <row r="5262" spans="1:2" x14ac:dyDescent="0.2">
      <c r="A5262" s="117">
        <v>39959</v>
      </c>
      <c r="B5262" s="116">
        <f t="shared" si="82"/>
        <v>54</v>
      </c>
    </row>
    <row r="5263" spans="1:2" x14ac:dyDescent="0.2">
      <c r="A5263" s="117">
        <v>39960</v>
      </c>
      <c r="B5263" s="116">
        <f t="shared" si="82"/>
        <v>54</v>
      </c>
    </row>
    <row r="5264" spans="1:2" x14ac:dyDescent="0.2">
      <c r="A5264" s="117">
        <v>39961</v>
      </c>
      <c r="B5264" s="116">
        <f t="shared" si="82"/>
        <v>54</v>
      </c>
    </row>
    <row r="5265" spans="1:2" x14ac:dyDescent="0.2">
      <c r="A5265" s="117">
        <v>39962</v>
      </c>
      <c r="B5265" s="116">
        <f t="shared" si="82"/>
        <v>54</v>
      </c>
    </row>
    <row r="5266" spans="1:2" x14ac:dyDescent="0.2">
      <c r="A5266" s="117">
        <v>39963</v>
      </c>
      <c r="B5266" s="116">
        <f t="shared" si="82"/>
        <v>54</v>
      </c>
    </row>
    <row r="5267" spans="1:2" x14ac:dyDescent="0.2">
      <c r="A5267" s="117">
        <v>39964</v>
      </c>
      <c r="B5267" s="116">
        <f t="shared" si="82"/>
        <v>61</v>
      </c>
    </row>
    <row r="5268" spans="1:2" x14ac:dyDescent="0.2">
      <c r="A5268" s="117">
        <v>39965</v>
      </c>
      <c r="B5268" s="116">
        <f t="shared" si="82"/>
        <v>61</v>
      </c>
    </row>
    <row r="5269" spans="1:2" x14ac:dyDescent="0.2">
      <c r="A5269" s="117">
        <v>39966</v>
      </c>
      <c r="B5269" s="116">
        <f t="shared" si="82"/>
        <v>61</v>
      </c>
    </row>
    <row r="5270" spans="1:2" x14ac:dyDescent="0.2">
      <c r="A5270" s="117">
        <v>39967</v>
      </c>
      <c r="B5270" s="116">
        <f t="shared" si="82"/>
        <v>61</v>
      </c>
    </row>
    <row r="5271" spans="1:2" x14ac:dyDescent="0.2">
      <c r="A5271" s="117">
        <v>39968</v>
      </c>
      <c r="B5271" s="116">
        <f t="shared" si="82"/>
        <v>61</v>
      </c>
    </row>
    <row r="5272" spans="1:2" x14ac:dyDescent="0.2">
      <c r="A5272" s="117">
        <v>39969</v>
      </c>
      <c r="B5272" s="116">
        <f t="shared" si="82"/>
        <v>61</v>
      </c>
    </row>
    <row r="5273" spans="1:2" x14ac:dyDescent="0.2">
      <c r="A5273" s="117">
        <v>39970</v>
      </c>
      <c r="B5273" s="116">
        <f t="shared" si="82"/>
        <v>61</v>
      </c>
    </row>
    <row r="5274" spans="1:2" x14ac:dyDescent="0.2">
      <c r="A5274" s="117">
        <v>39971</v>
      </c>
      <c r="B5274" s="116">
        <f t="shared" si="82"/>
        <v>62</v>
      </c>
    </row>
    <row r="5275" spans="1:2" x14ac:dyDescent="0.2">
      <c r="A5275" s="117">
        <v>39972</v>
      </c>
      <c r="B5275" s="116">
        <f t="shared" si="82"/>
        <v>62</v>
      </c>
    </row>
    <row r="5276" spans="1:2" x14ac:dyDescent="0.2">
      <c r="A5276" s="117">
        <v>39973</v>
      </c>
      <c r="B5276" s="116">
        <f t="shared" si="82"/>
        <v>62</v>
      </c>
    </row>
    <row r="5277" spans="1:2" x14ac:dyDescent="0.2">
      <c r="A5277" s="117">
        <v>39974</v>
      </c>
      <c r="B5277" s="116">
        <f t="shared" si="82"/>
        <v>62</v>
      </c>
    </row>
    <row r="5278" spans="1:2" x14ac:dyDescent="0.2">
      <c r="A5278" s="117">
        <v>39975</v>
      </c>
      <c r="B5278" s="116">
        <f t="shared" si="82"/>
        <v>62</v>
      </c>
    </row>
    <row r="5279" spans="1:2" x14ac:dyDescent="0.2">
      <c r="A5279" s="117">
        <v>39976</v>
      </c>
      <c r="B5279" s="116">
        <f t="shared" si="82"/>
        <v>62</v>
      </c>
    </row>
    <row r="5280" spans="1:2" x14ac:dyDescent="0.2">
      <c r="A5280" s="117">
        <v>39977</v>
      </c>
      <c r="B5280" s="116">
        <f t="shared" si="82"/>
        <v>62</v>
      </c>
    </row>
    <row r="5281" spans="1:2" x14ac:dyDescent="0.2">
      <c r="A5281" s="117">
        <v>39978</v>
      </c>
      <c r="B5281" s="116">
        <f t="shared" si="82"/>
        <v>63</v>
      </c>
    </row>
    <row r="5282" spans="1:2" x14ac:dyDescent="0.2">
      <c r="A5282" s="117">
        <v>39979</v>
      </c>
      <c r="B5282" s="116">
        <f t="shared" si="82"/>
        <v>63</v>
      </c>
    </row>
    <row r="5283" spans="1:2" x14ac:dyDescent="0.2">
      <c r="A5283" s="117">
        <v>39980</v>
      </c>
      <c r="B5283" s="116">
        <f t="shared" si="82"/>
        <v>63</v>
      </c>
    </row>
    <row r="5284" spans="1:2" x14ac:dyDescent="0.2">
      <c r="A5284" s="117">
        <v>39981</v>
      </c>
      <c r="B5284" s="116">
        <f t="shared" si="82"/>
        <v>63</v>
      </c>
    </row>
    <row r="5285" spans="1:2" x14ac:dyDescent="0.2">
      <c r="A5285" s="117">
        <v>39982</v>
      </c>
      <c r="B5285" s="116">
        <f t="shared" si="82"/>
        <v>63</v>
      </c>
    </row>
    <row r="5286" spans="1:2" x14ac:dyDescent="0.2">
      <c r="A5286" s="117">
        <v>39983</v>
      </c>
      <c r="B5286" s="116">
        <f t="shared" si="82"/>
        <v>63</v>
      </c>
    </row>
    <row r="5287" spans="1:2" x14ac:dyDescent="0.2">
      <c r="A5287" s="117">
        <v>39984</v>
      </c>
      <c r="B5287" s="116">
        <f t="shared" si="82"/>
        <v>63</v>
      </c>
    </row>
    <row r="5288" spans="1:2" x14ac:dyDescent="0.2">
      <c r="A5288" s="117">
        <v>39985</v>
      </c>
      <c r="B5288" s="116">
        <f t="shared" si="82"/>
        <v>64</v>
      </c>
    </row>
    <row r="5289" spans="1:2" x14ac:dyDescent="0.2">
      <c r="A5289" s="117">
        <v>39986</v>
      </c>
      <c r="B5289" s="116">
        <f t="shared" si="82"/>
        <v>64</v>
      </c>
    </row>
    <row r="5290" spans="1:2" x14ac:dyDescent="0.2">
      <c r="A5290" s="117">
        <v>39987</v>
      </c>
      <c r="B5290" s="116">
        <f t="shared" si="82"/>
        <v>64</v>
      </c>
    </row>
    <row r="5291" spans="1:2" x14ac:dyDescent="0.2">
      <c r="A5291" s="117">
        <v>39988</v>
      </c>
      <c r="B5291" s="116">
        <f t="shared" si="82"/>
        <v>64</v>
      </c>
    </row>
    <row r="5292" spans="1:2" x14ac:dyDescent="0.2">
      <c r="A5292" s="117">
        <v>39989</v>
      </c>
      <c r="B5292" s="116">
        <f t="shared" si="82"/>
        <v>64</v>
      </c>
    </row>
    <row r="5293" spans="1:2" x14ac:dyDescent="0.2">
      <c r="A5293" s="117">
        <v>39990</v>
      </c>
      <c r="B5293" s="116">
        <f t="shared" si="82"/>
        <v>64</v>
      </c>
    </row>
    <row r="5294" spans="1:2" x14ac:dyDescent="0.2">
      <c r="A5294" s="117">
        <v>39991</v>
      </c>
      <c r="B5294" s="116">
        <f t="shared" si="82"/>
        <v>64</v>
      </c>
    </row>
    <row r="5295" spans="1:2" x14ac:dyDescent="0.2">
      <c r="A5295" s="117">
        <v>39992</v>
      </c>
      <c r="B5295" s="116">
        <f t="shared" si="82"/>
        <v>71</v>
      </c>
    </row>
    <row r="5296" spans="1:2" x14ac:dyDescent="0.2">
      <c r="A5296" s="117">
        <v>39993</v>
      </c>
      <c r="B5296" s="116">
        <f t="shared" si="82"/>
        <v>71</v>
      </c>
    </row>
    <row r="5297" spans="1:2" x14ac:dyDescent="0.2">
      <c r="A5297" s="117">
        <v>39994</v>
      </c>
      <c r="B5297" s="116">
        <f t="shared" si="82"/>
        <v>71</v>
      </c>
    </row>
    <row r="5298" spans="1:2" x14ac:dyDescent="0.2">
      <c r="A5298" s="117">
        <v>39995</v>
      </c>
      <c r="B5298" s="116">
        <f t="shared" si="82"/>
        <v>71</v>
      </c>
    </row>
    <row r="5299" spans="1:2" x14ac:dyDescent="0.2">
      <c r="A5299" s="117">
        <v>39996</v>
      </c>
      <c r="B5299" s="116">
        <f t="shared" si="82"/>
        <v>71</v>
      </c>
    </row>
    <row r="5300" spans="1:2" x14ac:dyDescent="0.2">
      <c r="A5300" s="117">
        <v>39997</v>
      </c>
      <c r="B5300" s="116">
        <f t="shared" si="82"/>
        <v>71</v>
      </c>
    </row>
    <row r="5301" spans="1:2" x14ac:dyDescent="0.2">
      <c r="A5301" s="117">
        <v>39998</v>
      </c>
      <c r="B5301" s="116">
        <f t="shared" si="82"/>
        <v>71</v>
      </c>
    </row>
    <row r="5302" spans="1:2" x14ac:dyDescent="0.2">
      <c r="A5302" s="117">
        <v>39999</v>
      </c>
      <c r="B5302" s="116">
        <f t="shared" si="82"/>
        <v>72</v>
      </c>
    </row>
    <row r="5303" spans="1:2" x14ac:dyDescent="0.2">
      <c r="A5303" s="117">
        <v>40000</v>
      </c>
      <c r="B5303" s="116">
        <f t="shared" si="82"/>
        <v>72</v>
      </c>
    </row>
    <row r="5304" spans="1:2" x14ac:dyDescent="0.2">
      <c r="A5304" s="117">
        <v>40001</v>
      </c>
      <c r="B5304" s="116">
        <f t="shared" si="82"/>
        <v>72</v>
      </c>
    </row>
    <row r="5305" spans="1:2" x14ac:dyDescent="0.2">
      <c r="A5305" s="117">
        <v>40002</v>
      </c>
      <c r="B5305" s="116">
        <f t="shared" si="82"/>
        <v>72</v>
      </c>
    </row>
    <row r="5306" spans="1:2" x14ac:dyDescent="0.2">
      <c r="A5306" s="117">
        <v>40003</v>
      </c>
      <c r="B5306" s="116">
        <f t="shared" si="82"/>
        <v>72</v>
      </c>
    </row>
    <row r="5307" spans="1:2" x14ac:dyDescent="0.2">
      <c r="A5307" s="117">
        <v>40004</v>
      </c>
      <c r="B5307" s="116">
        <f t="shared" si="82"/>
        <v>72</v>
      </c>
    </row>
    <row r="5308" spans="1:2" x14ac:dyDescent="0.2">
      <c r="A5308" s="117">
        <v>40005</v>
      </c>
      <c r="B5308" s="116">
        <f t="shared" si="82"/>
        <v>72</v>
      </c>
    </row>
    <row r="5309" spans="1:2" x14ac:dyDescent="0.2">
      <c r="A5309" s="117">
        <v>40006</v>
      </c>
      <c r="B5309" s="116">
        <f t="shared" si="82"/>
        <v>73</v>
      </c>
    </row>
    <row r="5310" spans="1:2" x14ac:dyDescent="0.2">
      <c r="A5310" s="117">
        <v>40007</v>
      </c>
      <c r="B5310" s="116">
        <f t="shared" si="82"/>
        <v>73</v>
      </c>
    </row>
    <row r="5311" spans="1:2" x14ac:dyDescent="0.2">
      <c r="A5311" s="117">
        <v>40008</v>
      </c>
      <c r="B5311" s="116">
        <f t="shared" si="82"/>
        <v>73</v>
      </c>
    </row>
    <row r="5312" spans="1:2" x14ac:dyDescent="0.2">
      <c r="A5312" s="117">
        <v>40009</v>
      </c>
      <c r="B5312" s="116">
        <f t="shared" si="82"/>
        <v>73</v>
      </c>
    </row>
    <row r="5313" spans="1:2" x14ac:dyDescent="0.2">
      <c r="A5313" s="117">
        <v>40010</v>
      </c>
      <c r="B5313" s="116">
        <f t="shared" si="82"/>
        <v>73</v>
      </c>
    </row>
    <row r="5314" spans="1:2" x14ac:dyDescent="0.2">
      <c r="A5314" s="117">
        <v>40011</v>
      </c>
      <c r="B5314" s="116">
        <f t="shared" si="82"/>
        <v>73</v>
      </c>
    </row>
    <row r="5315" spans="1:2" x14ac:dyDescent="0.2">
      <c r="A5315" s="117">
        <v>40012</v>
      </c>
      <c r="B5315" s="116">
        <f t="shared" si="82"/>
        <v>73</v>
      </c>
    </row>
    <row r="5316" spans="1:2" x14ac:dyDescent="0.2">
      <c r="A5316" s="117">
        <v>40013</v>
      </c>
      <c r="B5316" s="116">
        <f t="shared" ref="B5316:B5379" si="83">VLOOKUP(WEEKNUM(A5316),$D$4:$E$59,2)</f>
        <v>74</v>
      </c>
    </row>
    <row r="5317" spans="1:2" x14ac:dyDescent="0.2">
      <c r="A5317" s="117">
        <v>40014</v>
      </c>
      <c r="B5317" s="116">
        <f t="shared" si="83"/>
        <v>74</v>
      </c>
    </row>
    <row r="5318" spans="1:2" x14ac:dyDescent="0.2">
      <c r="A5318" s="117">
        <v>40015</v>
      </c>
      <c r="B5318" s="116">
        <f t="shared" si="83"/>
        <v>74</v>
      </c>
    </row>
    <row r="5319" spans="1:2" x14ac:dyDescent="0.2">
      <c r="A5319" s="117">
        <v>40016</v>
      </c>
      <c r="B5319" s="116">
        <f t="shared" si="83"/>
        <v>74</v>
      </c>
    </row>
    <row r="5320" spans="1:2" x14ac:dyDescent="0.2">
      <c r="A5320" s="117">
        <v>40017</v>
      </c>
      <c r="B5320" s="116">
        <f t="shared" si="83"/>
        <v>74</v>
      </c>
    </row>
    <row r="5321" spans="1:2" x14ac:dyDescent="0.2">
      <c r="A5321" s="117">
        <v>40018</v>
      </c>
      <c r="B5321" s="116">
        <f t="shared" si="83"/>
        <v>74</v>
      </c>
    </row>
    <row r="5322" spans="1:2" x14ac:dyDescent="0.2">
      <c r="A5322" s="117">
        <v>40019</v>
      </c>
      <c r="B5322" s="116">
        <f t="shared" si="83"/>
        <v>74</v>
      </c>
    </row>
    <row r="5323" spans="1:2" x14ac:dyDescent="0.2">
      <c r="A5323" s="117">
        <v>40020</v>
      </c>
      <c r="B5323" s="116">
        <f t="shared" si="83"/>
        <v>75</v>
      </c>
    </row>
    <row r="5324" spans="1:2" x14ac:dyDescent="0.2">
      <c r="A5324" s="117">
        <v>40021</v>
      </c>
      <c r="B5324" s="116">
        <f t="shared" si="83"/>
        <v>75</v>
      </c>
    </row>
    <row r="5325" spans="1:2" x14ac:dyDescent="0.2">
      <c r="A5325" s="117">
        <v>40022</v>
      </c>
      <c r="B5325" s="116">
        <f t="shared" si="83"/>
        <v>75</v>
      </c>
    </row>
    <row r="5326" spans="1:2" x14ac:dyDescent="0.2">
      <c r="A5326" s="117">
        <v>40023</v>
      </c>
      <c r="B5326" s="116">
        <f t="shared" si="83"/>
        <v>75</v>
      </c>
    </row>
    <row r="5327" spans="1:2" x14ac:dyDescent="0.2">
      <c r="A5327" s="117">
        <v>40024</v>
      </c>
      <c r="B5327" s="116">
        <f t="shared" si="83"/>
        <v>75</v>
      </c>
    </row>
    <row r="5328" spans="1:2" x14ac:dyDescent="0.2">
      <c r="A5328" s="117">
        <v>40025</v>
      </c>
      <c r="B5328" s="116">
        <f t="shared" si="83"/>
        <v>75</v>
      </c>
    </row>
    <row r="5329" spans="1:2" x14ac:dyDescent="0.2">
      <c r="A5329" s="117">
        <v>40026</v>
      </c>
      <c r="B5329" s="116">
        <f t="shared" si="83"/>
        <v>75</v>
      </c>
    </row>
    <row r="5330" spans="1:2" x14ac:dyDescent="0.2">
      <c r="A5330" s="117">
        <v>40027</v>
      </c>
      <c r="B5330" s="116">
        <f t="shared" si="83"/>
        <v>81</v>
      </c>
    </row>
    <row r="5331" spans="1:2" x14ac:dyDescent="0.2">
      <c r="A5331" s="117">
        <v>40028</v>
      </c>
      <c r="B5331" s="116">
        <f t="shared" si="83"/>
        <v>81</v>
      </c>
    </row>
    <row r="5332" spans="1:2" x14ac:dyDescent="0.2">
      <c r="A5332" s="117">
        <v>40029</v>
      </c>
      <c r="B5332" s="116">
        <f t="shared" si="83"/>
        <v>81</v>
      </c>
    </row>
    <row r="5333" spans="1:2" x14ac:dyDescent="0.2">
      <c r="A5333" s="117">
        <v>40030</v>
      </c>
      <c r="B5333" s="116">
        <f t="shared" si="83"/>
        <v>81</v>
      </c>
    </row>
    <row r="5334" spans="1:2" x14ac:dyDescent="0.2">
      <c r="A5334" s="117">
        <v>40031</v>
      </c>
      <c r="B5334" s="116">
        <f t="shared" si="83"/>
        <v>81</v>
      </c>
    </row>
    <row r="5335" spans="1:2" x14ac:dyDescent="0.2">
      <c r="A5335" s="117">
        <v>40032</v>
      </c>
      <c r="B5335" s="116">
        <f t="shared" si="83"/>
        <v>81</v>
      </c>
    </row>
    <row r="5336" spans="1:2" x14ac:dyDescent="0.2">
      <c r="A5336" s="117">
        <v>40033</v>
      </c>
      <c r="B5336" s="116">
        <f t="shared" si="83"/>
        <v>81</v>
      </c>
    </row>
    <row r="5337" spans="1:2" x14ac:dyDescent="0.2">
      <c r="A5337" s="117">
        <v>40034</v>
      </c>
      <c r="B5337" s="116">
        <f t="shared" si="83"/>
        <v>82</v>
      </c>
    </row>
    <row r="5338" spans="1:2" x14ac:dyDescent="0.2">
      <c r="A5338" s="117">
        <v>40035</v>
      </c>
      <c r="B5338" s="116">
        <f t="shared" si="83"/>
        <v>82</v>
      </c>
    </row>
    <row r="5339" spans="1:2" x14ac:dyDescent="0.2">
      <c r="A5339" s="117">
        <v>40036</v>
      </c>
      <c r="B5339" s="116">
        <f t="shared" si="83"/>
        <v>82</v>
      </c>
    </row>
    <row r="5340" spans="1:2" x14ac:dyDescent="0.2">
      <c r="A5340" s="117">
        <v>40037</v>
      </c>
      <c r="B5340" s="116">
        <f t="shared" si="83"/>
        <v>82</v>
      </c>
    </row>
    <row r="5341" spans="1:2" x14ac:dyDescent="0.2">
      <c r="A5341" s="117">
        <v>40038</v>
      </c>
      <c r="B5341" s="116">
        <f t="shared" si="83"/>
        <v>82</v>
      </c>
    </row>
    <row r="5342" spans="1:2" x14ac:dyDescent="0.2">
      <c r="A5342" s="117">
        <v>40039</v>
      </c>
      <c r="B5342" s="116">
        <f t="shared" si="83"/>
        <v>82</v>
      </c>
    </row>
    <row r="5343" spans="1:2" x14ac:dyDescent="0.2">
      <c r="A5343" s="117">
        <v>40040</v>
      </c>
      <c r="B5343" s="116">
        <f t="shared" si="83"/>
        <v>82</v>
      </c>
    </row>
    <row r="5344" spans="1:2" x14ac:dyDescent="0.2">
      <c r="A5344" s="117">
        <v>40041</v>
      </c>
      <c r="B5344" s="116">
        <f t="shared" si="83"/>
        <v>83</v>
      </c>
    </row>
    <row r="5345" spans="1:2" x14ac:dyDescent="0.2">
      <c r="A5345" s="117">
        <v>40042</v>
      </c>
      <c r="B5345" s="116">
        <f t="shared" si="83"/>
        <v>83</v>
      </c>
    </row>
    <row r="5346" spans="1:2" x14ac:dyDescent="0.2">
      <c r="A5346" s="117">
        <v>40043</v>
      </c>
      <c r="B5346" s="116">
        <f t="shared" si="83"/>
        <v>83</v>
      </c>
    </row>
    <row r="5347" spans="1:2" x14ac:dyDescent="0.2">
      <c r="A5347" s="117">
        <v>40044</v>
      </c>
      <c r="B5347" s="116">
        <f t="shared" si="83"/>
        <v>83</v>
      </c>
    </row>
    <row r="5348" spans="1:2" x14ac:dyDescent="0.2">
      <c r="A5348" s="117">
        <v>40045</v>
      </c>
      <c r="B5348" s="116">
        <f t="shared" si="83"/>
        <v>83</v>
      </c>
    </row>
    <row r="5349" spans="1:2" x14ac:dyDescent="0.2">
      <c r="A5349" s="117">
        <v>40046</v>
      </c>
      <c r="B5349" s="116">
        <f t="shared" si="83"/>
        <v>83</v>
      </c>
    </row>
    <row r="5350" spans="1:2" x14ac:dyDescent="0.2">
      <c r="A5350" s="117">
        <v>40047</v>
      </c>
      <c r="B5350" s="116">
        <f t="shared" si="83"/>
        <v>83</v>
      </c>
    </row>
    <row r="5351" spans="1:2" x14ac:dyDescent="0.2">
      <c r="A5351" s="117">
        <v>40048</v>
      </c>
      <c r="B5351" s="116">
        <f t="shared" si="83"/>
        <v>84</v>
      </c>
    </row>
    <row r="5352" spans="1:2" x14ac:dyDescent="0.2">
      <c r="A5352" s="117">
        <v>40049</v>
      </c>
      <c r="B5352" s="116">
        <f t="shared" si="83"/>
        <v>84</v>
      </c>
    </row>
    <row r="5353" spans="1:2" x14ac:dyDescent="0.2">
      <c r="A5353" s="117">
        <v>40050</v>
      </c>
      <c r="B5353" s="116">
        <f t="shared" si="83"/>
        <v>84</v>
      </c>
    </row>
    <row r="5354" spans="1:2" x14ac:dyDescent="0.2">
      <c r="A5354" s="117">
        <v>40051</v>
      </c>
      <c r="B5354" s="116">
        <f t="shared" si="83"/>
        <v>84</v>
      </c>
    </row>
    <row r="5355" spans="1:2" x14ac:dyDescent="0.2">
      <c r="A5355" s="117">
        <v>40052</v>
      </c>
      <c r="B5355" s="116">
        <f t="shared" si="83"/>
        <v>84</v>
      </c>
    </row>
    <row r="5356" spans="1:2" x14ac:dyDescent="0.2">
      <c r="A5356" s="117">
        <v>40053</v>
      </c>
      <c r="B5356" s="116">
        <f t="shared" si="83"/>
        <v>84</v>
      </c>
    </row>
    <row r="5357" spans="1:2" x14ac:dyDescent="0.2">
      <c r="A5357" s="117">
        <v>40054</v>
      </c>
      <c r="B5357" s="116">
        <f t="shared" si="83"/>
        <v>84</v>
      </c>
    </row>
    <row r="5358" spans="1:2" x14ac:dyDescent="0.2">
      <c r="A5358" s="117">
        <v>40055</v>
      </c>
      <c r="B5358" s="116">
        <f t="shared" si="83"/>
        <v>91</v>
      </c>
    </row>
    <row r="5359" spans="1:2" x14ac:dyDescent="0.2">
      <c r="A5359" s="117">
        <v>40056</v>
      </c>
      <c r="B5359" s="116">
        <f t="shared" si="83"/>
        <v>91</v>
      </c>
    </row>
    <row r="5360" spans="1:2" x14ac:dyDescent="0.2">
      <c r="A5360" s="117">
        <v>40057</v>
      </c>
      <c r="B5360" s="116">
        <f t="shared" si="83"/>
        <v>91</v>
      </c>
    </row>
    <row r="5361" spans="1:2" x14ac:dyDescent="0.2">
      <c r="A5361" s="117">
        <v>40058</v>
      </c>
      <c r="B5361" s="116">
        <f t="shared" si="83"/>
        <v>91</v>
      </c>
    </row>
    <row r="5362" spans="1:2" x14ac:dyDescent="0.2">
      <c r="A5362" s="117">
        <v>40059</v>
      </c>
      <c r="B5362" s="116">
        <f t="shared" si="83"/>
        <v>91</v>
      </c>
    </row>
    <row r="5363" spans="1:2" x14ac:dyDescent="0.2">
      <c r="A5363" s="117">
        <v>40060</v>
      </c>
      <c r="B5363" s="116">
        <f t="shared" si="83"/>
        <v>91</v>
      </c>
    </row>
    <row r="5364" spans="1:2" x14ac:dyDescent="0.2">
      <c r="A5364" s="117">
        <v>40061</v>
      </c>
      <c r="B5364" s="116">
        <f t="shared" si="83"/>
        <v>91</v>
      </c>
    </row>
    <row r="5365" spans="1:2" x14ac:dyDescent="0.2">
      <c r="A5365" s="117">
        <v>40062</v>
      </c>
      <c r="B5365" s="116">
        <f t="shared" si="83"/>
        <v>92</v>
      </c>
    </row>
    <row r="5366" spans="1:2" x14ac:dyDescent="0.2">
      <c r="A5366" s="117">
        <v>40063</v>
      </c>
      <c r="B5366" s="116">
        <f t="shared" si="83"/>
        <v>92</v>
      </c>
    </row>
    <row r="5367" spans="1:2" x14ac:dyDescent="0.2">
      <c r="A5367" s="117">
        <v>40064</v>
      </c>
      <c r="B5367" s="116">
        <f t="shared" si="83"/>
        <v>92</v>
      </c>
    </row>
    <row r="5368" spans="1:2" x14ac:dyDescent="0.2">
      <c r="A5368" s="117">
        <v>40065</v>
      </c>
      <c r="B5368" s="116">
        <f t="shared" si="83"/>
        <v>92</v>
      </c>
    </row>
    <row r="5369" spans="1:2" x14ac:dyDescent="0.2">
      <c r="A5369" s="117">
        <v>40066</v>
      </c>
      <c r="B5369" s="116">
        <f t="shared" si="83"/>
        <v>92</v>
      </c>
    </row>
    <row r="5370" spans="1:2" x14ac:dyDescent="0.2">
      <c r="A5370" s="117">
        <v>40067</v>
      </c>
      <c r="B5370" s="116">
        <f t="shared" si="83"/>
        <v>92</v>
      </c>
    </row>
    <row r="5371" spans="1:2" x14ac:dyDescent="0.2">
      <c r="A5371" s="117">
        <v>40068</v>
      </c>
      <c r="B5371" s="116">
        <f t="shared" si="83"/>
        <v>92</v>
      </c>
    </row>
    <row r="5372" spans="1:2" x14ac:dyDescent="0.2">
      <c r="A5372" s="117">
        <v>40069</v>
      </c>
      <c r="B5372" s="116">
        <f t="shared" si="83"/>
        <v>93</v>
      </c>
    </row>
    <row r="5373" spans="1:2" x14ac:dyDescent="0.2">
      <c r="A5373" s="117">
        <v>40070</v>
      </c>
      <c r="B5373" s="116">
        <f t="shared" si="83"/>
        <v>93</v>
      </c>
    </row>
    <row r="5374" spans="1:2" x14ac:dyDescent="0.2">
      <c r="A5374" s="117">
        <v>40071</v>
      </c>
      <c r="B5374" s="116">
        <f t="shared" si="83"/>
        <v>93</v>
      </c>
    </row>
    <row r="5375" spans="1:2" x14ac:dyDescent="0.2">
      <c r="A5375" s="117">
        <v>40072</v>
      </c>
      <c r="B5375" s="116">
        <f t="shared" si="83"/>
        <v>93</v>
      </c>
    </row>
    <row r="5376" spans="1:2" x14ac:dyDescent="0.2">
      <c r="A5376" s="117">
        <v>40073</v>
      </c>
      <c r="B5376" s="116">
        <f t="shared" si="83"/>
        <v>93</v>
      </c>
    </row>
    <row r="5377" spans="1:2" x14ac:dyDescent="0.2">
      <c r="A5377" s="117">
        <v>40074</v>
      </c>
      <c r="B5377" s="116">
        <f t="shared" si="83"/>
        <v>93</v>
      </c>
    </row>
    <row r="5378" spans="1:2" x14ac:dyDescent="0.2">
      <c r="A5378" s="117">
        <v>40075</v>
      </c>
      <c r="B5378" s="116">
        <f t="shared" si="83"/>
        <v>93</v>
      </c>
    </row>
    <row r="5379" spans="1:2" x14ac:dyDescent="0.2">
      <c r="A5379" s="117">
        <v>40076</v>
      </c>
      <c r="B5379" s="116">
        <f t="shared" si="83"/>
        <v>94</v>
      </c>
    </row>
    <row r="5380" spans="1:2" x14ac:dyDescent="0.2">
      <c r="A5380" s="117">
        <v>40077</v>
      </c>
      <c r="B5380" s="116">
        <f t="shared" ref="B5380:B5443" si="84">VLOOKUP(WEEKNUM(A5380),$D$4:$E$59,2)</f>
        <v>94</v>
      </c>
    </row>
    <row r="5381" spans="1:2" x14ac:dyDescent="0.2">
      <c r="A5381" s="117">
        <v>40078</v>
      </c>
      <c r="B5381" s="116">
        <f t="shared" si="84"/>
        <v>94</v>
      </c>
    </row>
    <row r="5382" spans="1:2" x14ac:dyDescent="0.2">
      <c r="A5382" s="117">
        <v>40079</v>
      </c>
      <c r="B5382" s="116">
        <f t="shared" si="84"/>
        <v>94</v>
      </c>
    </row>
    <row r="5383" spans="1:2" x14ac:dyDescent="0.2">
      <c r="A5383" s="117">
        <v>40080</v>
      </c>
      <c r="B5383" s="116">
        <f t="shared" si="84"/>
        <v>94</v>
      </c>
    </row>
    <row r="5384" spans="1:2" x14ac:dyDescent="0.2">
      <c r="A5384" s="117">
        <v>40081</v>
      </c>
      <c r="B5384" s="116">
        <f t="shared" si="84"/>
        <v>94</v>
      </c>
    </row>
    <row r="5385" spans="1:2" x14ac:dyDescent="0.2">
      <c r="A5385" s="117">
        <v>40082</v>
      </c>
      <c r="B5385" s="116">
        <f t="shared" si="84"/>
        <v>94</v>
      </c>
    </row>
    <row r="5386" spans="1:2" x14ac:dyDescent="0.2">
      <c r="A5386" s="117">
        <v>40083</v>
      </c>
      <c r="B5386" s="116">
        <f t="shared" si="84"/>
        <v>101</v>
      </c>
    </row>
    <row r="5387" spans="1:2" x14ac:dyDescent="0.2">
      <c r="A5387" s="117">
        <v>40084</v>
      </c>
      <c r="B5387" s="116">
        <f t="shared" si="84"/>
        <v>101</v>
      </c>
    </row>
    <row r="5388" spans="1:2" x14ac:dyDescent="0.2">
      <c r="A5388" s="117">
        <v>40085</v>
      </c>
      <c r="B5388" s="116">
        <f t="shared" si="84"/>
        <v>101</v>
      </c>
    </row>
    <row r="5389" spans="1:2" x14ac:dyDescent="0.2">
      <c r="A5389" s="117">
        <v>40086</v>
      </c>
      <c r="B5389" s="116">
        <f t="shared" si="84"/>
        <v>101</v>
      </c>
    </row>
    <row r="5390" spans="1:2" x14ac:dyDescent="0.2">
      <c r="A5390" s="117">
        <v>40087</v>
      </c>
      <c r="B5390" s="116">
        <f t="shared" si="84"/>
        <v>101</v>
      </c>
    </row>
    <row r="5391" spans="1:2" x14ac:dyDescent="0.2">
      <c r="A5391" s="117">
        <v>40088</v>
      </c>
      <c r="B5391" s="116">
        <f t="shared" si="84"/>
        <v>101</v>
      </c>
    </row>
    <row r="5392" spans="1:2" x14ac:dyDescent="0.2">
      <c r="A5392" s="117">
        <v>40089</v>
      </c>
      <c r="B5392" s="116">
        <f t="shared" si="84"/>
        <v>101</v>
      </c>
    </row>
    <row r="5393" spans="1:2" x14ac:dyDescent="0.2">
      <c r="A5393" s="117">
        <v>40090</v>
      </c>
      <c r="B5393" s="116">
        <f t="shared" si="84"/>
        <v>102</v>
      </c>
    </row>
    <row r="5394" spans="1:2" x14ac:dyDescent="0.2">
      <c r="A5394" s="117">
        <v>40091</v>
      </c>
      <c r="B5394" s="116">
        <f t="shared" si="84"/>
        <v>102</v>
      </c>
    </row>
    <row r="5395" spans="1:2" x14ac:dyDescent="0.2">
      <c r="A5395" s="117">
        <v>40092</v>
      </c>
      <c r="B5395" s="116">
        <f t="shared" si="84"/>
        <v>102</v>
      </c>
    </row>
    <row r="5396" spans="1:2" x14ac:dyDescent="0.2">
      <c r="A5396" s="117">
        <v>40093</v>
      </c>
      <c r="B5396" s="116">
        <f t="shared" si="84"/>
        <v>102</v>
      </c>
    </row>
    <row r="5397" spans="1:2" x14ac:dyDescent="0.2">
      <c r="A5397" s="117">
        <v>40094</v>
      </c>
      <c r="B5397" s="116">
        <f t="shared" si="84"/>
        <v>102</v>
      </c>
    </row>
    <row r="5398" spans="1:2" x14ac:dyDescent="0.2">
      <c r="A5398" s="117">
        <v>40095</v>
      </c>
      <c r="B5398" s="116">
        <f t="shared" si="84"/>
        <v>102</v>
      </c>
    </row>
    <row r="5399" spans="1:2" x14ac:dyDescent="0.2">
      <c r="A5399" s="117">
        <v>40096</v>
      </c>
      <c r="B5399" s="116">
        <f t="shared" si="84"/>
        <v>102</v>
      </c>
    </row>
    <row r="5400" spans="1:2" x14ac:dyDescent="0.2">
      <c r="A5400" s="117">
        <v>40097</v>
      </c>
      <c r="B5400" s="116">
        <f t="shared" si="84"/>
        <v>103</v>
      </c>
    </row>
    <row r="5401" spans="1:2" x14ac:dyDescent="0.2">
      <c r="A5401" s="117">
        <v>40098</v>
      </c>
      <c r="B5401" s="116">
        <f t="shared" si="84"/>
        <v>103</v>
      </c>
    </row>
    <row r="5402" spans="1:2" x14ac:dyDescent="0.2">
      <c r="A5402" s="117">
        <v>40099</v>
      </c>
      <c r="B5402" s="116">
        <f t="shared" si="84"/>
        <v>103</v>
      </c>
    </row>
    <row r="5403" spans="1:2" x14ac:dyDescent="0.2">
      <c r="A5403" s="117">
        <v>40100</v>
      </c>
      <c r="B5403" s="116">
        <f t="shared" si="84"/>
        <v>103</v>
      </c>
    </row>
    <row r="5404" spans="1:2" x14ac:dyDescent="0.2">
      <c r="A5404" s="117">
        <v>40101</v>
      </c>
      <c r="B5404" s="116">
        <f t="shared" si="84"/>
        <v>103</v>
      </c>
    </row>
    <row r="5405" spans="1:2" x14ac:dyDescent="0.2">
      <c r="A5405" s="117">
        <v>40102</v>
      </c>
      <c r="B5405" s="116">
        <f t="shared" si="84"/>
        <v>103</v>
      </c>
    </row>
    <row r="5406" spans="1:2" x14ac:dyDescent="0.2">
      <c r="A5406" s="117">
        <v>40103</v>
      </c>
      <c r="B5406" s="116">
        <f t="shared" si="84"/>
        <v>103</v>
      </c>
    </row>
    <row r="5407" spans="1:2" x14ac:dyDescent="0.2">
      <c r="A5407" s="117">
        <v>40104</v>
      </c>
      <c r="B5407" s="116">
        <f t="shared" si="84"/>
        <v>104</v>
      </c>
    </row>
    <row r="5408" spans="1:2" x14ac:dyDescent="0.2">
      <c r="A5408" s="117">
        <v>40105</v>
      </c>
      <c r="B5408" s="116">
        <f t="shared" si="84"/>
        <v>104</v>
      </c>
    </row>
    <row r="5409" spans="1:2" x14ac:dyDescent="0.2">
      <c r="A5409" s="117">
        <v>40106</v>
      </c>
      <c r="B5409" s="116">
        <f t="shared" si="84"/>
        <v>104</v>
      </c>
    </row>
    <row r="5410" spans="1:2" x14ac:dyDescent="0.2">
      <c r="A5410" s="117">
        <v>40107</v>
      </c>
      <c r="B5410" s="116">
        <f t="shared" si="84"/>
        <v>104</v>
      </c>
    </row>
    <row r="5411" spans="1:2" x14ac:dyDescent="0.2">
      <c r="A5411" s="117">
        <v>40108</v>
      </c>
      <c r="B5411" s="116">
        <f t="shared" si="84"/>
        <v>104</v>
      </c>
    </row>
    <row r="5412" spans="1:2" x14ac:dyDescent="0.2">
      <c r="A5412" s="117">
        <v>40109</v>
      </c>
      <c r="B5412" s="116">
        <f t="shared" si="84"/>
        <v>104</v>
      </c>
    </row>
    <row r="5413" spans="1:2" x14ac:dyDescent="0.2">
      <c r="A5413" s="117">
        <v>40110</v>
      </c>
      <c r="B5413" s="116">
        <f t="shared" si="84"/>
        <v>104</v>
      </c>
    </row>
    <row r="5414" spans="1:2" x14ac:dyDescent="0.2">
      <c r="A5414" s="117">
        <v>40111</v>
      </c>
      <c r="B5414" s="116">
        <f t="shared" si="84"/>
        <v>105</v>
      </c>
    </row>
    <row r="5415" spans="1:2" x14ac:dyDescent="0.2">
      <c r="A5415" s="117">
        <v>40112</v>
      </c>
      <c r="B5415" s="116">
        <f t="shared" si="84"/>
        <v>105</v>
      </c>
    </row>
    <row r="5416" spans="1:2" x14ac:dyDescent="0.2">
      <c r="A5416" s="117">
        <v>40113</v>
      </c>
      <c r="B5416" s="116">
        <f t="shared" si="84"/>
        <v>105</v>
      </c>
    </row>
    <row r="5417" spans="1:2" x14ac:dyDescent="0.2">
      <c r="A5417" s="117">
        <v>40114</v>
      </c>
      <c r="B5417" s="116">
        <f t="shared" si="84"/>
        <v>105</v>
      </c>
    </row>
    <row r="5418" spans="1:2" x14ac:dyDescent="0.2">
      <c r="A5418" s="117">
        <v>40115</v>
      </c>
      <c r="B5418" s="116">
        <f t="shared" si="84"/>
        <v>105</v>
      </c>
    </row>
    <row r="5419" spans="1:2" x14ac:dyDescent="0.2">
      <c r="A5419" s="117">
        <v>40116</v>
      </c>
      <c r="B5419" s="116">
        <f t="shared" si="84"/>
        <v>105</v>
      </c>
    </row>
    <row r="5420" spans="1:2" x14ac:dyDescent="0.2">
      <c r="A5420" s="117">
        <v>40117</v>
      </c>
      <c r="B5420" s="116">
        <f t="shared" si="84"/>
        <v>105</v>
      </c>
    </row>
    <row r="5421" spans="1:2" x14ac:dyDescent="0.2">
      <c r="A5421" s="117">
        <v>40118</v>
      </c>
      <c r="B5421" s="116">
        <f t="shared" si="84"/>
        <v>111</v>
      </c>
    </row>
    <row r="5422" spans="1:2" x14ac:dyDescent="0.2">
      <c r="A5422" s="117">
        <v>40119</v>
      </c>
      <c r="B5422" s="116">
        <f t="shared" si="84"/>
        <v>111</v>
      </c>
    </row>
    <row r="5423" spans="1:2" x14ac:dyDescent="0.2">
      <c r="A5423" s="117">
        <v>40120</v>
      </c>
      <c r="B5423" s="116">
        <f t="shared" si="84"/>
        <v>111</v>
      </c>
    </row>
    <row r="5424" spans="1:2" x14ac:dyDescent="0.2">
      <c r="A5424" s="117">
        <v>40121</v>
      </c>
      <c r="B5424" s="116">
        <f t="shared" si="84"/>
        <v>111</v>
      </c>
    </row>
    <row r="5425" spans="1:2" x14ac:dyDescent="0.2">
      <c r="A5425" s="117">
        <v>40122</v>
      </c>
      <c r="B5425" s="116">
        <f t="shared" si="84"/>
        <v>111</v>
      </c>
    </row>
    <row r="5426" spans="1:2" x14ac:dyDescent="0.2">
      <c r="A5426" s="117">
        <v>40123</v>
      </c>
      <c r="B5426" s="116">
        <f t="shared" si="84"/>
        <v>111</v>
      </c>
    </row>
    <row r="5427" spans="1:2" x14ac:dyDescent="0.2">
      <c r="A5427" s="117">
        <v>40124</v>
      </c>
      <c r="B5427" s="116">
        <f t="shared" si="84"/>
        <v>111</v>
      </c>
    </row>
    <row r="5428" spans="1:2" x14ac:dyDescent="0.2">
      <c r="A5428" s="117">
        <v>40125</v>
      </c>
      <c r="B5428" s="116">
        <f t="shared" si="84"/>
        <v>112</v>
      </c>
    </row>
    <row r="5429" spans="1:2" x14ac:dyDescent="0.2">
      <c r="A5429" s="117">
        <v>40126</v>
      </c>
      <c r="B5429" s="116">
        <f t="shared" si="84"/>
        <v>112</v>
      </c>
    </row>
    <row r="5430" spans="1:2" x14ac:dyDescent="0.2">
      <c r="A5430" s="117">
        <v>40127</v>
      </c>
      <c r="B5430" s="116">
        <f t="shared" si="84"/>
        <v>112</v>
      </c>
    </row>
    <row r="5431" spans="1:2" x14ac:dyDescent="0.2">
      <c r="A5431" s="117">
        <v>40128</v>
      </c>
      <c r="B5431" s="116">
        <f t="shared" si="84"/>
        <v>112</v>
      </c>
    </row>
    <row r="5432" spans="1:2" x14ac:dyDescent="0.2">
      <c r="A5432" s="117">
        <v>40129</v>
      </c>
      <c r="B5432" s="116">
        <f t="shared" si="84"/>
        <v>112</v>
      </c>
    </row>
    <row r="5433" spans="1:2" x14ac:dyDescent="0.2">
      <c r="A5433" s="117">
        <v>40130</v>
      </c>
      <c r="B5433" s="116">
        <f t="shared" si="84"/>
        <v>112</v>
      </c>
    </row>
    <row r="5434" spans="1:2" x14ac:dyDescent="0.2">
      <c r="A5434" s="117">
        <v>40131</v>
      </c>
      <c r="B5434" s="116">
        <f t="shared" si="84"/>
        <v>112</v>
      </c>
    </row>
    <row r="5435" spans="1:2" x14ac:dyDescent="0.2">
      <c r="A5435" s="117">
        <v>40132</v>
      </c>
      <c r="B5435" s="116">
        <f t="shared" si="84"/>
        <v>113</v>
      </c>
    </row>
    <row r="5436" spans="1:2" x14ac:dyDescent="0.2">
      <c r="A5436" s="117">
        <v>40133</v>
      </c>
      <c r="B5436" s="116">
        <f t="shared" si="84"/>
        <v>113</v>
      </c>
    </row>
    <row r="5437" spans="1:2" x14ac:dyDescent="0.2">
      <c r="A5437" s="117">
        <v>40134</v>
      </c>
      <c r="B5437" s="116">
        <f t="shared" si="84"/>
        <v>113</v>
      </c>
    </row>
    <row r="5438" spans="1:2" x14ac:dyDescent="0.2">
      <c r="A5438" s="117">
        <v>40135</v>
      </c>
      <c r="B5438" s="116">
        <f t="shared" si="84"/>
        <v>113</v>
      </c>
    </row>
    <row r="5439" spans="1:2" x14ac:dyDescent="0.2">
      <c r="A5439" s="117">
        <v>40136</v>
      </c>
      <c r="B5439" s="116">
        <f t="shared" si="84"/>
        <v>113</v>
      </c>
    </row>
    <row r="5440" spans="1:2" x14ac:dyDescent="0.2">
      <c r="A5440" s="117">
        <v>40137</v>
      </c>
      <c r="B5440" s="116">
        <f t="shared" si="84"/>
        <v>113</v>
      </c>
    </row>
    <row r="5441" spans="1:2" x14ac:dyDescent="0.2">
      <c r="A5441" s="117">
        <v>40138</v>
      </c>
      <c r="B5441" s="116">
        <f t="shared" si="84"/>
        <v>113</v>
      </c>
    </row>
    <row r="5442" spans="1:2" x14ac:dyDescent="0.2">
      <c r="A5442" s="117">
        <v>40139</v>
      </c>
      <c r="B5442" s="116">
        <f t="shared" si="84"/>
        <v>114</v>
      </c>
    </row>
    <row r="5443" spans="1:2" x14ac:dyDescent="0.2">
      <c r="A5443" s="117">
        <v>40140</v>
      </c>
      <c r="B5443" s="116">
        <f t="shared" si="84"/>
        <v>114</v>
      </c>
    </row>
    <row r="5444" spans="1:2" x14ac:dyDescent="0.2">
      <c r="A5444" s="117">
        <v>40141</v>
      </c>
      <c r="B5444" s="116">
        <f t="shared" ref="B5444:B5507" si="85">VLOOKUP(WEEKNUM(A5444),$D$4:$E$59,2)</f>
        <v>114</v>
      </c>
    </row>
    <row r="5445" spans="1:2" x14ac:dyDescent="0.2">
      <c r="A5445" s="117">
        <v>40142</v>
      </c>
      <c r="B5445" s="116">
        <f t="shared" si="85"/>
        <v>114</v>
      </c>
    </row>
    <row r="5446" spans="1:2" x14ac:dyDescent="0.2">
      <c r="A5446" s="117">
        <v>40143</v>
      </c>
      <c r="B5446" s="116">
        <f t="shared" si="85"/>
        <v>114</v>
      </c>
    </row>
    <row r="5447" spans="1:2" x14ac:dyDescent="0.2">
      <c r="A5447" s="117">
        <v>40144</v>
      </c>
      <c r="B5447" s="116">
        <f t="shared" si="85"/>
        <v>114</v>
      </c>
    </row>
    <row r="5448" spans="1:2" x14ac:dyDescent="0.2">
      <c r="A5448" s="117">
        <v>40145</v>
      </c>
      <c r="B5448" s="116">
        <f t="shared" si="85"/>
        <v>114</v>
      </c>
    </row>
    <row r="5449" spans="1:2" x14ac:dyDescent="0.2">
      <c r="A5449" s="117">
        <v>40146</v>
      </c>
      <c r="B5449" s="116">
        <f t="shared" si="85"/>
        <v>115</v>
      </c>
    </row>
    <row r="5450" spans="1:2" x14ac:dyDescent="0.2">
      <c r="A5450" s="117">
        <v>40147</v>
      </c>
      <c r="B5450" s="116">
        <f t="shared" si="85"/>
        <v>115</v>
      </c>
    </row>
    <row r="5451" spans="1:2" x14ac:dyDescent="0.2">
      <c r="A5451" s="117">
        <v>40148</v>
      </c>
      <c r="B5451" s="116">
        <f t="shared" si="85"/>
        <v>115</v>
      </c>
    </row>
    <row r="5452" spans="1:2" x14ac:dyDescent="0.2">
      <c r="A5452" s="117">
        <v>40149</v>
      </c>
      <c r="B5452" s="116">
        <f t="shared" si="85"/>
        <v>115</v>
      </c>
    </row>
    <row r="5453" spans="1:2" x14ac:dyDescent="0.2">
      <c r="A5453" s="117">
        <v>40150</v>
      </c>
      <c r="B5453" s="116">
        <f t="shared" si="85"/>
        <v>115</v>
      </c>
    </row>
    <row r="5454" spans="1:2" x14ac:dyDescent="0.2">
      <c r="A5454" s="117">
        <v>40151</v>
      </c>
      <c r="B5454" s="116">
        <f t="shared" si="85"/>
        <v>115</v>
      </c>
    </row>
    <row r="5455" spans="1:2" x14ac:dyDescent="0.2">
      <c r="A5455" s="117">
        <v>40152</v>
      </c>
      <c r="B5455" s="116">
        <f t="shared" si="85"/>
        <v>115</v>
      </c>
    </row>
    <row r="5456" spans="1:2" x14ac:dyDescent="0.2">
      <c r="A5456" s="117">
        <v>40153</v>
      </c>
      <c r="B5456" s="116">
        <f t="shared" si="85"/>
        <v>121</v>
      </c>
    </row>
    <row r="5457" spans="1:2" x14ac:dyDescent="0.2">
      <c r="A5457" s="117">
        <v>40154</v>
      </c>
      <c r="B5457" s="116">
        <f t="shared" si="85"/>
        <v>121</v>
      </c>
    </row>
    <row r="5458" spans="1:2" x14ac:dyDescent="0.2">
      <c r="A5458" s="117">
        <v>40155</v>
      </c>
      <c r="B5458" s="116">
        <f t="shared" si="85"/>
        <v>121</v>
      </c>
    </row>
    <row r="5459" spans="1:2" x14ac:dyDescent="0.2">
      <c r="A5459" s="117">
        <v>40156</v>
      </c>
      <c r="B5459" s="116">
        <f t="shared" si="85"/>
        <v>121</v>
      </c>
    </row>
    <row r="5460" spans="1:2" x14ac:dyDescent="0.2">
      <c r="A5460" s="117">
        <v>40157</v>
      </c>
      <c r="B5460" s="116">
        <f t="shared" si="85"/>
        <v>121</v>
      </c>
    </row>
    <row r="5461" spans="1:2" x14ac:dyDescent="0.2">
      <c r="A5461" s="117">
        <v>40158</v>
      </c>
      <c r="B5461" s="116">
        <f t="shared" si="85"/>
        <v>121</v>
      </c>
    </row>
    <row r="5462" spans="1:2" x14ac:dyDescent="0.2">
      <c r="A5462" s="117">
        <v>40159</v>
      </c>
      <c r="B5462" s="116">
        <f t="shared" si="85"/>
        <v>121</v>
      </c>
    </row>
    <row r="5463" spans="1:2" x14ac:dyDescent="0.2">
      <c r="A5463" s="117">
        <v>40160</v>
      </c>
      <c r="B5463" s="116">
        <f t="shared" si="85"/>
        <v>122</v>
      </c>
    </row>
    <row r="5464" spans="1:2" x14ac:dyDescent="0.2">
      <c r="A5464" s="117">
        <v>40161</v>
      </c>
      <c r="B5464" s="116">
        <f t="shared" si="85"/>
        <v>122</v>
      </c>
    </row>
    <row r="5465" spans="1:2" x14ac:dyDescent="0.2">
      <c r="A5465" s="117">
        <v>40162</v>
      </c>
      <c r="B5465" s="116">
        <f t="shared" si="85"/>
        <v>122</v>
      </c>
    </row>
    <row r="5466" spans="1:2" x14ac:dyDescent="0.2">
      <c r="A5466" s="117">
        <v>40163</v>
      </c>
      <c r="B5466" s="116">
        <f t="shared" si="85"/>
        <v>122</v>
      </c>
    </row>
    <row r="5467" spans="1:2" x14ac:dyDescent="0.2">
      <c r="A5467" s="117">
        <v>40164</v>
      </c>
      <c r="B5467" s="116">
        <f t="shared" si="85"/>
        <v>122</v>
      </c>
    </row>
    <row r="5468" spans="1:2" x14ac:dyDescent="0.2">
      <c r="A5468" s="117">
        <v>40165</v>
      </c>
      <c r="B5468" s="116">
        <f t="shared" si="85"/>
        <v>122</v>
      </c>
    </row>
    <row r="5469" spans="1:2" x14ac:dyDescent="0.2">
      <c r="A5469" s="117">
        <v>40166</v>
      </c>
      <c r="B5469" s="116">
        <f t="shared" si="85"/>
        <v>122</v>
      </c>
    </row>
    <row r="5470" spans="1:2" x14ac:dyDescent="0.2">
      <c r="A5470" s="117">
        <v>40167</v>
      </c>
      <c r="B5470" s="116">
        <f t="shared" si="85"/>
        <v>123</v>
      </c>
    </row>
    <row r="5471" spans="1:2" x14ac:dyDescent="0.2">
      <c r="A5471" s="117">
        <v>40168</v>
      </c>
      <c r="B5471" s="116">
        <f t="shared" si="85"/>
        <v>123</v>
      </c>
    </row>
    <row r="5472" spans="1:2" x14ac:dyDescent="0.2">
      <c r="A5472" s="117">
        <v>40169</v>
      </c>
      <c r="B5472" s="116">
        <f t="shared" si="85"/>
        <v>123</v>
      </c>
    </row>
    <row r="5473" spans="1:2" x14ac:dyDescent="0.2">
      <c r="A5473" s="117">
        <v>40170</v>
      </c>
      <c r="B5473" s="116">
        <f t="shared" si="85"/>
        <v>123</v>
      </c>
    </row>
    <row r="5474" spans="1:2" x14ac:dyDescent="0.2">
      <c r="A5474" s="117">
        <v>40171</v>
      </c>
      <c r="B5474" s="116">
        <f t="shared" si="85"/>
        <v>123</v>
      </c>
    </row>
    <row r="5475" spans="1:2" x14ac:dyDescent="0.2">
      <c r="A5475" s="117">
        <v>40172</v>
      </c>
      <c r="B5475" s="116">
        <f t="shared" si="85"/>
        <v>123</v>
      </c>
    </row>
    <row r="5476" spans="1:2" x14ac:dyDescent="0.2">
      <c r="A5476" s="117">
        <v>40173</v>
      </c>
      <c r="B5476" s="116">
        <f t="shared" si="85"/>
        <v>123</v>
      </c>
    </row>
    <row r="5477" spans="1:2" x14ac:dyDescent="0.2">
      <c r="A5477" s="117">
        <v>40174</v>
      </c>
      <c r="B5477" s="116">
        <f t="shared" si="85"/>
        <v>124</v>
      </c>
    </row>
    <row r="5478" spans="1:2" x14ac:dyDescent="0.2">
      <c r="A5478" s="117">
        <v>40175</v>
      </c>
      <c r="B5478" s="116">
        <f t="shared" si="85"/>
        <v>124</v>
      </c>
    </row>
    <row r="5479" spans="1:2" x14ac:dyDescent="0.2">
      <c r="A5479" s="117">
        <v>40176</v>
      </c>
      <c r="B5479" s="116">
        <f t="shared" si="85"/>
        <v>124</v>
      </c>
    </row>
    <row r="5480" spans="1:2" x14ac:dyDescent="0.2">
      <c r="A5480" s="117">
        <v>40177</v>
      </c>
      <c r="B5480" s="116">
        <f t="shared" si="85"/>
        <v>124</v>
      </c>
    </row>
    <row r="5481" spans="1:2" x14ac:dyDescent="0.2">
      <c r="A5481" s="117">
        <v>40178</v>
      </c>
      <c r="B5481" s="116">
        <f t="shared" si="85"/>
        <v>124</v>
      </c>
    </row>
    <row r="5482" spans="1:2" x14ac:dyDescent="0.2">
      <c r="A5482" s="117">
        <v>40179</v>
      </c>
      <c r="B5482" s="116">
        <f t="shared" si="85"/>
        <v>11</v>
      </c>
    </row>
    <row r="5483" spans="1:2" x14ac:dyDescent="0.2">
      <c r="A5483" s="117">
        <v>40180</v>
      </c>
      <c r="B5483" s="116">
        <f t="shared" si="85"/>
        <v>11</v>
      </c>
    </row>
    <row r="5484" spans="1:2" x14ac:dyDescent="0.2">
      <c r="A5484" s="117">
        <v>40181</v>
      </c>
      <c r="B5484" s="116">
        <f t="shared" si="85"/>
        <v>12</v>
      </c>
    </row>
    <row r="5485" spans="1:2" x14ac:dyDescent="0.2">
      <c r="A5485" s="117">
        <v>40182</v>
      </c>
      <c r="B5485" s="116">
        <f t="shared" si="85"/>
        <v>12</v>
      </c>
    </row>
    <row r="5486" spans="1:2" x14ac:dyDescent="0.2">
      <c r="A5486" s="117">
        <v>40183</v>
      </c>
      <c r="B5486" s="116">
        <f t="shared" si="85"/>
        <v>12</v>
      </c>
    </row>
    <row r="5487" spans="1:2" x14ac:dyDescent="0.2">
      <c r="A5487" s="117">
        <v>40184</v>
      </c>
      <c r="B5487" s="116">
        <f t="shared" si="85"/>
        <v>12</v>
      </c>
    </row>
    <row r="5488" spans="1:2" x14ac:dyDescent="0.2">
      <c r="A5488" s="117">
        <v>40185</v>
      </c>
      <c r="B5488" s="116">
        <f t="shared" si="85"/>
        <v>12</v>
      </c>
    </row>
    <row r="5489" spans="1:2" x14ac:dyDescent="0.2">
      <c r="A5489" s="117">
        <v>40186</v>
      </c>
      <c r="B5489" s="116">
        <f t="shared" si="85"/>
        <v>12</v>
      </c>
    </row>
    <row r="5490" spans="1:2" x14ac:dyDescent="0.2">
      <c r="A5490" s="117">
        <v>40187</v>
      </c>
      <c r="B5490" s="116">
        <f t="shared" si="85"/>
        <v>12</v>
      </c>
    </row>
    <row r="5491" spans="1:2" x14ac:dyDescent="0.2">
      <c r="A5491" s="117">
        <v>40188</v>
      </c>
      <c r="B5491" s="116">
        <f t="shared" si="85"/>
        <v>13</v>
      </c>
    </row>
    <row r="5492" spans="1:2" x14ac:dyDescent="0.2">
      <c r="A5492" s="117">
        <v>40189</v>
      </c>
      <c r="B5492" s="116">
        <f t="shared" si="85"/>
        <v>13</v>
      </c>
    </row>
    <row r="5493" spans="1:2" x14ac:dyDescent="0.2">
      <c r="A5493" s="117">
        <v>40190</v>
      </c>
      <c r="B5493" s="116">
        <f t="shared" si="85"/>
        <v>13</v>
      </c>
    </row>
    <row r="5494" spans="1:2" x14ac:dyDescent="0.2">
      <c r="A5494" s="117">
        <v>40191</v>
      </c>
      <c r="B5494" s="116">
        <f t="shared" si="85"/>
        <v>13</v>
      </c>
    </row>
    <row r="5495" spans="1:2" x14ac:dyDescent="0.2">
      <c r="A5495" s="117">
        <v>40192</v>
      </c>
      <c r="B5495" s="116">
        <f t="shared" si="85"/>
        <v>13</v>
      </c>
    </row>
    <row r="5496" spans="1:2" x14ac:dyDescent="0.2">
      <c r="A5496" s="117">
        <v>40193</v>
      </c>
      <c r="B5496" s="116">
        <f t="shared" si="85"/>
        <v>13</v>
      </c>
    </row>
    <row r="5497" spans="1:2" x14ac:dyDescent="0.2">
      <c r="A5497" s="117">
        <v>40194</v>
      </c>
      <c r="B5497" s="116">
        <f t="shared" si="85"/>
        <v>13</v>
      </c>
    </row>
    <row r="5498" spans="1:2" x14ac:dyDescent="0.2">
      <c r="A5498" s="117">
        <v>40195</v>
      </c>
      <c r="B5498" s="116">
        <f t="shared" si="85"/>
        <v>14</v>
      </c>
    </row>
    <row r="5499" spans="1:2" x14ac:dyDescent="0.2">
      <c r="A5499" s="117">
        <v>40196</v>
      </c>
      <c r="B5499" s="116">
        <f t="shared" si="85"/>
        <v>14</v>
      </c>
    </row>
    <row r="5500" spans="1:2" x14ac:dyDescent="0.2">
      <c r="A5500" s="117">
        <v>40197</v>
      </c>
      <c r="B5500" s="116">
        <f t="shared" si="85"/>
        <v>14</v>
      </c>
    </row>
    <row r="5501" spans="1:2" x14ac:dyDescent="0.2">
      <c r="A5501" s="117">
        <v>40198</v>
      </c>
      <c r="B5501" s="116">
        <f t="shared" si="85"/>
        <v>14</v>
      </c>
    </row>
    <row r="5502" spans="1:2" x14ac:dyDescent="0.2">
      <c r="A5502" s="117">
        <v>40199</v>
      </c>
      <c r="B5502" s="116">
        <f t="shared" si="85"/>
        <v>14</v>
      </c>
    </row>
    <row r="5503" spans="1:2" x14ac:dyDescent="0.2">
      <c r="A5503" s="117">
        <v>40200</v>
      </c>
      <c r="B5503" s="116">
        <f t="shared" si="85"/>
        <v>14</v>
      </c>
    </row>
    <row r="5504" spans="1:2" x14ac:dyDescent="0.2">
      <c r="A5504" s="117">
        <v>40201</v>
      </c>
      <c r="B5504" s="116">
        <f t="shared" si="85"/>
        <v>14</v>
      </c>
    </row>
    <row r="5505" spans="1:2" x14ac:dyDescent="0.2">
      <c r="A5505" s="117">
        <v>40202</v>
      </c>
      <c r="B5505" s="116">
        <f t="shared" si="85"/>
        <v>15</v>
      </c>
    </row>
    <row r="5506" spans="1:2" x14ac:dyDescent="0.2">
      <c r="A5506" s="117">
        <v>40203</v>
      </c>
      <c r="B5506" s="116">
        <f t="shared" si="85"/>
        <v>15</v>
      </c>
    </row>
    <row r="5507" spans="1:2" x14ac:dyDescent="0.2">
      <c r="A5507" s="117">
        <v>40204</v>
      </c>
      <c r="B5507" s="116">
        <f t="shared" si="85"/>
        <v>15</v>
      </c>
    </row>
    <row r="5508" spans="1:2" x14ac:dyDescent="0.2">
      <c r="A5508" s="117">
        <v>40205</v>
      </c>
      <c r="B5508" s="116">
        <f t="shared" ref="B5508:B5571" si="86">VLOOKUP(WEEKNUM(A5508),$D$4:$E$59,2)</f>
        <v>15</v>
      </c>
    </row>
    <row r="5509" spans="1:2" x14ac:dyDescent="0.2">
      <c r="A5509" s="117">
        <v>40206</v>
      </c>
      <c r="B5509" s="116">
        <f t="shared" si="86"/>
        <v>15</v>
      </c>
    </row>
    <row r="5510" spans="1:2" x14ac:dyDescent="0.2">
      <c r="A5510" s="117">
        <v>40207</v>
      </c>
      <c r="B5510" s="116">
        <f t="shared" si="86"/>
        <v>15</v>
      </c>
    </row>
    <row r="5511" spans="1:2" x14ac:dyDescent="0.2">
      <c r="A5511" s="117">
        <v>40208</v>
      </c>
      <c r="B5511" s="116">
        <f t="shared" si="86"/>
        <v>15</v>
      </c>
    </row>
    <row r="5512" spans="1:2" x14ac:dyDescent="0.2">
      <c r="A5512" s="117">
        <v>40209</v>
      </c>
      <c r="B5512" s="116">
        <f t="shared" si="86"/>
        <v>21</v>
      </c>
    </row>
    <row r="5513" spans="1:2" x14ac:dyDescent="0.2">
      <c r="A5513" s="117">
        <v>40210</v>
      </c>
      <c r="B5513" s="116">
        <f t="shared" si="86"/>
        <v>21</v>
      </c>
    </row>
    <row r="5514" spans="1:2" x14ac:dyDescent="0.2">
      <c r="A5514" s="117">
        <v>40211</v>
      </c>
      <c r="B5514" s="116">
        <f t="shared" si="86"/>
        <v>21</v>
      </c>
    </row>
    <row r="5515" spans="1:2" x14ac:dyDescent="0.2">
      <c r="A5515" s="117">
        <v>40212</v>
      </c>
      <c r="B5515" s="116">
        <f t="shared" si="86"/>
        <v>21</v>
      </c>
    </row>
    <row r="5516" spans="1:2" x14ac:dyDescent="0.2">
      <c r="A5516" s="117">
        <v>40213</v>
      </c>
      <c r="B5516" s="116">
        <f t="shared" si="86"/>
        <v>21</v>
      </c>
    </row>
    <row r="5517" spans="1:2" x14ac:dyDescent="0.2">
      <c r="A5517" s="117">
        <v>40214</v>
      </c>
      <c r="B5517" s="116">
        <f t="shared" si="86"/>
        <v>21</v>
      </c>
    </row>
    <row r="5518" spans="1:2" x14ac:dyDescent="0.2">
      <c r="A5518" s="117">
        <v>40215</v>
      </c>
      <c r="B5518" s="116">
        <f t="shared" si="86"/>
        <v>21</v>
      </c>
    </row>
    <row r="5519" spans="1:2" x14ac:dyDescent="0.2">
      <c r="A5519" s="117">
        <v>40216</v>
      </c>
      <c r="B5519" s="116">
        <f t="shared" si="86"/>
        <v>22</v>
      </c>
    </row>
    <row r="5520" spans="1:2" x14ac:dyDescent="0.2">
      <c r="A5520" s="117">
        <v>40217</v>
      </c>
      <c r="B5520" s="116">
        <f t="shared" si="86"/>
        <v>22</v>
      </c>
    </row>
    <row r="5521" spans="1:2" x14ac:dyDescent="0.2">
      <c r="A5521" s="117">
        <v>40218</v>
      </c>
      <c r="B5521" s="116">
        <f t="shared" si="86"/>
        <v>22</v>
      </c>
    </row>
    <row r="5522" spans="1:2" x14ac:dyDescent="0.2">
      <c r="A5522" s="117">
        <v>40219</v>
      </c>
      <c r="B5522" s="116">
        <f t="shared" si="86"/>
        <v>22</v>
      </c>
    </row>
    <row r="5523" spans="1:2" x14ac:dyDescent="0.2">
      <c r="A5523" s="117">
        <v>40220</v>
      </c>
      <c r="B5523" s="116">
        <f t="shared" si="86"/>
        <v>22</v>
      </c>
    </row>
    <row r="5524" spans="1:2" x14ac:dyDescent="0.2">
      <c r="A5524" s="117">
        <v>40221</v>
      </c>
      <c r="B5524" s="116">
        <f t="shared" si="86"/>
        <v>22</v>
      </c>
    </row>
    <row r="5525" spans="1:2" x14ac:dyDescent="0.2">
      <c r="A5525" s="117">
        <v>40222</v>
      </c>
      <c r="B5525" s="116">
        <f t="shared" si="86"/>
        <v>22</v>
      </c>
    </row>
    <row r="5526" spans="1:2" x14ac:dyDescent="0.2">
      <c r="A5526" s="117">
        <v>40223</v>
      </c>
      <c r="B5526" s="116">
        <f t="shared" si="86"/>
        <v>23</v>
      </c>
    </row>
    <row r="5527" spans="1:2" x14ac:dyDescent="0.2">
      <c r="A5527" s="117">
        <v>40224</v>
      </c>
      <c r="B5527" s="116">
        <f t="shared" si="86"/>
        <v>23</v>
      </c>
    </row>
    <row r="5528" spans="1:2" x14ac:dyDescent="0.2">
      <c r="A5528" s="117">
        <v>40225</v>
      </c>
      <c r="B5528" s="116">
        <f t="shared" si="86"/>
        <v>23</v>
      </c>
    </row>
    <row r="5529" spans="1:2" x14ac:dyDescent="0.2">
      <c r="A5529" s="117">
        <v>40226</v>
      </c>
      <c r="B5529" s="116">
        <f t="shared" si="86"/>
        <v>23</v>
      </c>
    </row>
    <row r="5530" spans="1:2" x14ac:dyDescent="0.2">
      <c r="A5530" s="117">
        <v>40227</v>
      </c>
      <c r="B5530" s="116">
        <f t="shared" si="86"/>
        <v>23</v>
      </c>
    </row>
    <row r="5531" spans="1:2" x14ac:dyDescent="0.2">
      <c r="A5531" s="117">
        <v>40228</v>
      </c>
      <c r="B5531" s="116">
        <f t="shared" si="86"/>
        <v>23</v>
      </c>
    </row>
    <row r="5532" spans="1:2" x14ac:dyDescent="0.2">
      <c r="A5532" s="117">
        <v>40229</v>
      </c>
      <c r="B5532" s="116">
        <f t="shared" si="86"/>
        <v>23</v>
      </c>
    </row>
    <row r="5533" spans="1:2" x14ac:dyDescent="0.2">
      <c r="A5533" s="117">
        <v>40230</v>
      </c>
      <c r="B5533" s="116">
        <f t="shared" si="86"/>
        <v>24</v>
      </c>
    </row>
    <row r="5534" spans="1:2" x14ac:dyDescent="0.2">
      <c r="A5534" s="117">
        <v>40231</v>
      </c>
      <c r="B5534" s="116">
        <f t="shared" si="86"/>
        <v>24</v>
      </c>
    </row>
    <row r="5535" spans="1:2" x14ac:dyDescent="0.2">
      <c r="A5535" s="117">
        <v>40232</v>
      </c>
      <c r="B5535" s="116">
        <f t="shared" si="86"/>
        <v>24</v>
      </c>
    </row>
    <row r="5536" spans="1:2" x14ac:dyDescent="0.2">
      <c r="A5536" s="117">
        <v>40233</v>
      </c>
      <c r="B5536" s="116">
        <f t="shared" si="86"/>
        <v>24</v>
      </c>
    </row>
    <row r="5537" spans="1:2" x14ac:dyDescent="0.2">
      <c r="A5537" s="117">
        <v>40234</v>
      </c>
      <c r="B5537" s="116">
        <f t="shared" si="86"/>
        <v>24</v>
      </c>
    </row>
    <row r="5538" spans="1:2" x14ac:dyDescent="0.2">
      <c r="A5538" s="117">
        <v>40235</v>
      </c>
      <c r="B5538" s="116">
        <f t="shared" si="86"/>
        <v>24</v>
      </c>
    </row>
    <row r="5539" spans="1:2" x14ac:dyDescent="0.2">
      <c r="A5539" s="117">
        <v>40236</v>
      </c>
      <c r="B5539" s="116">
        <f t="shared" si="86"/>
        <v>24</v>
      </c>
    </row>
    <row r="5540" spans="1:2" x14ac:dyDescent="0.2">
      <c r="A5540" s="117">
        <v>40237</v>
      </c>
      <c r="B5540" s="116">
        <f t="shared" si="86"/>
        <v>31</v>
      </c>
    </row>
    <row r="5541" spans="1:2" x14ac:dyDescent="0.2">
      <c r="A5541" s="117">
        <v>40238</v>
      </c>
      <c r="B5541" s="116">
        <f t="shared" si="86"/>
        <v>31</v>
      </c>
    </row>
    <row r="5542" spans="1:2" x14ac:dyDescent="0.2">
      <c r="A5542" s="117">
        <v>40239</v>
      </c>
      <c r="B5542" s="116">
        <f t="shared" si="86"/>
        <v>31</v>
      </c>
    </row>
    <row r="5543" spans="1:2" x14ac:dyDescent="0.2">
      <c r="A5543" s="117">
        <v>40240</v>
      </c>
      <c r="B5543" s="116">
        <f t="shared" si="86"/>
        <v>31</v>
      </c>
    </row>
    <row r="5544" spans="1:2" x14ac:dyDescent="0.2">
      <c r="A5544" s="117">
        <v>40241</v>
      </c>
      <c r="B5544" s="116">
        <f t="shared" si="86"/>
        <v>31</v>
      </c>
    </row>
    <row r="5545" spans="1:2" x14ac:dyDescent="0.2">
      <c r="A5545" s="117">
        <v>40242</v>
      </c>
      <c r="B5545" s="116">
        <f t="shared" si="86"/>
        <v>31</v>
      </c>
    </row>
    <row r="5546" spans="1:2" x14ac:dyDescent="0.2">
      <c r="A5546" s="117">
        <v>40243</v>
      </c>
      <c r="B5546" s="116">
        <f t="shared" si="86"/>
        <v>31</v>
      </c>
    </row>
    <row r="5547" spans="1:2" x14ac:dyDescent="0.2">
      <c r="A5547" s="117">
        <v>40244</v>
      </c>
      <c r="B5547" s="116">
        <f t="shared" si="86"/>
        <v>32</v>
      </c>
    </row>
    <row r="5548" spans="1:2" x14ac:dyDescent="0.2">
      <c r="A5548" s="117">
        <v>40245</v>
      </c>
      <c r="B5548" s="116">
        <f t="shared" si="86"/>
        <v>32</v>
      </c>
    </row>
    <row r="5549" spans="1:2" x14ac:dyDescent="0.2">
      <c r="A5549" s="117">
        <v>40246</v>
      </c>
      <c r="B5549" s="116">
        <f t="shared" si="86"/>
        <v>32</v>
      </c>
    </row>
    <row r="5550" spans="1:2" x14ac:dyDescent="0.2">
      <c r="A5550" s="117">
        <v>40247</v>
      </c>
      <c r="B5550" s="116">
        <f t="shared" si="86"/>
        <v>32</v>
      </c>
    </row>
    <row r="5551" spans="1:2" x14ac:dyDescent="0.2">
      <c r="A5551" s="117">
        <v>40248</v>
      </c>
      <c r="B5551" s="116">
        <f t="shared" si="86"/>
        <v>32</v>
      </c>
    </row>
    <row r="5552" spans="1:2" x14ac:dyDescent="0.2">
      <c r="A5552" s="117">
        <v>40249</v>
      </c>
      <c r="B5552" s="116">
        <f t="shared" si="86"/>
        <v>32</v>
      </c>
    </row>
    <row r="5553" spans="1:2" x14ac:dyDescent="0.2">
      <c r="A5553" s="117">
        <v>40250</v>
      </c>
      <c r="B5553" s="116">
        <f t="shared" si="86"/>
        <v>32</v>
      </c>
    </row>
    <row r="5554" spans="1:2" x14ac:dyDescent="0.2">
      <c r="A5554" s="117">
        <v>40251</v>
      </c>
      <c r="B5554" s="116">
        <f t="shared" si="86"/>
        <v>33</v>
      </c>
    </row>
    <row r="5555" spans="1:2" x14ac:dyDescent="0.2">
      <c r="A5555" s="117">
        <v>40252</v>
      </c>
      <c r="B5555" s="116">
        <f t="shared" si="86"/>
        <v>33</v>
      </c>
    </row>
    <row r="5556" spans="1:2" x14ac:dyDescent="0.2">
      <c r="A5556" s="117">
        <v>40253</v>
      </c>
      <c r="B5556" s="116">
        <f t="shared" si="86"/>
        <v>33</v>
      </c>
    </row>
    <row r="5557" spans="1:2" x14ac:dyDescent="0.2">
      <c r="A5557" s="117">
        <v>40254</v>
      </c>
      <c r="B5557" s="116">
        <f t="shared" si="86"/>
        <v>33</v>
      </c>
    </row>
    <row r="5558" spans="1:2" x14ac:dyDescent="0.2">
      <c r="A5558" s="117">
        <v>40255</v>
      </c>
      <c r="B5558" s="116">
        <f t="shared" si="86"/>
        <v>33</v>
      </c>
    </row>
    <row r="5559" spans="1:2" x14ac:dyDescent="0.2">
      <c r="A5559" s="117">
        <v>40256</v>
      </c>
      <c r="B5559" s="116">
        <f t="shared" si="86"/>
        <v>33</v>
      </c>
    </row>
    <row r="5560" spans="1:2" x14ac:dyDescent="0.2">
      <c r="A5560" s="117">
        <v>40257</v>
      </c>
      <c r="B5560" s="116">
        <f t="shared" si="86"/>
        <v>33</v>
      </c>
    </row>
    <row r="5561" spans="1:2" x14ac:dyDescent="0.2">
      <c r="A5561" s="117">
        <v>40258</v>
      </c>
      <c r="B5561" s="116">
        <f t="shared" si="86"/>
        <v>34</v>
      </c>
    </row>
    <row r="5562" spans="1:2" x14ac:dyDescent="0.2">
      <c r="A5562" s="117">
        <v>40259</v>
      </c>
      <c r="B5562" s="116">
        <f t="shared" si="86"/>
        <v>34</v>
      </c>
    </row>
    <row r="5563" spans="1:2" x14ac:dyDescent="0.2">
      <c r="A5563" s="117">
        <v>40260</v>
      </c>
      <c r="B5563" s="116">
        <f t="shared" si="86"/>
        <v>34</v>
      </c>
    </row>
    <row r="5564" spans="1:2" x14ac:dyDescent="0.2">
      <c r="A5564" s="117">
        <v>40261</v>
      </c>
      <c r="B5564" s="116">
        <f t="shared" si="86"/>
        <v>34</v>
      </c>
    </row>
    <row r="5565" spans="1:2" x14ac:dyDescent="0.2">
      <c r="A5565" s="117">
        <v>40262</v>
      </c>
      <c r="B5565" s="116">
        <f t="shared" si="86"/>
        <v>34</v>
      </c>
    </row>
    <row r="5566" spans="1:2" x14ac:dyDescent="0.2">
      <c r="A5566" s="117">
        <v>40263</v>
      </c>
      <c r="B5566" s="116">
        <f t="shared" si="86"/>
        <v>34</v>
      </c>
    </row>
    <row r="5567" spans="1:2" x14ac:dyDescent="0.2">
      <c r="A5567" s="117">
        <v>40264</v>
      </c>
      <c r="B5567" s="116">
        <f t="shared" si="86"/>
        <v>34</v>
      </c>
    </row>
    <row r="5568" spans="1:2" x14ac:dyDescent="0.2">
      <c r="A5568" s="117">
        <v>40265</v>
      </c>
      <c r="B5568" s="116">
        <f t="shared" si="86"/>
        <v>41</v>
      </c>
    </row>
    <row r="5569" spans="1:2" x14ac:dyDescent="0.2">
      <c r="A5569" s="117">
        <v>40266</v>
      </c>
      <c r="B5569" s="116">
        <f t="shared" si="86"/>
        <v>41</v>
      </c>
    </row>
    <row r="5570" spans="1:2" x14ac:dyDescent="0.2">
      <c r="A5570" s="117">
        <v>40267</v>
      </c>
      <c r="B5570" s="116">
        <f t="shared" si="86"/>
        <v>41</v>
      </c>
    </row>
    <row r="5571" spans="1:2" x14ac:dyDescent="0.2">
      <c r="A5571" s="117">
        <v>40268</v>
      </c>
      <c r="B5571" s="116">
        <f t="shared" si="86"/>
        <v>41</v>
      </c>
    </row>
    <row r="5572" spans="1:2" x14ac:dyDescent="0.2">
      <c r="A5572" s="117">
        <v>40269</v>
      </c>
      <c r="B5572" s="116">
        <f t="shared" ref="B5572:B5635" si="87">VLOOKUP(WEEKNUM(A5572),$D$4:$E$59,2)</f>
        <v>41</v>
      </c>
    </row>
    <row r="5573" spans="1:2" x14ac:dyDescent="0.2">
      <c r="A5573" s="117">
        <v>40270</v>
      </c>
      <c r="B5573" s="116">
        <f t="shared" si="87"/>
        <v>41</v>
      </c>
    </row>
    <row r="5574" spans="1:2" x14ac:dyDescent="0.2">
      <c r="A5574" s="117">
        <v>40271</v>
      </c>
      <c r="B5574" s="116">
        <f t="shared" si="87"/>
        <v>41</v>
      </c>
    </row>
    <row r="5575" spans="1:2" x14ac:dyDescent="0.2">
      <c r="A5575" s="117">
        <v>40272</v>
      </c>
      <c r="B5575" s="116">
        <f t="shared" si="87"/>
        <v>42</v>
      </c>
    </row>
    <row r="5576" spans="1:2" x14ac:dyDescent="0.2">
      <c r="A5576" s="117">
        <v>40273</v>
      </c>
      <c r="B5576" s="116">
        <f t="shared" si="87"/>
        <v>42</v>
      </c>
    </row>
    <row r="5577" spans="1:2" x14ac:dyDescent="0.2">
      <c r="A5577" s="117">
        <v>40274</v>
      </c>
      <c r="B5577" s="116">
        <f t="shared" si="87"/>
        <v>42</v>
      </c>
    </row>
    <row r="5578" spans="1:2" x14ac:dyDescent="0.2">
      <c r="A5578" s="117">
        <v>40275</v>
      </c>
      <c r="B5578" s="116">
        <f t="shared" si="87"/>
        <v>42</v>
      </c>
    </row>
    <row r="5579" spans="1:2" x14ac:dyDescent="0.2">
      <c r="A5579" s="117">
        <v>40276</v>
      </c>
      <c r="B5579" s="116">
        <f t="shared" si="87"/>
        <v>42</v>
      </c>
    </row>
    <row r="5580" spans="1:2" x14ac:dyDescent="0.2">
      <c r="A5580" s="117">
        <v>40277</v>
      </c>
      <c r="B5580" s="116">
        <f t="shared" si="87"/>
        <v>42</v>
      </c>
    </row>
    <row r="5581" spans="1:2" x14ac:dyDescent="0.2">
      <c r="A5581" s="117">
        <v>40278</v>
      </c>
      <c r="B5581" s="116">
        <f t="shared" si="87"/>
        <v>42</v>
      </c>
    </row>
    <row r="5582" spans="1:2" x14ac:dyDescent="0.2">
      <c r="A5582" s="117">
        <v>40279</v>
      </c>
      <c r="B5582" s="116">
        <f t="shared" si="87"/>
        <v>43</v>
      </c>
    </row>
    <row r="5583" spans="1:2" x14ac:dyDescent="0.2">
      <c r="A5583" s="117">
        <v>40280</v>
      </c>
      <c r="B5583" s="116">
        <f t="shared" si="87"/>
        <v>43</v>
      </c>
    </row>
    <row r="5584" spans="1:2" x14ac:dyDescent="0.2">
      <c r="A5584" s="117">
        <v>40281</v>
      </c>
      <c r="B5584" s="116">
        <f t="shared" si="87"/>
        <v>43</v>
      </c>
    </row>
    <row r="5585" spans="1:2" x14ac:dyDescent="0.2">
      <c r="A5585" s="117">
        <v>40282</v>
      </c>
      <c r="B5585" s="116">
        <f t="shared" si="87"/>
        <v>43</v>
      </c>
    </row>
    <row r="5586" spans="1:2" x14ac:dyDescent="0.2">
      <c r="A5586" s="117">
        <v>40283</v>
      </c>
      <c r="B5586" s="116">
        <f t="shared" si="87"/>
        <v>43</v>
      </c>
    </row>
    <row r="5587" spans="1:2" x14ac:dyDescent="0.2">
      <c r="A5587" s="117">
        <v>40284</v>
      </c>
      <c r="B5587" s="116">
        <f t="shared" si="87"/>
        <v>43</v>
      </c>
    </row>
    <row r="5588" spans="1:2" x14ac:dyDescent="0.2">
      <c r="A5588" s="117">
        <v>40285</v>
      </c>
      <c r="B5588" s="116">
        <f t="shared" si="87"/>
        <v>43</v>
      </c>
    </row>
    <row r="5589" spans="1:2" x14ac:dyDescent="0.2">
      <c r="A5589" s="117">
        <v>40286</v>
      </c>
      <c r="B5589" s="116">
        <f t="shared" si="87"/>
        <v>44</v>
      </c>
    </row>
    <row r="5590" spans="1:2" x14ac:dyDescent="0.2">
      <c r="A5590" s="117">
        <v>40287</v>
      </c>
      <c r="B5590" s="116">
        <f t="shared" si="87"/>
        <v>44</v>
      </c>
    </row>
    <row r="5591" spans="1:2" x14ac:dyDescent="0.2">
      <c r="A5591" s="117">
        <v>40288</v>
      </c>
      <c r="B5591" s="116">
        <f t="shared" si="87"/>
        <v>44</v>
      </c>
    </row>
    <row r="5592" spans="1:2" x14ac:dyDescent="0.2">
      <c r="A5592" s="117">
        <v>40289</v>
      </c>
      <c r="B5592" s="116">
        <f t="shared" si="87"/>
        <v>44</v>
      </c>
    </row>
    <row r="5593" spans="1:2" x14ac:dyDescent="0.2">
      <c r="A5593" s="117">
        <v>40290</v>
      </c>
      <c r="B5593" s="116">
        <f t="shared" si="87"/>
        <v>44</v>
      </c>
    </row>
    <row r="5594" spans="1:2" x14ac:dyDescent="0.2">
      <c r="A5594" s="117">
        <v>40291</v>
      </c>
      <c r="B5594" s="116">
        <f t="shared" si="87"/>
        <v>44</v>
      </c>
    </row>
    <row r="5595" spans="1:2" x14ac:dyDescent="0.2">
      <c r="A5595" s="117">
        <v>40292</v>
      </c>
      <c r="B5595" s="116">
        <f t="shared" si="87"/>
        <v>44</v>
      </c>
    </row>
    <row r="5596" spans="1:2" x14ac:dyDescent="0.2">
      <c r="A5596" s="117">
        <v>40293</v>
      </c>
      <c r="B5596" s="116">
        <f t="shared" si="87"/>
        <v>45</v>
      </c>
    </row>
    <row r="5597" spans="1:2" x14ac:dyDescent="0.2">
      <c r="A5597" s="117">
        <v>40294</v>
      </c>
      <c r="B5597" s="116">
        <f t="shared" si="87"/>
        <v>45</v>
      </c>
    </row>
    <row r="5598" spans="1:2" x14ac:dyDescent="0.2">
      <c r="A5598" s="117">
        <v>40295</v>
      </c>
      <c r="B5598" s="116">
        <f t="shared" si="87"/>
        <v>45</v>
      </c>
    </row>
    <row r="5599" spans="1:2" x14ac:dyDescent="0.2">
      <c r="A5599" s="117">
        <v>40296</v>
      </c>
      <c r="B5599" s="116">
        <f t="shared" si="87"/>
        <v>45</v>
      </c>
    </row>
    <row r="5600" spans="1:2" x14ac:dyDescent="0.2">
      <c r="A5600" s="117">
        <v>40297</v>
      </c>
      <c r="B5600" s="116">
        <f t="shared" si="87"/>
        <v>45</v>
      </c>
    </row>
    <row r="5601" spans="1:2" x14ac:dyDescent="0.2">
      <c r="A5601" s="117">
        <v>40298</v>
      </c>
      <c r="B5601" s="116">
        <f t="shared" si="87"/>
        <v>45</v>
      </c>
    </row>
    <row r="5602" spans="1:2" x14ac:dyDescent="0.2">
      <c r="A5602" s="117">
        <v>40299</v>
      </c>
      <c r="B5602" s="116">
        <f t="shared" si="87"/>
        <v>45</v>
      </c>
    </row>
    <row r="5603" spans="1:2" x14ac:dyDescent="0.2">
      <c r="A5603" s="117">
        <v>40300</v>
      </c>
      <c r="B5603" s="116">
        <f t="shared" si="87"/>
        <v>51</v>
      </c>
    </row>
    <row r="5604" spans="1:2" x14ac:dyDescent="0.2">
      <c r="A5604" s="117">
        <v>40301</v>
      </c>
      <c r="B5604" s="116">
        <f t="shared" si="87"/>
        <v>51</v>
      </c>
    </row>
    <row r="5605" spans="1:2" x14ac:dyDescent="0.2">
      <c r="A5605" s="117">
        <v>40302</v>
      </c>
      <c r="B5605" s="116">
        <f t="shared" si="87"/>
        <v>51</v>
      </c>
    </row>
    <row r="5606" spans="1:2" x14ac:dyDescent="0.2">
      <c r="A5606" s="117">
        <v>40303</v>
      </c>
      <c r="B5606" s="116">
        <f t="shared" si="87"/>
        <v>51</v>
      </c>
    </row>
    <row r="5607" spans="1:2" x14ac:dyDescent="0.2">
      <c r="A5607" s="117">
        <v>40304</v>
      </c>
      <c r="B5607" s="116">
        <f t="shared" si="87"/>
        <v>51</v>
      </c>
    </row>
    <row r="5608" spans="1:2" x14ac:dyDescent="0.2">
      <c r="A5608" s="117">
        <v>40305</v>
      </c>
      <c r="B5608" s="116">
        <f t="shared" si="87"/>
        <v>51</v>
      </c>
    </row>
    <row r="5609" spans="1:2" x14ac:dyDescent="0.2">
      <c r="A5609" s="117">
        <v>40306</v>
      </c>
      <c r="B5609" s="116">
        <f t="shared" si="87"/>
        <v>51</v>
      </c>
    </row>
    <row r="5610" spans="1:2" x14ac:dyDescent="0.2">
      <c r="A5610" s="117">
        <v>40307</v>
      </c>
      <c r="B5610" s="116">
        <f t="shared" si="87"/>
        <v>52</v>
      </c>
    </row>
    <row r="5611" spans="1:2" x14ac:dyDescent="0.2">
      <c r="A5611" s="117">
        <v>40308</v>
      </c>
      <c r="B5611" s="116">
        <f t="shared" si="87"/>
        <v>52</v>
      </c>
    </row>
    <row r="5612" spans="1:2" x14ac:dyDescent="0.2">
      <c r="A5612" s="117">
        <v>40309</v>
      </c>
      <c r="B5612" s="116">
        <f t="shared" si="87"/>
        <v>52</v>
      </c>
    </row>
    <row r="5613" spans="1:2" x14ac:dyDescent="0.2">
      <c r="A5613" s="117">
        <v>40310</v>
      </c>
      <c r="B5613" s="116">
        <f t="shared" si="87"/>
        <v>52</v>
      </c>
    </row>
    <row r="5614" spans="1:2" x14ac:dyDescent="0.2">
      <c r="A5614" s="117">
        <v>40311</v>
      </c>
      <c r="B5614" s="116">
        <f t="shared" si="87"/>
        <v>52</v>
      </c>
    </row>
    <row r="5615" spans="1:2" x14ac:dyDescent="0.2">
      <c r="A5615" s="117">
        <v>40312</v>
      </c>
      <c r="B5615" s="116">
        <f t="shared" si="87"/>
        <v>52</v>
      </c>
    </row>
    <row r="5616" spans="1:2" x14ac:dyDescent="0.2">
      <c r="A5616" s="117">
        <v>40313</v>
      </c>
      <c r="B5616" s="116">
        <f t="shared" si="87"/>
        <v>52</v>
      </c>
    </row>
    <row r="5617" spans="1:2" x14ac:dyDescent="0.2">
      <c r="A5617" s="117">
        <v>40314</v>
      </c>
      <c r="B5617" s="116">
        <f t="shared" si="87"/>
        <v>53</v>
      </c>
    </row>
    <row r="5618" spans="1:2" x14ac:dyDescent="0.2">
      <c r="A5618" s="117">
        <v>40315</v>
      </c>
      <c r="B5618" s="116">
        <f t="shared" si="87"/>
        <v>53</v>
      </c>
    </row>
    <row r="5619" spans="1:2" x14ac:dyDescent="0.2">
      <c r="A5619" s="117">
        <v>40316</v>
      </c>
      <c r="B5619" s="116">
        <f t="shared" si="87"/>
        <v>53</v>
      </c>
    </row>
    <row r="5620" spans="1:2" x14ac:dyDescent="0.2">
      <c r="A5620" s="117">
        <v>40317</v>
      </c>
      <c r="B5620" s="116">
        <f t="shared" si="87"/>
        <v>53</v>
      </c>
    </row>
    <row r="5621" spans="1:2" x14ac:dyDescent="0.2">
      <c r="A5621" s="117">
        <v>40318</v>
      </c>
      <c r="B5621" s="116">
        <f t="shared" si="87"/>
        <v>53</v>
      </c>
    </row>
    <row r="5622" spans="1:2" x14ac:dyDescent="0.2">
      <c r="A5622" s="117">
        <v>40319</v>
      </c>
      <c r="B5622" s="116">
        <f t="shared" si="87"/>
        <v>53</v>
      </c>
    </row>
    <row r="5623" spans="1:2" x14ac:dyDescent="0.2">
      <c r="A5623" s="117">
        <v>40320</v>
      </c>
      <c r="B5623" s="116">
        <f t="shared" si="87"/>
        <v>53</v>
      </c>
    </row>
    <row r="5624" spans="1:2" x14ac:dyDescent="0.2">
      <c r="A5624" s="117">
        <v>40321</v>
      </c>
      <c r="B5624" s="116">
        <f t="shared" si="87"/>
        <v>54</v>
      </c>
    </row>
    <row r="5625" spans="1:2" x14ac:dyDescent="0.2">
      <c r="A5625" s="117">
        <v>40322</v>
      </c>
      <c r="B5625" s="116">
        <f t="shared" si="87"/>
        <v>54</v>
      </c>
    </row>
    <row r="5626" spans="1:2" x14ac:dyDescent="0.2">
      <c r="A5626" s="117">
        <v>40323</v>
      </c>
      <c r="B5626" s="116">
        <f t="shared" si="87"/>
        <v>54</v>
      </c>
    </row>
    <row r="5627" spans="1:2" x14ac:dyDescent="0.2">
      <c r="A5627" s="117">
        <v>40324</v>
      </c>
      <c r="B5627" s="116">
        <f t="shared" si="87"/>
        <v>54</v>
      </c>
    </row>
    <row r="5628" spans="1:2" x14ac:dyDescent="0.2">
      <c r="A5628" s="117">
        <v>40325</v>
      </c>
      <c r="B5628" s="116">
        <f t="shared" si="87"/>
        <v>54</v>
      </c>
    </row>
    <row r="5629" spans="1:2" x14ac:dyDescent="0.2">
      <c r="A5629" s="117">
        <v>40326</v>
      </c>
      <c r="B5629" s="116">
        <f t="shared" si="87"/>
        <v>54</v>
      </c>
    </row>
    <row r="5630" spans="1:2" x14ac:dyDescent="0.2">
      <c r="A5630" s="117">
        <v>40327</v>
      </c>
      <c r="B5630" s="116">
        <f t="shared" si="87"/>
        <v>54</v>
      </c>
    </row>
    <row r="5631" spans="1:2" x14ac:dyDescent="0.2">
      <c r="A5631" s="117">
        <v>40328</v>
      </c>
      <c r="B5631" s="116">
        <f t="shared" si="87"/>
        <v>61</v>
      </c>
    </row>
    <row r="5632" spans="1:2" x14ac:dyDescent="0.2">
      <c r="A5632" s="117">
        <v>40329</v>
      </c>
      <c r="B5632" s="116">
        <f t="shared" si="87"/>
        <v>61</v>
      </c>
    </row>
    <row r="5633" spans="1:2" x14ac:dyDescent="0.2">
      <c r="A5633" s="117">
        <v>40330</v>
      </c>
      <c r="B5633" s="116">
        <f t="shared" si="87"/>
        <v>61</v>
      </c>
    </row>
    <row r="5634" spans="1:2" x14ac:dyDescent="0.2">
      <c r="A5634" s="117">
        <v>40331</v>
      </c>
      <c r="B5634" s="116">
        <f t="shared" si="87"/>
        <v>61</v>
      </c>
    </row>
    <row r="5635" spans="1:2" x14ac:dyDescent="0.2">
      <c r="A5635" s="117">
        <v>40332</v>
      </c>
      <c r="B5635" s="116">
        <f t="shared" si="87"/>
        <v>61</v>
      </c>
    </row>
    <row r="5636" spans="1:2" x14ac:dyDescent="0.2">
      <c r="A5636" s="117">
        <v>40333</v>
      </c>
      <c r="B5636" s="116">
        <f t="shared" ref="B5636:B5699" si="88">VLOOKUP(WEEKNUM(A5636),$D$4:$E$59,2)</f>
        <v>61</v>
      </c>
    </row>
    <row r="5637" spans="1:2" x14ac:dyDescent="0.2">
      <c r="A5637" s="117">
        <v>40334</v>
      </c>
      <c r="B5637" s="116">
        <f t="shared" si="88"/>
        <v>61</v>
      </c>
    </row>
    <row r="5638" spans="1:2" x14ac:dyDescent="0.2">
      <c r="A5638" s="117">
        <v>40335</v>
      </c>
      <c r="B5638" s="116">
        <f t="shared" si="88"/>
        <v>62</v>
      </c>
    </row>
    <row r="5639" spans="1:2" x14ac:dyDescent="0.2">
      <c r="A5639" s="117">
        <v>40336</v>
      </c>
      <c r="B5639" s="116">
        <f t="shared" si="88"/>
        <v>62</v>
      </c>
    </row>
    <row r="5640" spans="1:2" x14ac:dyDescent="0.2">
      <c r="A5640" s="117">
        <v>40337</v>
      </c>
      <c r="B5640" s="116">
        <f t="shared" si="88"/>
        <v>62</v>
      </c>
    </row>
    <row r="5641" spans="1:2" x14ac:dyDescent="0.2">
      <c r="A5641" s="117">
        <v>40338</v>
      </c>
      <c r="B5641" s="116">
        <f t="shared" si="88"/>
        <v>62</v>
      </c>
    </row>
    <row r="5642" spans="1:2" x14ac:dyDescent="0.2">
      <c r="A5642" s="117">
        <v>40339</v>
      </c>
      <c r="B5642" s="116">
        <f t="shared" si="88"/>
        <v>62</v>
      </c>
    </row>
    <row r="5643" spans="1:2" x14ac:dyDescent="0.2">
      <c r="A5643" s="117">
        <v>40340</v>
      </c>
      <c r="B5643" s="116">
        <f t="shared" si="88"/>
        <v>62</v>
      </c>
    </row>
    <row r="5644" spans="1:2" x14ac:dyDescent="0.2">
      <c r="A5644" s="117">
        <v>40341</v>
      </c>
      <c r="B5644" s="116">
        <f t="shared" si="88"/>
        <v>62</v>
      </c>
    </row>
    <row r="5645" spans="1:2" x14ac:dyDescent="0.2">
      <c r="A5645" s="117">
        <v>40342</v>
      </c>
      <c r="B5645" s="116">
        <f t="shared" si="88"/>
        <v>63</v>
      </c>
    </row>
    <row r="5646" spans="1:2" x14ac:dyDescent="0.2">
      <c r="A5646" s="117">
        <v>40343</v>
      </c>
      <c r="B5646" s="116">
        <f t="shared" si="88"/>
        <v>63</v>
      </c>
    </row>
    <row r="5647" spans="1:2" x14ac:dyDescent="0.2">
      <c r="A5647" s="117">
        <v>40344</v>
      </c>
      <c r="B5647" s="116">
        <f t="shared" si="88"/>
        <v>63</v>
      </c>
    </row>
    <row r="5648" spans="1:2" x14ac:dyDescent="0.2">
      <c r="A5648" s="117">
        <v>40345</v>
      </c>
      <c r="B5648" s="116">
        <f t="shared" si="88"/>
        <v>63</v>
      </c>
    </row>
    <row r="5649" spans="1:2" x14ac:dyDescent="0.2">
      <c r="A5649" s="117">
        <v>40346</v>
      </c>
      <c r="B5649" s="116">
        <f t="shared" si="88"/>
        <v>63</v>
      </c>
    </row>
    <row r="5650" spans="1:2" x14ac:dyDescent="0.2">
      <c r="A5650" s="117">
        <v>40347</v>
      </c>
      <c r="B5650" s="116">
        <f t="shared" si="88"/>
        <v>63</v>
      </c>
    </row>
    <row r="5651" spans="1:2" x14ac:dyDescent="0.2">
      <c r="A5651" s="117">
        <v>40348</v>
      </c>
      <c r="B5651" s="116">
        <f t="shared" si="88"/>
        <v>63</v>
      </c>
    </row>
    <row r="5652" spans="1:2" x14ac:dyDescent="0.2">
      <c r="A5652" s="117">
        <v>40349</v>
      </c>
      <c r="B5652" s="116">
        <f t="shared" si="88"/>
        <v>64</v>
      </c>
    </row>
    <row r="5653" spans="1:2" x14ac:dyDescent="0.2">
      <c r="A5653" s="117">
        <v>40350</v>
      </c>
      <c r="B5653" s="116">
        <f t="shared" si="88"/>
        <v>64</v>
      </c>
    </row>
    <row r="5654" spans="1:2" x14ac:dyDescent="0.2">
      <c r="A5654" s="117">
        <v>40351</v>
      </c>
      <c r="B5654" s="116">
        <f t="shared" si="88"/>
        <v>64</v>
      </c>
    </row>
    <row r="5655" spans="1:2" x14ac:dyDescent="0.2">
      <c r="A5655" s="117">
        <v>40352</v>
      </c>
      <c r="B5655" s="116">
        <f t="shared" si="88"/>
        <v>64</v>
      </c>
    </row>
    <row r="5656" spans="1:2" x14ac:dyDescent="0.2">
      <c r="A5656" s="117">
        <v>40353</v>
      </c>
      <c r="B5656" s="116">
        <f t="shared" si="88"/>
        <v>64</v>
      </c>
    </row>
    <row r="5657" spans="1:2" x14ac:dyDescent="0.2">
      <c r="A5657" s="117">
        <v>40354</v>
      </c>
      <c r="B5657" s="116">
        <f t="shared" si="88"/>
        <v>64</v>
      </c>
    </row>
    <row r="5658" spans="1:2" x14ac:dyDescent="0.2">
      <c r="A5658" s="117">
        <v>40355</v>
      </c>
      <c r="B5658" s="116">
        <f t="shared" si="88"/>
        <v>64</v>
      </c>
    </row>
    <row r="5659" spans="1:2" x14ac:dyDescent="0.2">
      <c r="A5659" s="117">
        <v>40356</v>
      </c>
      <c r="B5659" s="116">
        <f t="shared" si="88"/>
        <v>71</v>
      </c>
    </row>
    <row r="5660" spans="1:2" x14ac:dyDescent="0.2">
      <c r="A5660" s="117">
        <v>40357</v>
      </c>
      <c r="B5660" s="116">
        <f t="shared" si="88"/>
        <v>71</v>
      </c>
    </row>
    <row r="5661" spans="1:2" x14ac:dyDescent="0.2">
      <c r="A5661" s="117">
        <v>40358</v>
      </c>
      <c r="B5661" s="116">
        <f t="shared" si="88"/>
        <v>71</v>
      </c>
    </row>
    <row r="5662" spans="1:2" x14ac:dyDescent="0.2">
      <c r="A5662" s="117">
        <v>40359</v>
      </c>
      <c r="B5662" s="116">
        <f t="shared" si="88"/>
        <v>71</v>
      </c>
    </row>
    <row r="5663" spans="1:2" x14ac:dyDescent="0.2">
      <c r="A5663" s="117">
        <v>40360</v>
      </c>
      <c r="B5663" s="116">
        <f t="shared" si="88"/>
        <v>71</v>
      </c>
    </row>
    <row r="5664" spans="1:2" x14ac:dyDescent="0.2">
      <c r="A5664" s="117">
        <v>40361</v>
      </c>
      <c r="B5664" s="116">
        <f t="shared" si="88"/>
        <v>71</v>
      </c>
    </row>
    <row r="5665" spans="1:2" x14ac:dyDescent="0.2">
      <c r="A5665" s="117">
        <v>40362</v>
      </c>
      <c r="B5665" s="116">
        <f t="shared" si="88"/>
        <v>71</v>
      </c>
    </row>
    <row r="5666" spans="1:2" x14ac:dyDescent="0.2">
      <c r="A5666" s="117">
        <v>40363</v>
      </c>
      <c r="B5666" s="116">
        <f t="shared" si="88"/>
        <v>72</v>
      </c>
    </row>
    <row r="5667" spans="1:2" x14ac:dyDescent="0.2">
      <c r="A5667" s="117">
        <v>40364</v>
      </c>
      <c r="B5667" s="116">
        <f t="shared" si="88"/>
        <v>72</v>
      </c>
    </row>
    <row r="5668" spans="1:2" x14ac:dyDescent="0.2">
      <c r="A5668" s="117">
        <v>40365</v>
      </c>
      <c r="B5668" s="116">
        <f t="shared" si="88"/>
        <v>72</v>
      </c>
    </row>
    <row r="5669" spans="1:2" x14ac:dyDescent="0.2">
      <c r="A5669" s="117">
        <v>40366</v>
      </c>
      <c r="B5669" s="116">
        <f t="shared" si="88"/>
        <v>72</v>
      </c>
    </row>
    <row r="5670" spans="1:2" x14ac:dyDescent="0.2">
      <c r="A5670" s="117">
        <v>40367</v>
      </c>
      <c r="B5670" s="116">
        <f t="shared" si="88"/>
        <v>72</v>
      </c>
    </row>
    <row r="5671" spans="1:2" x14ac:dyDescent="0.2">
      <c r="A5671" s="117">
        <v>40368</v>
      </c>
      <c r="B5671" s="116">
        <f t="shared" si="88"/>
        <v>72</v>
      </c>
    </row>
    <row r="5672" spans="1:2" x14ac:dyDescent="0.2">
      <c r="A5672" s="117">
        <v>40369</v>
      </c>
      <c r="B5672" s="116">
        <f t="shared" si="88"/>
        <v>72</v>
      </c>
    </row>
    <row r="5673" spans="1:2" x14ac:dyDescent="0.2">
      <c r="A5673" s="117">
        <v>40370</v>
      </c>
      <c r="B5673" s="116">
        <f t="shared" si="88"/>
        <v>73</v>
      </c>
    </row>
    <row r="5674" spans="1:2" x14ac:dyDescent="0.2">
      <c r="A5674" s="117">
        <v>40371</v>
      </c>
      <c r="B5674" s="116">
        <f t="shared" si="88"/>
        <v>73</v>
      </c>
    </row>
    <row r="5675" spans="1:2" x14ac:dyDescent="0.2">
      <c r="A5675" s="117">
        <v>40372</v>
      </c>
      <c r="B5675" s="116">
        <f t="shared" si="88"/>
        <v>73</v>
      </c>
    </row>
    <row r="5676" spans="1:2" x14ac:dyDescent="0.2">
      <c r="A5676" s="117">
        <v>40373</v>
      </c>
      <c r="B5676" s="116">
        <f t="shared" si="88"/>
        <v>73</v>
      </c>
    </row>
    <row r="5677" spans="1:2" x14ac:dyDescent="0.2">
      <c r="A5677" s="117">
        <v>40374</v>
      </c>
      <c r="B5677" s="116">
        <f t="shared" si="88"/>
        <v>73</v>
      </c>
    </row>
    <row r="5678" spans="1:2" x14ac:dyDescent="0.2">
      <c r="A5678" s="117">
        <v>40375</v>
      </c>
      <c r="B5678" s="116">
        <f t="shared" si="88"/>
        <v>73</v>
      </c>
    </row>
    <row r="5679" spans="1:2" x14ac:dyDescent="0.2">
      <c r="A5679" s="117">
        <v>40376</v>
      </c>
      <c r="B5679" s="116">
        <f t="shared" si="88"/>
        <v>73</v>
      </c>
    </row>
    <row r="5680" spans="1:2" x14ac:dyDescent="0.2">
      <c r="A5680" s="117">
        <v>40377</v>
      </c>
      <c r="B5680" s="116">
        <f t="shared" si="88"/>
        <v>74</v>
      </c>
    </row>
    <row r="5681" spans="1:2" x14ac:dyDescent="0.2">
      <c r="A5681" s="117">
        <v>40378</v>
      </c>
      <c r="B5681" s="116">
        <f t="shared" si="88"/>
        <v>74</v>
      </c>
    </row>
    <row r="5682" spans="1:2" x14ac:dyDescent="0.2">
      <c r="A5682" s="117">
        <v>40379</v>
      </c>
      <c r="B5682" s="116">
        <f t="shared" si="88"/>
        <v>74</v>
      </c>
    </row>
    <row r="5683" spans="1:2" x14ac:dyDescent="0.2">
      <c r="A5683" s="117">
        <v>40380</v>
      </c>
      <c r="B5683" s="116">
        <f t="shared" si="88"/>
        <v>74</v>
      </c>
    </row>
    <row r="5684" spans="1:2" x14ac:dyDescent="0.2">
      <c r="A5684" s="117">
        <v>40381</v>
      </c>
      <c r="B5684" s="116">
        <f t="shared" si="88"/>
        <v>74</v>
      </c>
    </row>
    <row r="5685" spans="1:2" x14ac:dyDescent="0.2">
      <c r="A5685" s="117">
        <v>40382</v>
      </c>
      <c r="B5685" s="116">
        <f t="shared" si="88"/>
        <v>74</v>
      </c>
    </row>
    <row r="5686" spans="1:2" x14ac:dyDescent="0.2">
      <c r="A5686" s="117">
        <v>40383</v>
      </c>
      <c r="B5686" s="116">
        <f t="shared" si="88"/>
        <v>74</v>
      </c>
    </row>
    <row r="5687" spans="1:2" x14ac:dyDescent="0.2">
      <c r="A5687" s="117">
        <v>40384</v>
      </c>
      <c r="B5687" s="116">
        <f t="shared" si="88"/>
        <v>75</v>
      </c>
    </row>
    <row r="5688" spans="1:2" x14ac:dyDescent="0.2">
      <c r="A5688" s="117">
        <v>40385</v>
      </c>
      <c r="B5688" s="116">
        <f t="shared" si="88"/>
        <v>75</v>
      </c>
    </row>
    <row r="5689" spans="1:2" x14ac:dyDescent="0.2">
      <c r="A5689" s="117">
        <v>40386</v>
      </c>
      <c r="B5689" s="116">
        <f t="shared" si="88"/>
        <v>75</v>
      </c>
    </row>
    <row r="5690" spans="1:2" x14ac:dyDescent="0.2">
      <c r="A5690" s="117">
        <v>40387</v>
      </c>
      <c r="B5690" s="116">
        <f t="shared" si="88"/>
        <v>75</v>
      </c>
    </row>
    <row r="5691" spans="1:2" x14ac:dyDescent="0.2">
      <c r="A5691" s="117">
        <v>40388</v>
      </c>
      <c r="B5691" s="116">
        <f t="shared" si="88"/>
        <v>75</v>
      </c>
    </row>
    <row r="5692" spans="1:2" x14ac:dyDescent="0.2">
      <c r="A5692" s="117">
        <v>40389</v>
      </c>
      <c r="B5692" s="116">
        <f t="shared" si="88"/>
        <v>75</v>
      </c>
    </row>
    <row r="5693" spans="1:2" x14ac:dyDescent="0.2">
      <c r="A5693" s="117">
        <v>40390</v>
      </c>
      <c r="B5693" s="116">
        <f t="shared" si="88"/>
        <v>75</v>
      </c>
    </row>
    <row r="5694" spans="1:2" x14ac:dyDescent="0.2">
      <c r="A5694" s="117">
        <v>40391</v>
      </c>
      <c r="B5694" s="116">
        <f t="shared" si="88"/>
        <v>81</v>
      </c>
    </row>
    <row r="5695" spans="1:2" x14ac:dyDescent="0.2">
      <c r="A5695" s="117">
        <v>40392</v>
      </c>
      <c r="B5695" s="116">
        <f t="shared" si="88"/>
        <v>81</v>
      </c>
    </row>
    <row r="5696" spans="1:2" x14ac:dyDescent="0.2">
      <c r="A5696" s="117">
        <v>40393</v>
      </c>
      <c r="B5696" s="116">
        <f t="shared" si="88"/>
        <v>81</v>
      </c>
    </row>
    <row r="5697" spans="1:2" x14ac:dyDescent="0.2">
      <c r="A5697" s="117">
        <v>40394</v>
      </c>
      <c r="B5697" s="116">
        <f t="shared" si="88"/>
        <v>81</v>
      </c>
    </row>
    <row r="5698" spans="1:2" x14ac:dyDescent="0.2">
      <c r="A5698" s="117">
        <v>40395</v>
      </c>
      <c r="B5698" s="116">
        <f t="shared" si="88"/>
        <v>81</v>
      </c>
    </row>
    <row r="5699" spans="1:2" x14ac:dyDescent="0.2">
      <c r="A5699" s="117">
        <v>40396</v>
      </c>
      <c r="B5699" s="116">
        <f t="shared" si="88"/>
        <v>81</v>
      </c>
    </row>
    <row r="5700" spans="1:2" x14ac:dyDescent="0.2">
      <c r="A5700" s="117">
        <v>40397</v>
      </c>
      <c r="B5700" s="116">
        <f t="shared" ref="B5700:B5763" si="89">VLOOKUP(WEEKNUM(A5700),$D$4:$E$59,2)</f>
        <v>81</v>
      </c>
    </row>
    <row r="5701" spans="1:2" x14ac:dyDescent="0.2">
      <c r="A5701" s="117">
        <v>40398</v>
      </c>
      <c r="B5701" s="116">
        <f t="shared" si="89"/>
        <v>82</v>
      </c>
    </row>
    <row r="5702" spans="1:2" x14ac:dyDescent="0.2">
      <c r="A5702" s="117">
        <v>40399</v>
      </c>
      <c r="B5702" s="116">
        <f t="shared" si="89"/>
        <v>82</v>
      </c>
    </row>
    <row r="5703" spans="1:2" x14ac:dyDescent="0.2">
      <c r="A5703" s="117">
        <v>40400</v>
      </c>
      <c r="B5703" s="116">
        <f t="shared" si="89"/>
        <v>82</v>
      </c>
    </row>
    <row r="5704" spans="1:2" x14ac:dyDescent="0.2">
      <c r="A5704" s="117">
        <v>40401</v>
      </c>
      <c r="B5704" s="116">
        <f t="shared" si="89"/>
        <v>82</v>
      </c>
    </row>
    <row r="5705" spans="1:2" x14ac:dyDescent="0.2">
      <c r="A5705" s="117">
        <v>40402</v>
      </c>
      <c r="B5705" s="116">
        <f t="shared" si="89"/>
        <v>82</v>
      </c>
    </row>
    <row r="5706" spans="1:2" x14ac:dyDescent="0.2">
      <c r="A5706" s="117">
        <v>40403</v>
      </c>
      <c r="B5706" s="116">
        <f t="shared" si="89"/>
        <v>82</v>
      </c>
    </row>
    <row r="5707" spans="1:2" x14ac:dyDescent="0.2">
      <c r="A5707" s="117">
        <v>40404</v>
      </c>
      <c r="B5707" s="116">
        <f t="shared" si="89"/>
        <v>82</v>
      </c>
    </row>
    <row r="5708" spans="1:2" x14ac:dyDescent="0.2">
      <c r="A5708" s="117">
        <v>40405</v>
      </c>
      <c r="B5708" s="116">
        <f t="shared" si="89"/>
        <v>83</v>
      </c>
    </row>
    <row r="5709" spans="1:2" x14ac:dyDescent="0.2">
      <c r="A5709" s="117">
        <v>40406</v>
      </c>
      <c r="B5709" s="116">
        <f t="shared" si="89"/>
        <v>83</v>
      </c>
    </row>
    <row r="5710" spans="1:2" x14ac:dyDescent="0.2">
      <c r="A5710" s="117">
        <v>40407</v>
      </c>
      <c r="B5710" s="116">
        <f t="shared" si="89"/>
        <v>83</v>
      </c>
    </row>
    <row r="5711" spans="1:2" x14ac:dyDescent="0.2">
      <c r="A5711" s="117">
        <v>40408</v>
      </c>
      <c r="B5711" s="116">
        <f t="shared" si="89"/>
        <v>83</v>
      </c>
    </row>
    <row r="5712" spans="1:2" x14ac:dyDescent="0.2">
      <c r="A5712" s="117">
        <v>40409</v>
      </c>
      <c r="B5712" s="116">
        <f t="shared" si="89"/>
        <v>83</v>
      </c>
    </row>
    <row r="5713" spans="1:2" x14ac:dyDescent="0.2">
      <c r="A5713" s="117">
        <v>40410</v>
      </c>
      <c r="B5713" s="116">
        <f t="shared" si="89"/>
        <v>83</v>
      </c>
    </row>
    <row r="5714" spans="1:2" x14ac:dyDescent="0.2">
      <c r="A5714" s="117">
        <v>40411</v>
      </c>
      <c r="B5714" s="116">
        <f t="shared" si="89"/>
        <v>83</v>
      </c>
    </row>
    <row r="5715" spans="1:2" x14ac:dyDescent="0.2">
      <c r="A5715" s="117">
        <v>40412</v>
      </c>
      <c r="B5715" s="116">
        <f t="shared" si="89"/>
        <v>84</v>
      </c>
    </row>
    <row r="5716" spans="1:2" x14ac:dyDescent="0.2">
      <c r="A5716" s="117">
        <v>40413</v>
      </c>
      <c r="B5716" s="116">
        <f t="shared" si="89"/>
        <v>84</v>
      </c>
    </row>
    <row r="5717" spans="1:2" x14ac:dyDescent="0.2">
      <c r="A5717" s="117">
        <v>40414</v>
      </c>
      <c r="B5717" s="116">
        <f t="shared" si="89"/>
        <v>84</v>
      </c>
    </row>
    <row r="5718" spans="1:2" x14ac:dyDescent="0.2">
      <c r="A5718" s="117">
        <v>40415</v>
      </c>
      <c r="B5718" s="116">
        <f t="shared" si="89"/>
        <v>84</v>
      </c>
    </row>
    <row r="5719" spans="1:2" x14ac:dyDescent="0.2">
      <c r="A5719" s="117">
        <v>40416</v>
      </c>
      <c r="B5719" s="116">
        <f t="shared" si="89"/>
        <v>84</v>
      </c>
    </row>
    <row r="5720" spans="1:2" x14ac:dyDescent="0.2">
      <c r="A5720" s="117">
        <v>40417</v>
      </c>
      <c r="B5720" s="116">
        <f t="shared" si="89"/>
        <v>84</v>
      </c>
    </row>
    <row r="5721" spans="1:2" x14ac:dyDescent="0.2">
      <c r="A5721" s="117">
        <v>40418</v>
      </c>
      <c r="B5721" s="116">
        <f t="shared" si="89"/>
        <v>84</v>
      </c>
    </row>
    <row r="5722" spans="1:2" x14ac:dyDescent="0.2">
      <c r="A5722" s="117">
        <v>40419</v>
      </c>
      <c r="B5722" s="116">
        <f t="shared" si="89"/>
        <v>91</v>
      </c>
    </row>
    <row r="5723" spans="1:2" x14ac:dyDescent="0.2">
      <c r="A5723" s="117">
        <v>40420</v>
      </c>
      <c r="B5723" s="116">
        <f t="shared" si="89"/>
        <v>91</v>
      </c>
    </row>
    <row r="5724" spans="1:2" x14ac:dyDescent="0.2">
      <c r="A5724" s="117">
        <v>40421</v>
      </c>
      <c r="B5724" s="116">
        <f t="shared" si="89"/>
        <v>91</v>
      </c>
    </row>
    <row r="5725" spans="1:2" x14ac:dyDescent="0.2">
      <c r="A5725" s="117">
        <v>40422</v>
      </c>
      <c r="B5725" s="116">
        <f t="shared" si="89"/>
        <v>91</v>
      </c>
    </row>
    <row r="5726" spans="1:2" x14ac:dyDescent="0.2">
      <c r="A5726" s="117">
        <v>40423</v>
      </c>
      <c r="B5726" s="116">
        <f t="shared" si="89"/>
        <v>91</v>
      </c>
    </row>
    <row r="5727" spans="1:2" x14ac:dyDescent="0.2">
      <c r="A5727" s="117">
        <v>40424</v>
      </c>
      <c r="B5727" s="116">
        <f t="shared" si="89"/>
        <v>91</v>
      </c>
    </row>
    <row r="5728" spans="1:2" x14ac:dyDescent="0.2">
      <c r="A5728" s="117">
        <v>40425</v>
      </c>
      <c r="B5728" s="116">
        <f t="shared" si="89"/>
        <v>91</v>
      </c>
    </row>
    <row r="5729" spans="1:2" x14ac:dyDescent="0.2">
      <c r="A5729" s="117">
        <v>40426</v>
      </c>
      <c r="B5729" s="116">
        <f t="shared" si="89"/>
        <v>92</v>
      </c>
    </row>
    <row r="5730" spans="1:2" x14ac:dyDescent="0.2">
      <c r="A5730" s="117">
        <v>40427</v>
      </c>
      <c r="B5730" s="116">
        <f t="shared" si="89"/>
        <v>92</v>
      </c>
    </row>
    <row r="5731" spans="1:2" x14ac:dyDescent="0.2">
      <c r="A5731" s="117">
        <v>40428</v>
      </c>
      <c r="B5731" s="116">
        <f t="shared" si="89"/>
        <v>92</v>
      </c>
    </row>
    <row r="5732" spans="1:2" x14ac:dyDescent="0.2">
      <c r="A5732" s="117">
        <v>40429</v>
      </c>
      <c r="B5732" s="116">
        <f t="shared" si="89"/>
        <v>92</v>
      </c>
    </row>
    <row r="5733" spans="1:2" x14ac:dyDescent="0.2">
      <c r="A5733" s="117">
        <v>40430</v>
      </c>
      <c r="B5733" s="116">
        <f t="shared" si="89"/>
        <v>92</v>
      </c>
    </row>
    <row r="5734" spans="1:2" x14ac:dyDescent="0.2">
      <c r="A5734" s="117">
        <v>40431</v>
      </c>
      <c r="B5734" s="116">
        <f t="shared" si="89"/>
        <v>92</v>
      </c>
    </row>
    <row r="5735" spans="1:2" x14ac:dyDescent="0.2">
      <c r="A5735" s="117">
        <v>40432</v>
      </c>
      <c r="B5735" s="116">
        <f t="shared" si="89"/>
        <v>92</v>
      </c>
    </row>
    <row r="5736" spans="1:2" x14ac:dyDescent="0.2">
      <c r="A5736" s="117">
        <v>40433</v>
      </c>
      <c r="B5736" s="116">
        <f t="shared" si="89"/>
        <v>93</v>
      </c>
    </row>
    <row r="5737" spans="1:2" x14ac:dyDescent="0.2">
      <c r="A5737" s="117">
        <v>40434</v>
      </c>
      <c r="B5737" s="116">
        <f t="shared" si="89"/>
        <v>93</v>
      </c>
    </row>
    <row r="5738" spans="1:2" x14ac:dyDescent="0.2">
      <c r="A5738" s="117">
        <v>40435</v>
      </c>
      <c r="B5738" s="116">
        <f t="shared" si="89"/>
        <v>93</v>
      </c>
    </row>
    <row r="5739" spans="1:2" x14ac:dyDescent="0.2">
      <c r="A5739" s="117">
        <v>40436</v>
      </c>
      <c r="B5739" s="116">
        <f t="shared" si="89"/>
        <v>93</v>
      </c>
    </row>
    <row r="5740" spans="1:2" x14ac:dyDescent="0.2">
      <c r="A5740" s="117">
        <v>40437</v>
      </c>
      <c r="B5740" s="116">
        <f t="shared" si="89"/>
        <v>93</v>
      </c>
    </row>
    <row r="5741" spans="1:2" x14ac:dyDescent="0.2">
      <c r="A5741" s="117">
        <v>40438</v>
      </c>
      <c r="B5741" s="116">
        <f t="shared" si="89"/>
        <v>93</v>
      </c>
    </row>
    <row r="5742" spans="1:2" x14ac:dyDescent="0.2">
      <c r="A5742" s="117">
        <v>40439</v>
      </c>
      <c r="B5742" s="116">
        <f t="shared" si="89"/>
        <v>93</v>
      </c>
    </row>
    <row r="5743" spans="1:2" x14ac:dyDescent="0.2">
      <c r="A5743" s="117">
        <v>40440</v>
      </c>
      <c r="B5743" s="116">
        <f t="shared" si="89"/>
        <v>94</v>
      </c>
    </row>
    <row r="5744" spans="1:2" x14ac:dyDescent="0.2">
      <c r="A5744" s="117">
        <v>40441</v>
      </c>
      <c r="B5744" s="116">
        <f t="shared" si="89"/>
        <v>94</v>
      </c>
    </row>
    <row r="5745" spans="1:2" x14ac:dyDescent="0.2">
      <c r="A5745" s="117">
        <v>40442</v>
      </c>
      <c r="B5745" s="116">
        <f t="shared" si="89"/>
        <v>94</v>
      </c>
    </row>
    <row r="5746" spans="1:2" x14ac:dyDescent="0.2">
      <c r="A5746" s="117">
        <v>40443</v>
      </c>
      <c r="B5746" s="116">
        <f t="shared" si="89"/>
        <v>94</v>
      </c>
    </row>
    <row r="5747" spans="1:2" x14ac:dyDescent="0.2">
      <c r="A5747" s="117">
        <v>40444</v>
      </c>
      <c r="B5747" s="116">
        <f t="shared" si="89"/>
        <v>94</v>
      </c>
    </row>
    <row r="5748" spans="1:2" x14ac:dyDescent="0.2">
      <c r="A5748" s="117">
        <v>40445</v>
      </c>
      <c r="B5748" s="116">
        <f t="shared" si="89"/>
        <v>94</v>
      </c>
    </row>
    <row r="5749" spans="1:2" x14ac:dyDescent="0.2">
      <c r="A5749" s="117">
        <v>40446</v>
      </c>
      <c r="B5749" s="116">
        <f t="shared" si="89"/>
        <v>94</v>
      </c>
    </row>
    <row r="5750" spans="1:2" x14ac:dyDescent="0.2">
      <c r="A5750" s="117">
        <v>40447</v>
      </c>
      <c r="B5750" s="116">
        <f t="shared" si="89"/>
        <v>101</v>
      </c>
    </row>
    <row r="5751" spans="1:2" x14ac:dyDescent="0.2">
      <c r="A5751" s="117">
        <v>40448</v>
      </c>
      <c r="B5751" s="116">
        <f t="shared" si="89"/>
        <v>101</v>
      </c>
    </row>
    <row r="5752" spans="1:2" x14ac:dyDescent="0.2">
      <c r="A5752" s="117">
        <v>40449</v>
      </c>
      <c r="B5752" s="116">
        <f t="shared" si="89"/>
        <v>101</v>
      </c>
    </row>
    <row r="5753" spans="1:2" x14ac:dyDescent="0.2">
      <c r="A5753" s="117">
        <v>40450</v>
      </c>
      <c r="B5753" s="116">
        <f t="shared" si="89"/>
        <v>101</v>
      </c>
    </row>
    <row r="5754" spans="1:2" x14ac:dyDescent="0.2">
      <c r="A5754" s="117">
        <v>40451</v>
      </c>
      <c r="B5754" s="116">
        <f t="shared" si="89"/>
        <v>101</v>
      </c>
    </row>
    <row r="5755" spans="1:2" x14ac:dyDescent="0.2">
      <c r="A5755" s="117">
        <v>40452</v>
      </c>
      <c r="B5755" s="116">
        <f t="shared" si="89"/>
        <v>101</v>
      </c>
    </row>
    <row r="5756" spans="1:2" x14ac:dyDescent="0.2">
      <c r="A5756" s="117">
        <v>40453</v>
      </c>
      <c r="B5756" s="116">
        <f t="shared" si="89"/>
        <v>101</v>
      </c>
    </row>
    <row r="5757" spans="1:2" x14ac:dyDescent="0.2">
      <c r="A5757" s="117">
        <v>40454</v>
      </c>
      <c r="B5757" s="116">
        <f t="shared" si="89"/>
        <v>102</v>
      </c>
    </row>
    <row r="5758" spans="1:2" x14ac:dyDescent="0.2">
      <c r="A5758" s="117">
        <v>40455</v>
      </c>
      <c r="B5758" s="116">
        <f t="shared" si="89"/>
        <v>102</v>
      </c>
    </row>
    <row r="5759" spans="1:2" x14ac:dyDescent="0.2">
      <c r="A5759" s="117">
        <v>40456</v>
      </c>
      <c r="B5759" s="116">
        <f t="shared" si="89"/>
        <v>102</v>
      </c>
    </row>
    <row r="5760" spans="1:2" x14ac:dyDescent="0.2">
      <c r="A5760" s="117">
        <v>40457</v>
      </c>
      <c r="B5760" s="116">
        <f t="shared" si="89"/>
        <v>102</v>
      </c>
    </row>
    <row r="5761" spans="1:2" x14ac:dyDescent="0.2">
      <c r="A5761" s="117">
        <v>40458</v>
      </c>
      <c r="B5761" s="116">
        <f t="shared" si="89"/>
        <v>102</v>
      </c>
    </row>
    <row r="5762" spans="1:2" x14ac:dyDescent="0.2">
      <c r="A5762" s="117">
        <v>40459</v>
      </c>
      <c r="B5762" s="116">
        <f t="shared" si="89"/>
        <v>102</v>
      </c>
    </row>
    <row r="5763" spans="1:2" x14ac:dyDescent="0.2">
      <c r="A5763" s="117">
        <v>40460</v>
      </c>
      <c r="B5763" s="116">
        <f t="shared" si="89"/>
        <v>102</v>
      </c>
    </row>
    <row r="5764" spans="1:2" x14ac:dyDescent="0.2">
      <c r="A5764" s="117">
        <v>40461</v>
      </c>
      <c r="B5764" s="116">
        <f t="shared" ref="B5764:B5827" si="90">VLOOKUP(WEEKNUM(A5764),$D$4:$E$59,2)</f>
        <v>103</v>
      </c>
    </row>
    <row r="5765" spans="1:2" x14ac:dyDescent="0.2">
      <c r="A5765" s="117">
        <v>40462</v>
      </c>
      <c r="B5765" s="116">
        <f t="shared" si="90"/>
        <v>103</v>
      </c>
    </row>
    <row r="5766" spans="1:2" x14ac:dyDescent="0.2">
      <c r="A5766" s="117">
        <v>40463</v>
      </c>
      <c r="B5766" s="116">
        <f t="shared" si="90"/>
        <v>103</v>
      </c>
    </row>
    <row r="5767" spans="1:2" x14ac:dyDescent="0.2">
      <c r="A5767" s="117">
        <v>40464</v>
      </c>
      <c r="B5767" s="116">
        <f t="shared" si="90"/>
        <v>103</v>
      </c>
    </row>
    <row r="5768" spans="1:2" x14ac:dyDescent="0.2">
      <c r="A5768" s="117">
        <v>40465</v>
      </c>
      <c r="B5768" s="116">
        <f t="shared" si="90"/>
        <v>103</v>
      </c>
    </row>
    <row r="5769" spans="1:2" x14ac:dyDescent="0.2">
      <c r="A5769" s="117">
        <v>40466</v>
      </c>
      <c r="B5769" s="116">
        <f t="shared" si="90"/>
        <v>103</v>
      </c>
    </row>
    <row r="5770" spans="1:2" x14ac:dyDescent="0.2">
      <c r="A5770" s="117">
        <v>40467</v>
      </c>
      <c r="B5770" s="116">
        <f t="shared" si="90"/>
        <v>103</v>
      </c>
    </row>
    <row r="5771" spans="1:2" x14ac:dyDescent="0.2">
      <c r="A5771" s="117">
        <v>40468</v>
      </c>
      <c r="B5771" s="116">
        <f t="shared" si="90"/>
        <v>104</v>
      </c>
    </row>
    <row r="5772" spans="1:2" x14ac:dyDescent="0.2">
      <c r="A5772" s="117">
        <v>40469</v>
      </c>
      <c r="B5772" s="116">
        <f t="shared" si="90"/>
        <v>104</v>
      </c>
    </row>
    <row r="5773" spans="1:2" x14ac:dyDescent="0.2">
      <c r="A5773" s="117">
        <v>40470</v>
      </c>
      <c r="B5773" s="116">
        <f t="shared" si="90"/>
        <v>104</v>
      </c>
    </row>
    <row r="5774" spans="1:2" x14ac:dyDescent="0.2">
      <c r="A5774" s="117">
        <v>40471</v>
      </c>
      <c r="B5774" s="116">
        <f t="shared" si="90"/>
        <v>104</v>
      </c>
    </row>
    <row r="5775" spans="1:2" x14ac:dyDescent="0.2">
      <c r="A5775" s="117">
        <v>40472</v>
      </c>
      <c r="B5775" s="116">
        <f t="shared" si="90"/>
        <v>104</v>
      </c>
    </row>
    <row r="5776" spans="1:2" x14ac:dyDescent="0.2">
      <c r="A5776" s="117">
        <v>40473</v>
      </c>
      <c r="B5776" s="116">
        <f t="shared" si="90"/>
        <v>104</v>
      </c>
    </row>
    <row r="5777" spans="1:2" x14ac:dyDescent="0.2">
      <c r="A5777" s="117">
        <v>40474</v>
      </c>
      <c r="B5777" s="116">
        <f t="shared" si="90"/>
        <v>104</v>
      </c>
    </row>
    <row r="5778" spans="1:2" x14ac:dyDescent="0.2">
      <c r="A5778" s="117">
        <v>40475</v>
      </c>
      <c r="B5778" s="116">
        <f t="shared" si="90"/>
        <v>105</v>
      </c>
    </row>
    <row r="5779" spans="1:2" x14ac:dyDescent="0.2">
      <c r="A5779" s="117">
        <v>40476</v>
      </c>
      <c r="B5779" s="116">
        <f t="shared" si="90"/>
        <v>105</v>
      </c>
    </row>
    <row r="5780" spans="1:2" x14ac:dyDescent="0.2">
      <c r="A5780" s="117">
        <v>40477</v>
      </c>
      <c r="B5780" s="116">
        <f t="shared" si="90"/>
        <v>105</v>
      </c>
    </row>
    <row r="5781" spans="1:2" x14ac:dyDescent="0.2">
      <c r="A5781" s="117">
        <v>40478</v>
      </c>
      <c r="B5781" s="116">
        <f t="shared" si="90"/>
        <v>105</v>
      </c>
    </row>
    <row r="5782" spans="1:2" x14ac:dyDescent="0.2">
      <c r="A5782" s="117">
        <v>40479</v>
      </c>
      <c r="B5782" s="116">
        <f t="shared" si="90"/>
        <v>105</v>
      </c>
    </row>
    <row r="5783" spans="1:2" x14ac:dyDescent="0.2">
      <c r="A5783" s="117">
        <v>40480</v>
      </c>
      <c r="B5783" s="116">
        <f t="shared" si="90"/>
        <v>105</v>
      </c>
    </row>
    <row r="5784" spans="1:2" x14ac:dyDescent="0.2">
      <c r="A5784" s="117">
        <v>40481</v>
      </c>
      <c r="B5784" s="116">
        <f t="shared" si="90"/>
        <v>105</v>
      </c>
    </row>
    <row r="5785" spans="1:2" x14ac:dyDescent="0.2">
      <c r="A5785" s="117">
        <v>40482</v>
      </c>
      <c r="B5785" s="116">
        <f t="shared" si="90"/>
        <v>111</v>
      </c>
    </row>
    <row r="5786" spans="1:2" x14ac:dyDescent="0.2">
      <c r="A5786" s="117">
        <v>40483</v>
      </c>
      <c r="B5786" s="116">
        <f t="shared" si="90"/>
        <v>111</v>
      </c>
    </row>
    <row r="5787" spans="1:2" x14ac:dyDescent="0.2">
      <c r="A5787" s="117">
        <v>40484</v>
      </c>
      <c r="B5787" s="116">
        <f t="shared" si="90"/>
        <v>111</v>
      </c>
    </row>
    <row r="5788" spans="1:2" x14ac:dyDescent="0.2">
      <c r="A5788" s="117">
        <v>40485</v>
      </c>
      <c r="B5788" s="116">
        <f t="shared" si="90"/>
        <v>111</v>
      </c>
    </row>
    <row r="5789" spans="1:2" x14ac:dyDescent="0.2">
      <c r="A5789" s="117">
        <v>40486</v>
      </c>
      <c r="B5789" s="116">
        <f t="shared" si="90"/>
        <v>111</v>
      </c>
    </row>
    <row r="5790" spans="1:2" x14ac:dyDescent="0.2">
      <c r="A5790" s="117">
        <v>40487</v>
      </c>
      <c r="B5790" s="116">
        <f t="shared" si="90"/>
        <v>111</v>
      </c>
    </row>
    <row r="5791" spans="1:2" x14ac:dyDescent="0.2">
      <c r="A5791" s="117">
        <v>40488</v>
      </c>
      <c r="B5791" s="116">
        <f t="shared" si="90"/>
        <v>111</v>
      </c>
    </row>
    <row r="5792" spans="1:2" x14ac:dyDescent="0.2">
      <c r="A5792" s="117">
        <v>40489</v>
      </c>
      <c r="B5792" s="116">
        <f t="shared" si="90"/>
        <v>112</v>
      </c>
    </row>
    <row r="5793" spans="1:2" x14ac:dyDescent="0.2">
      <c r="A5793" s="117">
        <v>40490</v>
      </c>
      <c r="B5793" s="116">
        <f t="shared" si="90"/>
        <v>112</v>
      </c>
    </row>
    <row r="5794" spans="1:2" x14ac:dyDescent="0.2">
      <c r="A5794" s="117">
        <v>40491</v>
      </c>
      <c r="B5794" s="116">
        <f t="shared" si="90"/>
        <v>112</v>
      </c>
    </row>
    <row r="5795" spans="1:2" x14ac:dyDescent="0.2">
      <c r="A5795" s="117">
        <v>40492</v>
      </c>
      <c r="B5795" s="116">
        <f t="shared" si="90"/>
        <v>112</v>
      </c>
    </row>
    <row r="5796" spans="1:2" x14ac:dyDescent="0.2">
      <c r="A5796" s="117">
        <v>40493</v>
      </c>
      <c r="B5796" s="116">
        <f t="shared" si="90"/>
        <v>112</v>
      </c>
    </row>
    <row r="5797" spans="1:2" x14ac:dyDescent="0.2">
      <c r="A5797" s="117">
        <v>40494</v>
      </c>
      <c r="B5797" s="116">
        <f t="shared" si="90"/>
        <v>112</v>
      </c>
    </row>
    <row r="5798" spans="1:2" x14ac:dyDescent="0.2">
      <c r="A5798" s="117">
        <v>40495</v>
      </c>
      <c r="B5798" s="116">
        <f t="shared" si="90"/>
        <v>112</v>
      </c>
    </row>
    <row r="5799" spans="1:2" x14ac:dyDescent="0.2">
      <c r="A5799" s="117">
        <v>40496</v>
      </c>
      <c r="B5799" s="116">
        <f t="shared" si="90"/>
        <v>113</v>
      </c>
    </row>
    <row r="5800" spans="1:2" x14ac:dyDescent="0.2">
      <c r="A5800" s="117">
        <v>40497</v>
      </c>
      <c r="B5800" s="116">
        <f t="shared" si="90"/>
        <v>113</v>
      </c>
    </row>
    <row r="5801" spans="1:2" x14ac:dyDescent="0.2">
      <c r="A5801" s="117">
        <v>40498</v>
      </c>
      <c r="B5801" s="116">
        <f t="shared" si="90"/>
        <v>113</v>
      </c>
    </row>
    <row r="5802" spans="1:2" x14ac:dyDescent="0.2">
      <c r="A5802" s="117">
        <v>40499</v>
      </c>
      <c r="B5802" s="116">
        <f t="shared" si="90"/>
        <v>113</v>
      </c>
    </row>
    <row r="5803" spans="1:2" x14ac:dyDescent="0.2">
      <c r="A5803" s="117">
        <v>40500</v>
      </c>
      <c r="B5803" s="116">
        <f t="shared" si="90"/>
        <v>113</v>
      </c>
    </row>
    <row r="5804" spans="1:2" x14ac:dyDescent="0.2">
      <c r="A5804" s="117">
        <v>40501</v>
      </c>
      <c r="B5804" s="116">
        <f t="shared" si="90"/>
        <v>113</v>
      </c>
    </row>
    <row r="5805" spans="1:2" x14ac:dyDescent="0.2">
      <c r="A5805" s="117">
        <v>40502</v>
      </c>
      <c r="B5805" s="116">
        <f t="shared" si="90"/>
        <v>113</v>
      </c>
    </row>
    <row r="5806" spans="1:2" x14ac:dyDescent="0.2">
      <c r="A5806" s="117">
        <v>40503</v>
      </c>
      <c r="B5806" s="116">
        <f t="shared" si="90"/>
        <v>114</v>
      </c>
    </row>
    <row r="5807" spans="1:2" x14ac:dyDescent="0.2">
      <c r="A5807" s="117">
        <v>40504</v>
      </c>
      <c r="B5807" s="116">
        <f t="shared" si="90"/>
        <v>114</v>
      </c>
    </row>
    <row r="5808" spans="1:2" x14ac:dyDescent="0.2">
      <c r="A5808" s="117">
        <v>40505</v>
      </c>
      <c r="B5808" s="116">
        <f t="shared" si="90"/>
        <v>114</v>
      </c>
    </row>
    <row r="5809" spans="1:2" x14ac:dyDescent="0.2">
      <c r="A5809" s="117">
        <v>40506</v>
      </c>
      <c r="B5809" s="116">
        <f t="shared" si="90"/>
        <v>114</v>
      </c>
    </row>
    <row r="5810" spans="1:2" x14ac:dyDescent="0.2">
      <c r="A5810" s="117">
        <v>40507</v>
      </c>
      <c r="B5810" s="116">
        <f t="shared" si="90"/>
        <v>114</v>
      </c>
    </row>
    <row r="5811" spans="1:2" x14ac:dyDescent="0.2">
      <c r="A5811" s="117">
        <v>40508</v>
      </c>
      <c r="B5811" s="116">
        <f t="shared" si="90"/>
        <v>114</v>
      </c>
    </row>
    <row r="5812" spans="1:2" x14ac:dyDescent="0.2">
      <c r="A5812" s="117">
        <v>40509</v>
      </c>
      <c r="B5812" s="116">
        <f t="shared" si="90"/>
        <v>114</v>
      </c>
    </row>
    <row r="5813" spans="1:2" x14ac:dyDescent="0.2">
      <c r="A5813" s="117">
        <v>40510</v>
      </c>
      <c r="B5813" s="116">
        <f t="shared" si="90"/>
        <v>115</v>
      </c>
    </row>
    <row r="5814" spans="1:2" x14ac:dyDescent="0.2">
      <c r="A5814" s="117">
        <v>40511</v>
      </c>
      <c r="B5814" s="116">
        <f t="shared" si="90"/>
        <v>115</v>
      </c>
    </row>
    <row r="5815" spans="1:2" x14ac:dyDescent="0.2">
      <c r="A5815" s="117">
        <v>40512</v>
      </c>
      <c r="B5815" s="116">
        <f t="shared" si="90"/>
        <v>115</v>
      </c>
    </row>
    <row r="5816" spans="1:2" x14ac:dyDescent="0.2">
      <c r="A5816" s="117">
        <v>40513</v>
      </c>
      <c r="B5816" s="116">
        <f t="shared" si="90"/>
        <v>115</v>
      </c>
    </row>
    <row r="5817" spans="1:2" x14ac:dyDescent="0.2">
      <c r="A5817" s="117">
        <v>40514</v>
      </c>
      <c r="B5817" s="116">
        <f t="shared" si="90"/>
        <v>115</v>
      </c>
    </row>
    <row r="5818" spans="1:2" x14ac:dyDescent="0.2">
      <c r="A5818" s="117">
        <v>40515</v>
      </c>
      <c r="B5818" s="116">
        <f t="shared" si="90"/>
        <v>115</v>
      </c>
    </row>
    <row r="5819" spans="1:2" x14ac:dyDescent="0.2">
      <c r="A5819" s="117">
        <v>40516</v>
      </c>
      <c r="B5819" s="116">
        <f t="shared" si="90"/>
        <v>115</v>
      </c>
    </row>
    <row r="5820" spans="1:2" x14ac:dyDescent="0.2">
      <c r="A5820" s="117">
        <v>40517</v>
      </c>
      <c r="B5820" s="116">
        <f t="shared" si="90"/>
        <v>121</v>
      </c>
    </row>
    <row r="5821" spans="1:2" x14ac:dyDescent="0.2">
      <c r="A5821" s="117">
        <v>40518</v>
      </c>
      <c r="B5821" s="116">
        <f t="shared" si="90"/>
        <v>121</v>
      </c>
    </row>
    <row r="5822" spans="1:2" x14ac:dyDescent="0.2">
      <c r="A5822" s="117">
        <v>40519</v>
      </c>
      <c r="B5822" s="116">
        <f t="shared" si="90"/>
        <v>121</v>
      </c>
    </row>
    <row r="5823" spans="1:2" x14ac:dyDescent="0.2">
      <c r="A5823" s="117">
        <v>40520</v>
      </c>
      <c r="B5823" s="116">
        <f t="shared" si="90"/>
        <v>121</v>
      </c>
    </row>
    <row r="5824" spans="1:2" x14ac:dyDescent="0.2">
      <c r="A5824" s="117">
        <v>40521</v>
      </c>
      <c r="B5824" s="116">
        <f t="shared" si="90"/>
        <v>121</v>
      </c>
    </row>
    <row r="5825" spans="1:2" x14ac:dyDescent="0.2">
      <c r="A5825" s="117">
        <v>40522</v>
      </c>
      <c r="B5825" s="116">
        <f t="shared" si="90"/>
        <v>121</v>
      </c>
    </row>
    <row r="5826" spans="1:2" x14ac:dyDescent="0.2">
      <c r="A5826" s="117">
        <v>40523</v>
      </c>
      <c r="B5826" s="116">
        <f t="shared" si="90"/>
        <v>121</v>
      </c>
    </row>
    <row r="5827" spans="1:2" x14ac:dyDescent="0.2">
      <c r="A5827" s="117">
        <v>40524</v>
      </c>
      <c r="B5827" s="116">
        <f t="shared" si="90"/>
        <v>122</v>
      </c>
    </row>
    <row r="5828" spans="1:2" x14ac:dyDescent="0.2">
      <c r="A5828" s="117">
        <v>40525</v>
      </c>
      <c r="B5828" s="116">
        <f t="shared" ref="B5828:B5891" si="91">VLOOKUP(WEEKNUM(A5828),$D$4:$E$59,2)</f>
        <v>122</v>
      </c>
    </row>
    <row r="5829" spans="1:2" x14ac:dyDescent="0.2">
      <c r="A5829" s="117">
        <v>40526</v>
      </c>
      <c r="B5829" s="116">
        <f t="shared" si="91"/>
        <v>122</v>
      </c>
    </row>
    <row r="5830" spans="1:2" x14ac:dyDescent="0.2">
      <c r="A5830" s="117">
        <v>40527</v>
      </c>
      <c r="B5830" s="116">
        <f t="shared" si="91"/>
        <v>122</v>
      </c>
    </row>
    <row r="5831" spans="1:2" x14ac:dyDescent="0.2">
      <c r="A5831" s="117">
        <v>40528</v>
      </c>
      <c r="B5831" s="116">
        <f t="shared" si="91"/>
        <v>122</v>
      </c>
    </row>
    <row r="5832" spans="1:2" x14ac:dyDescent="0.2">
      <c r="A5832" s="117">
        <v>40529</v>
      </c>
      <c r="B5832" s="116">
        <f t="shared" si="91"/>
        <v>122</v>
      </c>
    </row>
    <row r="5833" spans="1:2" x14ac:dyDescent="0.2">
      <c r="A5833" s="117">
        <v>40530</v>
      </c>
      <c r="B5833" s="116">
        <f t="shared" si="91"/>
        <v>122</v>
      </c>
    </row>
    <row r="5834" spans="1:2" x14ac:dyDescent="0.2">
      <c r="A5834" s="117">
        <v>40531</v>
      </c>
      <c r="B5834" s="116">
        <f t="shared" si="91"/>
        <v>123</v>
      </c>
    </row>
    <row r="5835" spans="1:2" x14ac:dyDescent="0.2">
      <c r="A5835" s="117">
        <v>40532</v>
      </c>
      <c r="B5835" s="116">
        <f t="shared" si="91"/>
        <v>123</v>
      </c>
    </row>
    <row r="5836" spans="1:2" x14ac:dyDescent="0.2">
      <c r="A5836" s="117">
        <v>40533</v>
      </c>
      <c r="B5836" s="116">
        <f t="shared" si="91"/>
        <v>123</v>
      </c>
    </row>
    <row r="5837" spans="1:2" x14ac:dyDescent="0.2">
      <c r="A5837" s="117">
        <v>40534</v>
      </c>
      <c r="B5837" s="116">
        <f t="shared" si="91"/>
        <v>123</v>
      </c>
    </row>
    <row r="5838" spans="1:2" x14ac:dyDescent="0.2">
      <c r="A5838" s="117">
        <v>40535</v>
      </c>
      <c r="B5838" s="116">
        <f t="shared" si="91"/>
        <v>123</v>
      </c>
    </row>
    <row r="5839" spans="1:2" x14ac:dyDescent="0.2">
      <c r="A5839" s="117">
        <v>40536</v>
      </c>
      <c r="B5839" s="116">
        <f t="shared" si="91"/>
        <v>123</v>
      </c>
    </row>
    <row r="5840" spans="1:2" x14ac:dyDescent="0.2">
      <c r="A5840" s="117">
        <v>40537</v>
      </c>
      <c r="B5840" s="116">
        <f t="shared" si="91"/>
        <v>123</v>
      </c>
    </row>
    <row r="5841" spans="1:2" x14ac:dyDescent="0.2">
      <c r="A5841" s="117">
        <v>40538</v>
      </c>
      <c r="B5841" s="116">
        <f t="shared" si="91"/>
        <v>124</v>
      </c>
    </row>
    <row r="5842" spans="1:2" x14ac:dyDescent="0.2">
      <c r="A5842" s="117">
        <v>40539</v>
      </c>
      <c r="B5842" s="116">
        <f t="shared" si="91"/>
        <v>124</v>
      </c>
    </row>
    <row r="5843" spans="1:2" x14ac:dyDescent="0.2">
      <c r="A5843" s="117">
        <v>40540</v>
      </c>
      <c r="B5843" s="116">
        <f t="shared" si="91"/>
        <v>124</v>
      </c>
    </row>
    <row r="5844" spans="1:2" x14ac:dyDescent="0.2">
      <c r="A5844" s="117">
        <v>40541</v>
      </c>
      <c r="B5844" s="116">
        <f t="shared" si="91"/>
        <v>124</v>
      </c>
    </row>
    <row r="5845" spans="1:2" x14ac:dyDescent="0.2">
      <c r="A5845" s="117">
        <v>40542</v>
      </c>
      <c r="B5845" s="116">
        <f t="shared" si="91"/>
        <v>124</v>
      </c>
    </row>
    <row r="5846" spans="1:2" x14ac:dyDescent="0.2">
      <c r="A5846" s="117">
        <v>40543</v>
      </c>
      <c r="B5846" s="116">
        <f t="shared" si="91"/>
        <v>124</v>
      </c>
    </row>
    <row r="5847" spans="1:2" x14ac:dyDescent="0.2">
      <c r="A5847" s="117">
        <v>40544</v>
      </c>
      <c r="B5847" s="116">
        <f t="shared" si="91"/>
        <v>11</v>
      </c>
    </row>
    <row r="5848" spans="1:2" x14ac:dyDescent="0.2">
      <c r="A5848" s="117">
        <v>40545</v>
      </c>
      <c r="B5848" s="116">
        <f t="shared" si="91"/>
        <v>12</v>
      </c>
    </row>
    <row r="5849" spans="1:2" x14ac:dyDescent="0.2">
      <c r="A5849" s="117">
        <v>40546</v>
      </c>
      <c r="B5849" s="116">
        <f t="shared" si="91"/>
        <v>12</v>
      </c>
    </row>
    <row r="5850" spans="1:2" x14ac:dyDescent="0.2">
      <c r="A5850" s="117">
        <v>40547</v>
      </c>
      <c r="B5850" s="116">
        <f t="shared" si="91"/>
        <v>12</v>
      </c>
    </row>
    <row r="5851" spans="1:2" x14ac:dyDescent="0.2">
      <c r="A5851" s="117">
        <v>40548</v>
      </c>
      <c r="B5851" s="116">
        <f t="shared" si="91"/>
        <v>12</v>
      </c>
    </row>
    <row r="5852" spans="1:2" x14ac:dyDescent="0.2">
      <c r="A5852" s="117">
        <v>40549</v>
      </c>
      <c r="B5852" s="116">
        <f t="shared" si="91"/>
        <v>12</v>
      </c>
    </row>
    <row r="5853" spans="1:2" x14ac:dyDescent="0.2">
      <c r="A5853" s="117">
        <v>40550</v>
      </c>
      <c r="B5853" s="116">
        <f t="shared" si="91"/>
        <v>12</v>
      </c>
    </row>
    <row r="5854" spans="1:2" x14ac:dyDescent="0.2">
      <c r="A5854" s="117">
        <v>40551</v>
      </c>
      <c r="B5854" s="116">
        <f t="shared" si="91"/>
        <v>12</v>
      </c>
    </row>
    <row r="5855" spans="1:2" x14ac:dyDescent="0.2">
      <c r="A5855" s="117">
        <v>40552</v>
      </c>
      <c r="B5855" s="116">
        <f t="shared" si="91"/>
        <v>13</v>
      </c>
    </row>
    <row r="5856" spans="1:2" x14ac:dyDescent="0.2">
      <c r="A5856" s="117">
        <v>40553</v>
      </c>
      <c r="B5856" s="116">
        <f t="shared" si="91"/>
        <v>13</v>
      </c>
    </row>
    <row r="5857" spans="1:2" x14ac:dyDescent="0.2">
      <c r="A5857" s="117">
        <v>40554</v>
      </c>
      <c r="B5857" s="116">
        <f t="shared" si="91"/>
        <v>13</v>
      </c>
    </row>
    <row r="5858" spans="1:2" x14ac:dyDescent="0.2">
      <c r="A5858" s="117">
        <v>40555</v>
      </c>
      <c r="B5858" s="116">
        <f t="shared" si="91"/>
        <v>13</v>
      </c>
    </row>
    <row r="5859" spans="1:2" x14ac:dyDescent="0.2">
      <c r="A5859" s="117">
        <v>40556</v>
      </c>
      <c r="B5859" s="116">
        <f t="shared" si="91"/>
        <v>13</v>
      </c>
    </row>
    <row r="5860" spans="1:2" x14ac:dyDescent="0.2">
      <c r="A5860" s="117">
        <v>40557</v>
      </c>
      <c r="B5860" s="116">
        <f t="shared" si="91"/>
        <v>13</v>
      </c>
    </row>
    <row r="5861" spans="1:2" x14ac:dyDescent="0.2">
      <c r="A5861" s="117">
        <v>40558</v>
      </c>
      <c r="B5861" s="116">
        <f t="shared" si="91"/>
        <v>13</v>
      </c>
    </row>
    <row r="5862" spans="1:2" x14ac:dyDescent="0.2">
      <c r="A5862" s="117">
        <v>40559</v>
      </c>
      <c r="B5862" s="116">
        <f t="shared" si="91"/>
        <v>14</v>
      </c>
    </row>
    <row r="5863" spans="1:2" x14ac:dyDescent="0.2">
      <c r="A5863" s="117">
        <v>40560</v>
      </c>
      <c r="B5863" s="116">
        <f t="shared" si="91"/>
        <v>14</v>
      </c>
    </row>
    <row r="5864" spans="1:2" x14ac:dyDescent="0.2">
      <c r="A5864" s="117">
        <v>40561</v>
      </c>
      <c r="B5864" s="116">
        <f t="shared" si="91"/>
        <v>14</v>
      </c>
    </row>
    <row r="5865" spans="1:2" x14ac:dyDescent="0.2">
      <c r="A5865" s="117">
        <v>40562</v>
      </c>
      <c r="B5865" s="116">
        <f t="shared" si="91"/>
        <v>14</v>
      </c>
    </row>
    <row r="5866" spans="1:2" x14ac:dyDescent="0.2">
      <c r="A5866" s="117">
        <v>40563</v>
      </c>
      <c r="B5866" s="116">
        <f t="shared" si="91"/>
        <v>14</v>
      </c>
    </row>
    <row r="5867" spans="1:2" x14ac:dyDescent="0.2">
      <c r="A5867" s="117">
        <v>40564</v>
      </c>
      <c r="B5867" s="116">
        <f t="shared" si="91"/>
        <v>14</v>
      </c>
    </row>
    <row r="5868" spans="1:2" x14ac:dyDescent="0.2">
      <c r="A5868" s="117">
        <v>40565</v>
      </c>
      <c r="B5868" s="116">
        <f t="shared" si="91"/>
        <v>14</v>
      </c>
    </row>
    <row r="5869" spans="1:2" x14ac:dyDescent="0.2">
      <c r="A5869" s="117">
        <v>40566</v>
      </c>
      <c r="B5869" s="116">
        <f t="shared" si="91"/>
        <v>15</v>
      </c>
    </row>
    <row r="5870" spans="1:2" x14ac:dyDescent="0.2">
      <c r="A5870" s="117">
        <v>40567</v>
      </c>
      <c r="B5870" s="116">
        <f t="shared" si="91"/>
        <v>15</v>
      </c>
    </row>
    <row r="5871" spans="1:2" x14ac:dyDescent="0.2">
      <c r="A5871" s="117">
        <v>40568</v>
      </c>
      <c r="B5871" s="116">
        <f t="shared" si="91"/>
        <v>15</v>
      </c>
    </row>
    <row r="5872" spans="1:2" x14ac:dyDescent="0.2">
      <c r="A5872" s="117">
        <v>40569</v>
      </c>
      <c r="B5872" s="116">
        <f t="shared" si="91"/>
        <v>15</v>
      </c>
    </row>
    <row r="5873" spans="1:2" x14ac:dyDescent="0.2">
      <c r="A5873" s="117">
        <v>40570</v>
      </c>
      <c r="B5873" s="116">
        <f t="shared" si="91"/>
        <v>15</v>
      </c>
    </row>
    <row r="5874" spans="1:2" x14ac:dyDescent="0.2">
      <c r="A5874" s="117">
        <v>40571</v>
      </c>
      <c r="B5874" s="116">
        <f t="shared" si="91"/>
        <v>15</v>
      </c>
    </row>
    <row r="5875" spans="1:2" x14ac:dyDescent="0.2">
      <c r="A5875" s="117">
        <v>40572</v>
      </c>
      <c r="B5875" s="116">
        <f t="shared" si="91"/>
        <v>15</v>
      </c>
    </row>
    <row r="5876" spans="1:2" x14ac:dyDescent="0.2">
      <c r="A5876" s="117">
        <v>40573</v>
      </c>
      <c r="B5876" s="116">
        <f t="shared" si="91"/>
        <v>21</v>
      </c>
    </row>
    <row r="5877" spans="1:2" x14ac:dyDescent="0.2">
      <c r="A5877" s="117">
        <v>40574</v>
      </c>
      <c r="B5877" s="116">
        <f t="shared" si="91"/>
        <v>21</v>
      </c>
    </row>
    <row r="5878" spans="1:2" x14ac:dyDescent="0.2">
      <c r="A5878" s="117">
        <v>40575</v>
      </c>
      <c r="B5878" s="116">
        <f t="shared" si="91"/>
        <v>21</v>
      </c>
    </row>
    <row r="5879" spans="1:2" x14ac:dyDescent="0.2">
      <c r="A5879" s="117">
        <v>40576</v>
      </c>
      <c r="B5879" s="116">
        <f t="shared" si="91"/>
        <v>21</v>
      </c>
    </row>
    <row r="5880" spans="1:2" x14ac:dyDescent="0.2">
      <c r="A5880" s="117">
        <v>40577</v>
      </c>
      <c r="B5880" s="116">
        <f t="shared" si="91"/>
        <v>21</v>
      </c>
    </row>
    <row r="5881" spans="1:2" x14ac:dyDescent="0.2">
      <c r="A5881" s="117">
        <v>40578</v>
      </c>
      <c r="B5881" s="116">
        <f t="shared" si="91"/>
        <v>21</v>
      </c>
    </row>
    <row r="5882" spans="1:2" x14ac:dyDescent="0.2">
      <c r="A5882" s="117">
        <v>40579</v>
      </c>
      <c r="B5882" s="116">
        <f t="shared" si="91"/>
        <v>21</v>
      </c>
    </row>
    <row r="5883" spans="1:2" x14ac:dyDescent="0.2">
      <c r="A5883" s="117">
        <v>40580</v>
      </c>
      <c r="B5883" s="116">
        <f t="shared" si="91"/>
        <v>22</v>
      </c>
    </row>
    <row r="5884" spans="1:2" x14ac:dyDescent="0.2">
      <c r="A5884" s="117">
        <v>40581</v>
      </c>
      <c r="B5884" s="116">
        <f t="shared" si="91"/>
        <v>22</v>
      </c>
    </row>
    <row r="5885" spans="1:2" x14ac:dyDescent="0.2">
      <c r="A5885" s="117">
        <v>40582</v>
      </c>
      <c r="B5885" s="116">
        <f t="shared" si="91"/>
        <v>22</v>
      </c>
    </row>
    <row r="5886" spans="1:2" x14ac:dyDescent="0.2">
      <c r="A5886" s="117">
        <v>40583</v>
      </c>
      <c r="B5886" s="116">
        <f t="shared" si="91"/>
        <v>22</v>
      </c>
    </row>
    <row r="5887" spans="1:2" x14ac:dyDescent="0.2">
      <c r="A5887" s="117">
        <v>40584</v>
      </c>
      <c r="B5887" s="116">
        <f t="shared" si="91"/>
        <v>22</v>
      </c>
    </row>
    <row r="5888" spans="1:2" x14ac:dyDescent="0.2">
      <c r="A5888" s="117">
        <v>40585</v>
      </c>
      <c r="B5888" s="116">
        <f t="shared" si="91"/>
        <v>22</v>
      </c>
    </row>
    <row r="5889" spans="1:2" x14ac:dyDescent="0.2">
      <c r="A5889" s="117">
        <v>40586</v>
      </c>
      <c r="B5889" s="116">
        <f t="shared" si="91"/>
        <v>22</v>
      </c>
    </row>
    <row r="5890" spans="1:2" x14ac:dyDescent="0.2">
      <c r="A5890" s="117">
        <v>40587</v>
      </c>
      <c r="B5890" s="116">
        <f t="shared" si="91"/>
        <v>23</v>
      </c>
    </row>
    <row r="5891" spans="1:2" x14ac:dyDescent="0.2">
      <c r="A5891" s="117">
        <v>40588</v>
      </c>
      <c r="B5891" s="116">
        <f t="shared" si="91"/>
        <v>23</v>
      </c>
    </row>
    <row r="5892" spans="1:2" x14ac:dyDescent="0.2">
      <c r="A5892" s="117">
        <v>40589</v>
      </c>
      <c r="B5892" s="116">
        <f t="shared" ref="B5892:B5955" si="92">VLOOKUP(WEEKNUM(A5892),$D$4:$E$59,2)</f>
        <v>23</v>
      </c>
    </row>
    <row r="5893" spans="1:2" x14ac:dyDescent="0.2">
      <c r="A5893" s="117">
        <v>40590</v>
      </c>
      <c r="B5893" s="116">
        <f t="shared" si="92"/>
        <v>23</v>
      </c>
    </row>
    <row r="5894" spans="1:2" x14ac:dyDescent="0.2">
      <c r="A5894" s="117">
        <v>40591</v>
      </c>
      <c r="B5894" s="116">
        <f t="shared" si="92"/>
        <v>23</v>
      </c>
    </row>
    <row r="5895" spans="1:2" x14ac:dyDescent="0.2">
      <c r="A5895" s="117">
        <v>40592</v>
      </c>
      <c r="B5895" s="116">
        <f t="shared" si="92"/>
        <v>23</v>
      </c>
    </row>
    <row r="5896" spans="1:2" x14ac:dyDescent="0.2">
      <c r="A5896" s="117">
        <v>40593</v>
      </c>
      <c r="B5896" s="116">
        <f t="shared" si="92"/>
        <v>23</v>
      </c>
    </row>
    <row r="5897" spans="1:2" x14ac:dyDescent="0.2">
      <c r="A5897" s="117">
        <v>40594</v>
      </c>
      <c r="B5897" s="116">
        <f t="shared" si="92"/>
        <v>24</v>
      </c>
    </row>
    <row r="5898" spans="1:2" x14ac:dyDescent="0.2">
      <c r="A5898" s="117">
        <v>40595</v>
      </c>
      <c r="B5898" s="116">
        <f t="shared" si="92"/>
        <v>24</v>
      </c>
    </row>
    <row r="5899" spans="1:2" x14ac:dyDescent="0.2">
      <c r="A5899" s="117">
        <v>40596</v>
      </c>
      <c r="B5899" s="116">
        <f t="shared" si="92"/>
        <v>24</v>
      </c>
    </row>
    <row r="5900" spans="1:2" x14ac:dyDescent="0.2">
      <c r="A5900" s="117">
        <v>40597</v>
      </c>
      <c r="B5900" s="116">
        <f t="shared" si="92"/>
        <v>24</v>
      </c>
    </row>
    <row r="5901" spans="1:2" x14ac:dyDescent="0.2">
      <c r="A5901" s="117">
        <v>40598</v>
      </c>
      <c r="B5901" s="116">
        <f t="shared" si="92"/>
        <v>24</v>
      </c>
    </row>
    <row r="5902" spans="1:2" x14ac:dyDescent="0.2">
      <c r="A5902" s="117">
        <v>40599</v>
      </c>
      <c r="B5902" s="116">
        <f t="shared" si="92"/>
        <v>24</v>
      </c>
    </row>
    <row r="5903" spans="1:2" x14ac:dyDescent="0.2">
      <c r="A5903" s="117">
        <v>40600</v>
      </c>
      <c r="B5903" s="116">
        <f t="shared" si="92"/>
        <v>24</v>
      </c>
    </row>
    <row r="5904" spans="1:2" x14ac:dyDescent="0.2">
      <c r="A5904" s="117">
        <v>40601</v>
      </c>
      <c r="B5904" s="116">
        <f t="shared" si="92"/>
        <v>31</v>
      </c>
    </row>
    <row r="5905" spans="1:2" x14ac:dyDescent="0.2">
      <c r="A5905" s="117">
        <v>40602</v>
      </c>
      <c r="B5905" s="116">
        <f t="shared" si="92"/>
        <v>31</v>
      </c>
    </row>
    <row r="5906" spans="1:2" x14ac:dyDescent="0.2">
      <c r="A5906" s="117">
        <v>40603</v>
      </c>
      <c r="B5906" s="116">
        <f t="shared" si="92"/>
        <v>31</v>
      </c>
    </row>
    <row r="5907" spans="1:2" x14ac:dyDescent="0.2">
      <c r="A5907" s="117">
        <v>40604</v>
      </c>
      <c r="B5907" s="116">
        <f t="shared" si="92"/>
        <v>31</v>
      </c>
    </row>
    <row r="5908" spans="1:2" x14ac:dyDescent="0.2">
      <c r="A5908" s="117">
        <v>40605</v>
      </c>
      <c r="B5908" s="116">
        <f t="shared" si="92"/>
        <v>31</v>
      </c>
    </row>
    <row r="5909" spans="1:2" x14ac:dyDescent="0.2">
      <c r="A5909" s="117">
        <v>40606</v>
      </c>
      <c r="B5909" s="116">
        <f t="shared" si="92"/>
        <v>31</v>
      </c>
    </row>
    <row r="5910" spans="1:2" x14ac:dyDescent="0.2">
      <c r="A5910" s="117">
        <v>40607</v>
      </c>
      <c r="B5910" s="116">
        <f t="shared" si="92"/>
        <v>31</v>
      </c>
    </row>
    <row r="5911" spans="1:2" x14ac:dyDescent="0.2">
      <c r="A5911" s="117">
        <v>40608</v>
      </c>
      <c r="B5911" s="116">
        <f t="shared" si="92"/>
        <v>32</v>
      </c>
    </row>
    <row r="5912" spans="1:2" x14ac:dyDescent="0.2">
      <c r="A5912" s="117">
        <v>40609</v>
      </c>
      <c r="B5912" s="116">
        <f t="shared" si="92"/>
        <v>32</v>
      </c>
    </row>
    <row r="5913" spans="1:2" x14ac:dyDescent="0.2">
      <c r="A5913" s="117">
        <v>40610</v>
      </c>
      <c r="B5913" s="116">
        <f t="shared" si="92"/>
        <v>32</v>
      </c>
    </row>
    <row r="5914" spans="1:2" x14ac:dyDescent="0.2">
      <c r="A5914" s="117">
        <v>40611</v>
      </c>
      <c r="B5914" s="116">
        <f t="shared" si="92"/>
        <v>32</v>
      </c>
    </row>
    <row r="5915" spans="1:2" x14ac:dyDescent="0.2">
      <c r="A5915" s="117">
        <v>40612</v>
      </c>
      <c r="B5915" s="116">
        <f t="shared" si="92"/>
        <v>32</v>
      </c>
    </row>
    <row r="5916" spans="1:2" x14ac:dyDescent="0.2">
      <c r="A5916" s="117">
        <v>40613</v>
      </c>
      <c r="B5916" s="116">
        <f t="shared" si="92"/>
        <v>32</v>
      </c>
    </row>
    <row r="5917" spans="1:2" x14ac:dyDescent="0.2">
      <c r="A5917" s="117">
        <v>40614</v>
      </c>
      <c r="B5917" s="116">
        <f t="shared" si="92"/>
        <v>32</v>
      </c>
    </row>
    <row r="5918" spans="1:2" x14ac:dyDescent="0.2">
      <c r="A5918" s="117">
        <v>40615</v>
      </c>
      <c r="B5918" s="116">
        <f t="shared" si="92"/>
        <v>33</v>
      </c>
    </row>
    <row r="5919" spans="1:2" x14ac:dyDescent="0.2">
      <c r="A5919" s="117">
        <v>40616</v>
      </c>
      <c r="B5919" s="116">
        <f t="shared" si="92"/>
        <v>33</v>
      </c>
    </row>
    <row r="5920" spans="1:2" x14ac:dyDescent="0.2">
      <c r="A5920" s="117">
        <v>40617</v>
      </c>
      <c r="B5920" s="116">
        <f t="shared" si="92"/>
        <v>33</v>
      </c>
    </row>
    <row r="5921" spans="1:2" x14ac:dyDescent="0.2">
      <c r="A5921" s="117">
        <v>40618</v>
      </c>
      <c r="B5921" s="116">
        <f t="shared" si="92"/>
        <v>33</v>
      </c>
    </row>
    <row r="5922" spans="1:2" x14ac:dyDescent="0.2">
      <c r="A5922" s="117">
        <v>40619</v>
      </c>
      <c r="B5922" s="116">
        <f t="shared" si="92"/>
        <v>33</v>
      </c>
    </row>
    <row r="5923" spans="1:2" x14ac:dyDescent="0.2">
      <c r="A5923" s="117">
        <v>40620</v>
      </c>
      <c r="B5923" s="116">
        <f t="shared" si="92"/>
        <v>33</v>
      </c>
    </row>
    <row r="5924" spans="1:2" x14ac:dyDescent="0.2">
      <c r="A5924" s="117">
        <v>40621</v>
      </c>
      <c r="B5924" s="116">
        <f t="shared" si="92"/>
        <v>33</v>
      </c>
    </row>
    <row r="5925" spans="1:2" x14ac:dyDescent="0.2">
      <c r="A5925" s="117">
        <v>40622</v>
      </c>
      <c r="B5925" s="116">
        <f t="shared" si="92"/>
        <v>34</v>
      </c>
    </row>
    <row r="5926" spans="1:2" x14ac:dyDescent="0.2">
      <c r="A5926" s="117">
        <v>40623</v>
      </c>
      <c r="B5926" s="116">
        <f t="shared" si="92"/>
        <v>34</v>
      </c>
    </row>
    <row r="5927" spans="1:2" x14ac:dyDescent="0.2">
      <c r="A5927" s="117">
        <v>40624</v>
      </c>
      <c r="B5927" s="116">
        <f t="shared" si="92"/>
        <v>34</v>
      </c>
    </row>
    <row r="5928" spans="1:2" x14ac:dyDescent="0.2">
      <c r="A5928" s="117">
        <v>40625</v>
      </c>
      <c r="B5928" s="116">
        <f t="shared" si="92"/>
        <v>34</v>
      </c>
    </row>
    <row r="5929" spans="1:2" x14ac:dyDescent="0.2">
      <c r="A5929" s="117">
        <v>40626</v>
      </c>
      <c r="B5929" s="116">
        <f t="shared" si="92"/>
        <v>34</v>
      </c>
    </row>
    <row r="5930" spans="1:2" x14ac:dyDescent="0.2">
      <c r="A5930" s="117">
        <v>40627</v>
      </c>
      <c r="B5930" s="116">
        <f t="shared" si="92"/>
        <v>34</v>
      </c>
    </row>
    <row r="5931" spans="1:2" x14ac:dyDescent="0.2">
      <c r="A5931" s="117">
        <v>40628</v>
      </c>
      <c r="B5931" s="116">
        <f t="shared" si="92"/>
        <v>34</v>
      </c>
    </row>
    <row r="5932" spans="1:2" x14ac:dyDescent="0.2">
      <c r="A5932" s="117">
        <v>40629</v>
      </c>
      <c r="B5932" s="116">
        <f t="shared" si="92"/>
        <v>41</v>
      </c>
    </row>
    <row r="5933" spans="1:2" x14ac:dyDescent="0.2">
      <c r="A5933" s="117">
        <v>40630</v>
      </c>
      <c r="B5933" s="116">
        <f t="shared" si="92"/>
        <v>41</v>
      </c>
    </row>
    <row r="5934" spans="1:2" x14ac:dyDescent="0.2">
      <c r="A5934" s="117">
        <v>40631</v>
      </c>
      <c r="B5934" s="116">
        <f t="shared" si="92"/>
        <v>41</v>
      </c>
    </row>
    <row r="5935" spans="1:2" x14ac:dyDescent="0.2">
      <c r="A5935" s="117">
        <v>40632</v>
      </c>
      <c r="B5935" s="116">
        <f t="shared" si="92"/>
        <v>41</v>
      </c>
    </row>
    <row r="5936" spans="1:2" x14ac:dyDescent="0.2">
      <c r="A5936" s="117">
        <v>40633</v>
      </c>
      <c r="B5936" s="116">
        <f t="shared" si="92"/>
        <v>41</v>
      </c>
    </row>
    <row r="5937" spans="1:2" x14ac:dyDescent="0.2">
      <c r="A5937" s="117">
        <v>40634</v>
      </c>
      <c r="B5937" s="116">
        <f t="shared" si="92"/>
        <v>41</v>
      </c>
    </row>
    <row r="5938" spans="1:2" x14ac:dyDescent="0.2">
      <c r="A5938" s="117">
        <v>40635</v>
      </c>
      <c r="B5938" s="116">
        <f t="shared" si="92"/>
        <v>41</v>
      </c>
    </row>
    <row r="5939" spans="1:2" x14ac:dyDescent="0.2">
      <c r="A5939" s="117">
        <v>40636</v>
      </c>
      <c r="B5939" s="116">
        <f t="shared" si="92"/>
        <v>42</v>
      </c>
    </row>
    <row r="5940" spans="1:2" x14ac:dyDescent="0.2">
      <c r="A5940" s="117">
        <v>40637</v>
      </c>
      <c r="B5940" s="116">
        <f t="shared" si="92"/>
        <v>42</v>
      </c>
    </row>
    <row r="5941" spans="1:2" x14ac:dyDescent="0.2">
      <c r="A5941" s="117">
        <v>40638</v>
      </c>
      <c r="B5941" s="116">
        <f t="shared" si="92"/>
        <v>42</v>
      </c>
    </row>
    <row r="5942" spans="1:2" x14ac:dyDescent="0.2">
      <c r="A5942" s="117">
        <v>40639</v>
      </c>
      <c r="B5942" s="116">
        <f t="shared" si="92"/>
        <v>42</v>
      </c>
    </row>
    <row r="5943" spans="1:2" x14ac:dyDescent="0.2">
      <c r="A5943" s="117">
        <v>40640</v>
      </c>
      <c r="B5943" s="116">
        <f t="shared" si="92"/>
        <v>42</v>
      </c>
    </row>
    <row r="5944" spans="1:2" x14ac:dyDescent="0.2">
      <c r="A5944" s="117">
        <v>40641</v>
      </c>
      <c r="B5944" s="116">
        <f t="shared" si="92"/>
        <v>42</v>
      </c>
    </row>
    <row r="5945" spans="1:2" x14ac:dyDescent="0.2">
      <c r="A5945" s="117">
        <v>40642</v>
      </c>
      <c r="B5945" s="116">
        <f t="shared" si="92"/>
        <v>42</v>
      </c>
    </row>
    <row r="5946" spans="1:2" x14ac:dyDescent="0.2">
      <c r="A5946" s="117">
        <v>40643</v>
      </c>
      <c r="B5946" s="116">
        <f t="shared" si="92"/>
        <v>43</v>
      </c>
    </row>
    <row r="5947" spans="1:2" x14ac:dyDescent="0.2">
      <c r="A5947" s="117">
        <v>40644</v>
      </c>
      <c r="B5947" s="116">
        <f t="shared" si="92"/>
        <v>43</v>
      </c>
    </row>
    <row r="5948" spans="1:2" x14ac:dyDescent="0.2">
      <c r="A5948" s="117">
        <v>40645</v>
      </c>
      <c r="B5948" s="116">
        <f t="shared" si="92"/>
        <v>43</v>
      </c>
    </row>
    <row r="5949" spans="1:2" x14ac:dyDescent="0.2">
      <c r="A5949" s="117">
        <v>40646</v>
      </c>
      <c r="B5949" s="116">
        <f t="shared" si="92"/>
        <v>43</v>
      </c>
    </row>
    <row r="5950" spans="1:2" x14ac:dyDescent="0.2">
      <c r="A5950" s="117">
        <v>40647</v>
      </c>
      <c r="B5950" s="116">
        <f t="shared" si="92"/>
        <v>43</v>
      </c>
    </row>
    <row r="5951" spans="1:2" x14ac:dyDescent="0.2">
      <c r="A5951" s="117">
        <v>40648</v>
      </c>
      <c r="B5951" s="116">
        <f t="shared" si="92"/>
        <v>43</v>
      </c>
    </row>
    <row r="5952" spans="1:2" x14ac:dyDescent="0.2">
      <c r="A5952" s="117">
        <v>40649</v>
      </c>
      <c r="B5952" s="116">
        <f t="shared" si="92"/>
        <v>43</v>
      </c>
    </row>
    <row r="5953" spans="1:2" x14ac:dyDescent="0.2">
      <c r="A5953" s="117">
        <v>40650</v>
      </c>
      <c r="B5953" s="116">
        <f t="shared" si="92"/>
        <v>44</v>
      </c>
    </row>
    <row r="5954" spans="1:2" x14ac:dyDescent="0.2">
      <c r="A5954" s="117">
        <v>40651</v>
      </c>
      <c r="B5954" s="116">
        <f t="shared" si="92"/>
        <v>44</v>
      </c>
    </row>
    <row r="5955" spans="1:2" x14ac:dyDescent="0.2">
      <c r="A5955" s="117">
        <v>40652</v>
      </c>
      <c r="B5955" s="116">
        <f t="shared" si="92"/>
        <v>44</v>
      </c>
    </row>
    <row r="5956" spans="1:2" x14ac:dyDescent="0.2">
      <c r="A5956" s="117">
        <v>40653</v>
      </c>
      <c r="B5956" s="116">
        <f t="shared" ref="B5956:B6019" si="93">VLOOKUP(WEEKNUM(A5956),$D$4:$E$59,2)</f>
        <v>44</v>
      </c>
    </row>
    <row r="5957" spans="1:2" x14ac:dyDescent="0.2">
      <c r="A5957" s="117">
        <v>40654</v>
      </c>
      <c r="B5957" s="116">
        <f t="shared" si="93"/>
        <v>44</v>
      </c>
    </row>
    <row r="5958" spans="1:2" x14ac:dyDescent="0.2">
      <c r="A5958" s="117">
        <v>40655</v>
      </c>
      <c r="B5958" s="116">
        <f t="shared" si="93"/>
        <v>44</v>
      </c>
    </row>
    <row r="5959" spans="1:2" x14ac:dyDescent="0.2">
      <c r="A5959" s="117">
        <v>40656</v>
      </c>
      <c r="B5959" s="116">
        <f t="shared" si="93"/>
        <v>44</v>
      </c>
    </row>
    <row r="5960" spans="1:2" x14ac:dyDescent="0.2">
      <c r="A5960" s="117">
        <v>40657</v>
      </c>
      <c r="B5960" s="116">
        <f t="shared" si="93"/>
        <v>45</v>
      </c>
    </row>
    <row r="5961" spans="1:2" x14ac:dyDescent="0.2">
      <c r="A5961" s="117">
        <v>40658</v>
      </c>
      <c r="B5961" s="116">
        <f t="shared" si="93"/>
        <v>45</v>
      </c>
    </row>
    <row r="5962" spans="1:2" x14ac:dyDescent="0.2">
      <c r="A5962" s="117">
        <v>40659</v>
      </c>
      <c r="B5962" s="116">
        <f t="shared" si="93"/>
        <v>45</v>
      </c>
    </row>
    <row r="5963" spans="1:2" x14ac:dyDescent="0.2">
      <c r="A5963" s="117">
        <v>40660</v>
      </c>
      <c r="B5963" s="116">
        <f t="shared" si="93"/>
        <v>45</v>
      </c>
    </row>
    <row r="5964" spans="1:2" x14ac:dyDescent="0.2">
      <c r="A5964" s="117">
        <v>40661</v>
      </c>
      <c r="B5964" s="116">
        <f t="shared" si="93"/>
        <v>45</v>
      </c>
    </row>
    <row r="5965" spans="1:2" x14ac:dyDescent="0.2">
      <c r="A5965" s="117">
        <v>40662</v>
      </c>
      <c r="B5965" s="116">
        <f t="shared" si="93"/>
        <v>45</v>
      </c>
    </row>
    <row r="5966" spans="1:2" x14ac:dyDescent="0.2">
      <c r="A5966" s="117">
        <v>40663</v>
      </c>
      <c r="B5966" s="116">
        <f t="shared" si="93"/>
        <v>45</v>
      </c>
    </row>
    <row r="5967" spans="1:2" x14ac:dyDescent="0.2">
      <c r="A5967" s="117">
        <v>40664</v>
      </c>
      <c r="B5967" s="116">
        <f t="shared" si="93"/>
        <v>51</v>
      </c>
    </row>
    <row r="5968" spans="1:2" x14ac:dyDescent="0.2">
      <c r="A5968" s="117">
        <v>40665</v>
      </c>
      <c r="B5968" s="116">
        <f t="shared" si="93"/>
        <v>51</v>
      </c>
    </row>
    <row r="5969" spans="1:2" x14ac:dyDescent="0.2">
      <c r="A5969" s="117">
        <v>40666</v>
      </c>
      <c r="B5969" s="116">
        <f t="shared" si="93"/>
        <v>51</v>
      </c>
    </row>
    <row r="5970" spans="1:2" x14ac:dyDescent="0.2">
      <c r="A5970" s="117">
        <v>40667</v>
      </c>
      <c r="B5970" s="116">
        <f t="shared" si="93"/>
        <v>51</v>
      </c>
    </row>
    <row r="5971" spans="1:2" x14ac:dyDescent="0.2">
      <c r="A5971" s="117">
        <v>40668</v>
      </c>
      <c r="B5971" s="116">
        <f t="shared" si="93"/>
        <v>51</v>
      </c>
    </row>
    <row r="5972" spans="1:2" x14ac:dyDescent="0.2">
      <c r="A5972" s="117">
        <v>40669</v>
      </c>
      <c r="B5972" s="116">
        <f t="shared" si="93"/>
        <v>51</v>
      </c>
    </row>
    <row r="5973" spans="1:2" x14ac:dyDescent="0.2">
      <c r="A5973" s="117">
        <v>40670</v>
      </c>
      <c r="B5973" s="116">
        <f t="shared" si="93"/>
        <v>51</v>
      </c>
    </row>
    <row r="5974" spans="1:2" x14ac:dyDescent="0.2">
      <c r="A5974" s="117">
        <v>40671</v>
      </c>
      <c r="B5974" s="116">
        <f t="shared" si="93"/>
        <v>52</v>
      </c>
    </row>
    <row r="5975" spans="1:2" x14ac:dyDescent="0.2">
      <c r="A5975" s="117">
        <v>40672</v>
      </c>
      <c r="B5975" s="116">
        <f t="shared" si="93"/>
        <v>52</v>
      </c>
    </row>
    <row r="5976" spans="1:2" x14ac:dyDescent="0.2">
      <c r="A5976" s="117">
        <v>40673</v>
      </c>
      <c r="B5976" s="116">
        <f t="shared" si="93"/>
        <v>52</v>
      </c>
    </row>
    <row r="5977" spans="1:2" x14ac:dyDescent="0.2">
      <c r="A5977" s="117">
        <v>40674</v>
      </c>
      <c r="B5977" s="116">
        <f t="shared" si="93"/>
        <v>52</v>
      </c>
    </row>
    <row r="5978" spans="1:2" x14ac:dyDescent="0.2">
      <c r="A5978" s="117">
        <v>40675</v>
      </c>
      <c r="B5978" s="116">
        <f t="shared" si="93"/>
        <v>52</v>
      </c>
    </row>
    <row r="5979" spans="1:2" x14ac:dyDescent="0.2">
      <c r="A5979" s="117">
        <v>40676</v>
      </c>
      <c r="B5979" s="116">
        <f t="shared" si="93"/>
        <v>52</v>
      </c>
    </row>
    <row r="5980" spans="1:2" x14ac:dyDescent="0.2">
      <c r="A5980" s="117">
        <v>40677</v>
      </c>
      <c r="B5980" s="116">
        <f t="shared" si="93"/>
        <v>52</v>
      </c>
    </row>
    <row r="5981" spans="1:2" x14ac:dyDescent="0.2">
      <c r="A5981" s="117">
        <v>40678</v>
      </c>
      <c r="B5981" s="116">
        <f t="shared" si="93"/>
        <v>53</v>
      </c>
    </row>
    <row r="5982" spans="1:2" x14ac:dyDescent="0.2">
      <c r="A5982" s="117">
        <v>40679</v>
      </c>
      <c r="B5982" s="116">
        <f t="shared" si="93"/>
        <v>53</v>
      </c>
    </row>
    <row r="5983" spans="1:2" x14ac:dyDescent="0.2">
      <c r="A5983" s="117">
        <v>40680</v>
      </c>
      <c r="B5983" s="116">
        <f t="shared" si="93"/>
        <v>53</v>
      </c>
    </row>
    <row r="5984" spans="1:2" x14ac:dyDescent="0.2">
      <c r="A5984" s="117">
        <v>40681</v>
      </c>
      <c r="B5984" s="116">
        <f t="shared" si="93"/>
        <v>53</v>
      </c>
    </row>
    <row r="5985" spans="1:2" x14ac:dyDescent="0.2">
      <c r="A5985" s="117">
        <v>40682</v>
      </c>
      <c r="B5985" s="116">
        <f t="shared" si="93"/>
        <v>53</v>
      </c>
    </row>
    <row r="5986" spans="1:2" x14ac:dyDescent="0.2">
      <c r="A5986" s="117">
        <v>40683</v>
      </c>
      <c r="B5986" s="116">
        <f t="shared" si="93"/>
        <v>53</v>
      </c>
    </row>
    <row r="5987" spans="1:2" x14ac:dyDescent="0.2">
      <c r="A5987" s="117">
        <v>40684</v>
      </c>
      <c r="B5987" s="116">
        <f t="shared" si="93"/>
        <v>53</v>
      </c>
    </row>
    <row r="5988" spans="1:2" x14ac:dyDescent="0.2">
      <c r="A5988" s="117">
        <v>40685</v>
      </c>
      <c r="B5988" s="116">
        <f t="shared" si="93"/>
        <v>54</v>
      </c>
    </row>
    <row r="5989" spans="1:2" x14ac:dyDescent="0.2">
      <c r="A5989" s="117">
        <v>40686</v>
      </c>
      <c r="B5989" s="116">
        <f t="shared" si="93"/>
        <v>54</v>
      </c>
    </row>
    <row r="5990" spans="1:2" x14ac:dyDescent="0.2">
      <c r="A5990" s="117">
        <v>40687</v>
      </c>
      <c r="B5990" s="116">
        <f t="shared" si="93"/>
        <v>54</v>
      </c>
    </row>
    <row r="5991" spans="1:2" x14ac:dyDescent="0.2">
      <c r="A5991" s="117">
        <v>40688</v>
      </c>
      <c r="B5991" s="116">
        <f t="shared" si="93"/>
        <v>54</v>
      </c>
    </row>
    <row r="5992" spans="1:2" x14ac:dyDescent="0.2">
      <c r="A5992" s="117">
        <v>40689</v>
      </c>
      <c r="B5992" s="116">
        <f t="shared" si="93"/>
        <v>54</v>
      </c>
    </row>
    <row r="5993" spans="1:2" x14ac:dyDescent="0.2">
      <c r="A5993" s="117">
        <v>40690</v>
      </c>
      <c r="B5993" s="116">
        <f t="shared" si="93"/>
        <v>54</v>
      </c>
    </row>
    <row r="5994" spans="1:2" x14ac:dyDescent="0.2">
      <c r="A5994" s="117">
        <v>40691</v>
      </c>
      <c r="B5994" s="116">
        <f t="shared" si="93"/>
        <v>54</v>
      </c>
    </row>
    <row r="5995" spans="1:2" x14ac:dyDescent="0.2">
      <c r="A5995" s="117">
        <v>40692</v>
      </c>
      <c r="B5995" s="116">
        <f t="shared" si="93"/>
        <v>61</v>
      </c>
    </row>
    <row r="5996" spans="1:2" x14ac:dyDescent="0.2">
      <c r="A5996" s="117">
        <v>40693</v>
      </c>
      <c r="B5996" s="116">
        <f t="shared" si="93"/>
        <v>61</v>
      </c>
    </row>
    <row r="5997" spans="1:2" x14ac:dyDescent="0.2">
      <c r="A5997" s="117">
        <v>40694</v>
      </c>
      <c r="B5997" s="116">
        <f t="shared" si="93"/>
        <v>61</v>
      </c>
    </row>
    <row r="5998" spans="1:2" x14ac:dyDescent="0.2">
      <c r="A5998" s="117">
        <v>40695</v>
      </c>
      <c r="B5998" s="116">
        <f t="shared" si="93"/>
        <v>61</v>
      </c>
    </row>
    <row r="5999" spans="1:2" x14ac:dyDescent="0.2">
      <c r="A5999" s="117">
        <v>40696</v>
      </c>
      <c r="B5999" s="116">
        <f t="shared" si="93"/>
        <v>61</v>
      </c>
    </row>
    <row r="6000" spans="1:2" x14ac:dyDescent="0.2">
      <c r="A6000" s="117">
        <v>40697</v>
      </c>
      <c r="B6000" s="116">
        <f t="shared" si="93"/>
        <v>61</v>
      </c>
    </row>
    <row r="6001" spans="1:2" x14ac:dyDescent="0.2">
      <c r="A6001" s="117">
        <v>40698</v>
      </c>
      <c r="B6001" s="116">
        <f t="shared" si="93"/>
        <v>61</v>
      </c>
    </row>
    <row r="6002" spans="1:2" x14ac:dyDescent="0.2">
      <c r="A6002" s="117">
        <v>40699</v>
      </c>
      <c r="B6002" s="116">
        <f t="shared" si="93"/>
        <v>62</v>
      </c>
    </row>
    <row r="6003" spans="1:2" x14ac:dyDescent="0.2">
      <c r="A6003" s="117">
        <v>40700</v>
      </c>
      <c r="B6003" s="116">
        <f t="shared" si="93"/>
        <v>62</v>
      </c>
    </row>
    <row r="6004" spans="1:2" x14ac:dyDescent="0.2">
      <c r="A6004" s="117">
        <v>40701</v>
      </c>
      <c r="B6004" s="116">
        <f t="shared" si="93"/>
        <v>62</v>
      </c>
    </row>
    <row r="6005" spans="1:2" x14ac:dyDescent="0.2">
      <c r="A6005" s="117">
        <v>40702</v>
      </c>
      <c r="B6005" s="116">
        <f t="shared" si="93"/>
        <v>62</v>
      </c>
    </row>
    <row r="6006" spans="1:2" x14ac:dyDescent="0.2">
      <c r="A6006" s="117">
        <v>40703</v>
      </c>
      <c r="B6006" s="116">
        <f t="shared" si="93"/>
        <v>62</v>
      </c>
    </row>
    <row r="6007" spans="1:2" x14ac:dyDescent="0.2">
      <c r="A6007" s="117">
        <v>40704</v>
      </c>
      <c r="B6007" s="116">
        <f t="shared" si="93"/>
        <v>62</v>
      </c>
    </row>
    <row r="6008" spans="1:2" x14ac:dyDescent="0.2">
      <c r="A6008" s="117">
        <v>40705</v>
      </c>
      <c r="B6008" s="116">
        <f t="shared" si="93"/>
        <v>62</v>
      </c>
    </row>
    <row r="6009" spans="1:2" x14ac:dyDescent="0.2">
      <c r="A6009" s="117">
        <v>40706</v>
      </c>
      <c r="B6009" s="116">
        <f t="shared" si="93"/>
        <v>63</v>
      </c>
    </row>
    <row r="6010" spans="1:2" x14ac:dyDescent="0.2">
      <c r="A6010" s="117">
        <v>40707</v>
      </c>
      <c r="B6010" s="116">
        <f t="shared" si="93"/>
        <v>63</v>
      </c>
    </row>
    <row r="6011" spans="1:2" x14ac:dyDescent="0.2">
      <c r="A6011" s="117">
        <v>40708</v>
      </c>
      <c r="B6011" s="116">
        <f t="shared" si="93"/>
        <v>63</v>
      </c>
    </row>
    <row r="6012" spans="1:2" x14ac:dyDescent="0.2">
      <c r="A6012" s="117">
        <v>40709</v>
      </c>
      <c r="B6012" s="116">
        <f t="shared" si="93"/>
        <v>63</v>
      </c>
    </row>
    <row r="6013" spans="1:2" x14ac:dyDescent="0.2">
      <c r="A6013" s="117">
        <v>40710</v>
      </c>
      <c r="B6013" s="116">
        <f t="shared" si="93"/>
        <v>63</v>
      </c>
    </row>
    <row r="6014" spans="1:2" x14ac:dyDescent="0.2">
      <c r="A6014" s="117">
        <v>40711</v>
      </c>
      <c r="B6014" s="116">
        <f t="shared" si="93"/>
        <v>63</v>
      </c>
    </row>
    <row r="6015" spans="1:2" x14ac:dyDescent="0.2">
      <c r="A6015" s="117">
        <v>40712</v>
      </c>
      <c r="B6015" s="116">
        <f t="shared" si="93"/>
        <v>63</v>
      </c>
    </row>
    <row r="6016" spans="1:2" x14ac:dyDescent="0.2">
      <c r="A6016" s="117">
        <v>40713</v>
      </c>
      <c r="B6016" s="116">
        <f t="shared" si="93"/>
        <v>64</v>
      </c>
    </row>
    <row r="6017" spans="1:2" x14ac:dyDescent="0.2">
      <c r="A6017" s="117">
        <v>40714</v>
      </c>
      <c r="B6017" s="116">
        <f t="shared" si="93"/>
        <v>64</v>
      </c>
    </row>
    <row r="6018" spans="1:2" x14ac:dyDescent="0.2">
      <c r="A6018" s="117">
        <v>40715</v>
      </c>
      <c r="B6018" s="116">
        <f t="shared" si="93"/>
        <v>64</v>
      </c>
    </row>
    <row r="6019" spans="1:2" x14ac:dyDescent="0.2">
      <c r="A6019" s="117">
        <v>40716</v>
      </c>
      <c r="B6019" s="116">
        <f t="shared" si="93"/>
        <v>64</v>
      </c>
    </row>
    <row r="6020" spans="1:2" x14ac:dyDescent="0.2">
      <c r="A6020" s="117">
        <v>40717</v>
      </c>
      <c r="B6020" s="116">
        <f t="shared" ref="B6020:B6083" si="94">VLOOKUP(WEEKNUM(A6020),$D$4:$E$59,2)</f>
        <v>64</v>
      </c>
    </row>
    <row r="6021" spans="1:2" x14ac:dyDescent="0.2">
      <c r="A6021" s="117">
        <v>40718</v>
      </c>
      <c r="B6021" s="116">
        <f t="shared" si="94"/>
        <v>64</v>
      </c>
    </row>
    <row r="6022" spans="1:2" x14ac:dyDescent="0.2">
      <c r="A6022" s="117">
        <v>40719</v>
      </c>
      <c r="B6022" s="116">
        <f t="shared" si="94"/>
        <v>64</v>
      </c>
    </row>
    <row r="6023" spans="1:2" x14ac:dyDescent="0.2">
      <c r="A6023" s="117">
        <v>40720</v>
      </c>
      <c r="B6023" s="116">
        <f t="shared" si="94"/>
        <v>71</v>
      </c>
    </row>
    <row r="6024" spans="1:2" x14ac:dyDescent="0.2">
      <c r="A6024" s="117">
        <v>40721</v>
      </c>
      <c r="B6024" s="116">
        <f t="shared" si="94"/>
        <v>71</v>
      </c>
    </row>
    <row r="6025" spans="1:2" x14ac:dyDescent="0.2">
      <c r="A6025" s="117">
        <v>40722</v>
      </c>
      <c r="B6025" s="116">
        <f t="shared" si="94"/>
        <v>71</v>
      </c>
    </row>
    <row r="6026" spans="1:2" x14ac:dyDescent="0.2">
      <c r="A6026" s="117">
        <v>40723</v>
      </c>
      <c r="B6026" s="116">
        <f t="shared" si="94"/>
        <v>71</v>
      </c>
    </row>
    <row r="6027" spans="1:2" x14ac:dyDescent="0.2">
      <c r="A6027" s="117">
        <v>40724</v>
      </c>
      <c r="B6027" s="116">
        <f t="shared" si="94"/>
        <v>71</v>
      </c>
    </row>
    <row r="6028" spans="1:2" x14ac:dyDescent="0.2">
      <c r="A6028" s="117">
        <v>40725</v>
      </c>
      <c r="B6028" s="116">
        <f t="shared" si="94"/>
        <v>71</v>
      </c>
    </row>
    <row r="6029" spans="1:2" x14ac:dyDescent="0.2">
      <c r="A6029" s="117">
        <v>40726</v>
      </c>
      <c r="B6029" s="116">
        <f t="shared" si="94"/>
        <v>71</v>
      </c>
    </row>
    <row r="6030" spans="1:2" x14ac:dyDescent="0.2">
      <c r="A6030" s="117">
        <v>40727</v>
      </c>
      <c r="B6030" s="116">
        <f t="shared" si="94"/>
        <v>72</v>
      </c>
    </row>
    <row r="6031" spans="1:2" x14ac:dyDescent="0.2">
      <c r="A6031" s="117">
        <v>40728</v>
      </c>
      <c r="B6031" s="116">
        <f t="shared" si="94"/>
        <v>72</v>
      </c>
    </row>
    <row r="6032" spans="1:2" x14ac:dyDescent="0.2">
      <c r="A6032" s="117">
        <v>40729</v>
      </c>
      <c r="B6032" s="116">
        <f t="shared" si="94"/>
        <v>72</v>
      </c>
    </row>
    <row r="6033" spans="1:2" x14ac:dyDescent="0.2">
      <c r="A6033" s="117">
        <v>40730</v>
      </c>
      <c r="B6033" s="116">
        <f t="shared" si="94"/>
        <v>72</v>
      </c>
    </row>
    <row r="6034" spans="1:2" x14ac:dyDescent="0.2">
      <c r="A6034" s="117">
        <v>40731</v>
      </c>
      <c r="B6034" s="116">
        <f t="shared" si="94"/>
        <v>72</v>
      </c>
    </row>
    <row r="6035" spans="1:2" x14ac:dyDescent="0.2">
      <c r="A6035" s="117">
        <v>40732</v>
      </c>
      <c r="B6035" s="116">
        <f t="shared" si="94"/>
        <v>72</v>
      </c>
    </row>
    <row r="6036" spans="1:2" x14ac:dyDescent="0.2">
      <c r="A6036" s="117">
        <v>40733</v>
      </c>
      <c r="B6036" s="116">
        <f t="shared" si="94"/>
        <v>72</v>
      </c>
    </row>
    <row r="6037" spans="1:2" x14ac:dyDescent="0.2">
      <c r="A6037" s="117">
        <v>40734</v>
      </c>
      <c r="B6037" s="116">
        <f t="shared" si="94"/>
        <v>73</v>
      </c>
    </row>
    <row r="6038" spans="1:2" x14ac:dyDescent="0.2">
      <c r="A6038" s="117">
        <v>40735</v>
      </c>
      <c r="B6038" s="116">
        <f t="shared" si="94"/>
        <v>73</v>
      </c>
    </row>
    <row r="6039" spans="1:2" x14ac:dyDescent="0.2">
      <c r="A6039" s="117">
        <v>40736</v>
      </c>
      <c r="B6039" s="116">
        <f t="shared" si="94"/>
        <v>73</v>
      </c>
    </row>
    <row r="6040" spans="1:2" x14ac:dyDescent="0.2">
      <c r="A6040" s="117">
        <v>40737</v>
      </c>
      <c r="B6040" s="116">
        <f t="shared" si="94"/>
        <v>73</v>
      </c>
    </row>
    <row r="6041" spans="1:2" x14ac:dyDescent="0.2">
      <c r="A6041" s="117">
        <v>40738</v>
      </c>
      <c r="B6041" s="116">
        <f t="shared" si="94"/>
        <v>73</v>
      </c>
    </row>
    <row r="6042" spans="1:2" x14ac:dyDescent="0.2">
      <c r="A6042" s="117">
        <v>40739</v>
      </c>
      <c r="B6042" s="116">
        <f t="shared" si="94"/>
        <v>73</v>
      </c>
    </row>
    <row r="6043" spans="1:2" x14ac:dyDescent="0.2">
      <c r="A6043" s="117">
        <v>40740</v>
      </c>
      <c r="B6043" s="116">
        <f t="shared" si="94"/>
        <v>73</v>
      </c>
    </row>
    <row r="6044" spans="1:2" x14ac:dyDescent="0.2">
      <c r="A6044" s="117">
        <v>40741</v>
      </c>
      <c r="B6044" s="116">
        <f t="shared" si="94"/>
        <v>74</v>
      </c>
    </row>
    <row r="6045" spans="1:2" x14ac:dyDescent="0.2">
      <c r="A6045" s="117">
        <v>40742</v>
      </c>
      <c r="B6045" s="116">
        <f t="shared" si="94"/>
        <v>74</v>
      </c>
    </row>
    <row r="6046" spans="1:2" x14ac:dyDescent="0.2">
      <c r="A6046" s="117">
        <v>40743</v>
      </c>
      <c r="B6046" s="116">
        <f t="shared" si="94"/>
        <v>74</v>
      </c>
    </row>
    <row r="6047" spans="1:2" x14ac:dyDescent="0.2">
      <c r="A6047" s="117">
        <v>40744</v>
      </c>
      <c r="B6047" s="116">
        <f t="shared" si="94"/>
        <v>74</v>
      </c>
    </row>
    <row r="6048" spans="1:2" x14ac:dyDescent="0.2">
      <c r="A6048" s="117">
        <v>40745</v>
      </c>
      <c r="B6048" s="116">
        <f t="shared" si="94"/>
        <v>74</v>
      </c>
    </row>
    <row r="6049" spans="1:2" x14ac:dyDescent="0.2">
      <c r="A6049" s="117">
        <v>40746</v>
      </c>
      <c r="B6049" s="116">
        <f t="shared" si="94"/>
        <v>74</v>
      </c>
    </row>
    <row r="6050" spans="1:2" x14ac:dyDescent="0.2">
      <c r="A6050" s="117">
        <v>40747</v>
      </c>
      <c r="B6050" s="116">
        <f t="shared" si="94"/>
        <v>74</v>
      </c>
    </row>
    <row r="6051" spans="1:2" x14ac:dyDescent="0.2">
      <c r="A6051" s="117">
        <v>40748</v>
      </c>
      <c r="B6051" s="116">
        <f t="shared" si="94"/>
        <v>75</v>
      </c>
    </row>
    <row r="6052" spans="1:2" x14ac:dyDescent="0.2">
      <c r="A6052" s="117">
        <v>40749</v>
      </c>
      <c r="B6052" s="116">
        <f t="shared" si="94"/>
        <v>75</v>
      </c>
    </row>
    <row r="6053" spans="1:2" x14ac:dyDescent="0.2">
      <c r="A6053" s="117">
        <v>40750</v>
      </c>
      <c r="B6053" s="116">
        <f t="shared" si="94"/>
        <v>75</v>
      </c>
    </row>
    <row r="6054" spans="1:2" x14ac:dyDescent="0.2">
      <c r="A6054" s="117">
        <v>40751</v>
      </c>
      <c r="B6054" s="116">
        <f t="shared" si="94"/>
        <v>75</v>
      </c>
    </row>
    <row r="6055" spans="1:2" x14ac:dyDescent="0.2">
      <c r="A6055" s="117">
        <v>40752</v>
      </c>
      <c r="B6055" s="116">
        <f t="shared" si="94"/>
        <v>75</v>
      </c>
    </row>
    <row r="6056" spans="1:2" x14ac:dyDescent="0.2">
      <c r="A6056" s="117">
        <v>40753</v>
      </c>
      <c r="B6056" s="116">
        <f t="shared" si="94"/>
        <v>75</v>
      </c>
    </row>
    <row r="6057" spans="1:2" x14ac:dyDescent="0.2">
      <c r="A6057" s="117">
        <v>40754</v>
      </c>
      <c r="B6057" s="116">
        <f t="shared" si="94"/>
        <v>75</v>
      </c>
    </row>
    <row r="6058" spans="1:2" x14ac:dyDescent="0.2">
      <c r="A6058" s="117">
        <v>40755</v>
      </c>
      <c r="B6058" s="116">
        <f t="shared" si="94"/>
        <v>81</v>
      </c>
    </row>
    <row r="6059" spans="1:2" x14ac:dyDescent="0.2">
      <c r="A6059" s="117">
        <v>40756</v>
      </c>
      <c r="B6059" s="116">
        <f t="shared" si="94"/>
        <v>81</v>
      </c>
    </row>
    <row r="6060" spans="1:2" x14ac:dyDescent="0.2">
      <c r="A6060" s="117">
        <v>40757</v>
      </c>
      <c r="B6060" s="116">
        <f t="shared" si="94"/>
        <v>81</v>
      </c>
    </row>
    <row r="6061" spans="1:2" x14ac:dyDescent="0.2">
      <c r="A6061" s="117">
        <v>40758</v>
      </c>
      <c r="B6061" s="116">
        <f t="shared" si="94"/>
        <v>81</v>
      </c>
    </row>
    <row r="6062" spans="1:2" x14ac:dyDescent="0.2">
      <c r="A6062" s="117">
        <v>40759</v>
      </c>
      <c r="B6062" s="116">
        <f t="shared" si="94"/>
        <v>81</v>
      </c>
    </row>
    <row r="6063" spans="1:2" x14ac:dyDescent="0.2">
      <c r="A6063" s="117">
        <v>40760</v>
      </c>
      <c r="B6063" s="116">
        <f t="shared" si="94"/>
        <v>81</v>
      </c>
    </row>
    <row r="6064" spans="1:2" x14ac:dyDescent="0.2">
      <c r="A6064" s="117">
        <v>40761</v>
      </c>
      <c r="B6064" s="116">
        <f t="shared" si="94"/>
        <v>81</v>
      </c>
    </row>
    <row r="6065" spans="1:2" x14ac:dyDescent="0.2">
      <c r="A6065" s="117">
        <v>40762</v>
      </c>
      <c r="B6065" s="116">
        <f t="shared" si="94"/>
        <v>82</v>
      </c>
    </row>
    <row r="6066" spans="1:2" x14ac:dyDescent="0.2">
      <c r="A6066" s="117">
        <v>40763</v>
      </c>
      <c r="B6066" s="116">
        <f t="shared" si="94"/>
        <v>82</v>
      </c>
    </row>
    <row r="6067" spans="1:2" x14ac:dyDescent="0.2">
      <c r="A6067" s="117">
        <v>40764</v>
      </c>
      <c r="B6067" s="116">
        <f t="shared" si="94"/>
        <v>82</v>
      </c>
    </row>
    <row r="6068" spans="1:2" x14ac:dyDescent="0.2">
      <c r="A6068" s="117">
        <v>40765</v>
      </c>
      <c r="B6068" s="116">
        <f t="shared" si="94"/>
        <v>82</v>
      </c>
    </row>
    <row r="6069" spans="1:2" x14ac:dyDescent="0.2">
      <c r="A6069" s="117">
        <v>40766</v>
      </c>
      <c r="B6069" s="116">
        <f t="shared" si="94"/>
        <v>82</v>
      </c>
    </row>
    <row r="6070" spans="1:2" x14ac:dyDescent="0.2">
      <c r="A6070" s="117">
        <v>40767</v>
      </c>
      <c r="B6070" s="116">
        <f t="shared" si="94"/>
        <v>82</v>
      </c>
    </row>
    <row r="6071" spans="1:2" x14ac:dyDescent="0.2">
      <c r="A6071" s="117">
        <v>40768</v>
      </c>
      <c r="B6071" s="116">
        <f t="shared" si="94"/>
        <v>82</v>
      </c>
    </row>
    <row r="6072" spans="1:2" x14ac:dyDescent="0.2">
      <c r="A6072" s="117">
        <v>40769</v>
      </c>
      <c r="B6072" s="116">
        <f t="shared" si="94"/>
        <v>83</v>
      </c>
    </row>
    <row r="6073" spans="1:2" x14ac:dyDescent="0.2">
      <c r="A6073" s="117">
        <v>40770</v>
      </c>
      <c r="B6073" s="116">
        <f t="shared" si="94"/>
        <v>83</v>
      </c>
    </row>
    <row r="6074" spans="1:2" x14ac:dyDescent="0.2">
      <c r="A6074" s="117">
        <v>40771</v>
      </c>
      <c r="B6074" s="116">
        <f t="shared" si="94"/>
        <v>83</v>
      </c>
    </row>
    <row r="6075" spans="1:2" x14ac:dyDescent="0.2">
      <c r="A6075" s="117">
        <v>40772</v>
      </c>
      <c r="B6075" s="116">
        <f t="shared" si="94"/>
        <v>83</v>
      </c>
    </row>
    <row r="6076" spans="1:2" x14ac:dyDescent="0.2">
      <c r="A6076" s="117">
        <v>40773</v>
      </c>
      <c r="B6076" s="116">
        <f t="shared" si="94"/>
        <v>83</v>
      </c>
    </row>
    <row r="6077" spans="1:2" x14ac:dyDescent="0.2">
      <c r="A6077" s="117">
        <v>40774</v>
      </c>
      <c r="B6077" s="116">
        <f t="shared" si="94"/>
        <v>83</v>
      </c>
    </row>
    <row r="6078" spans="1:2" x14ac:dyDescent="0.2">
      <c r="A6078" s="117">
        <v>40775</v>
      </c>
      <c r="B6078" s="116">
        <f t="shared" si="94"/>
        <v>83</v>
      </c>
    </row>
    <row r="6079" spans="1:2" x14ac:dyDescent="0.2">
      <c r="A6079" s="117">
        <v>40776</v>
      </c>
      <c r="B6079" s="116">
        <f t="shared" si="94"/>
        <v>84</v>
      </c>
    </row>
    <row r="6080" spans="1:2" x14ac:dyDescent="0.2">
      <c r="A6080" s="117">
        <v>40777</v>
      </c>
      <c r="B6080" s="116">
        <f t="shared" si="94"/>
        <v>84</v>
      </c>
    </row>
    <row r="6081" spans="1:2" x14ac:dyDescent="0.2">
      <c r="A6081" s="117">
        <v>40778</v>
      </c>
      <c r="B6081" s="116">
        <f t="shared" si="94"/>
        <v>84</v>
      </c>
    </row>
    <row r="6082" spans="1:2" x14ac:dyDescent="0.2">
      <c r="A6082" s="117">
        <v>40779</v>
      </c>
      <c r="B6082" s="116">
        <f t="shared" si="94"/>
        <v>84</v>
      </c>
    </row>
    <row r="6083" spans="1:2" x14ac:dyDescent="0.2">
      <c r="A6083" s="117">
        <v>40780</v>
      </c>
      <c r="B6083" s="116">
        <f t="shared" si="94"/>
        <v>84</v>
      </c>
    </row>
    <row r="6084" spans="1:2" x14ac:dyDescent="0.2">
      <c r="A6084" s="117">
        <v>40781</v>
      </c>
      <c r="B6084" s="116">
        <f t="shared" ref="B6084:B6147" si="95">VLOOKUP(WEEKNUM(A6084),$D$4:$E$59,2)</f>
        <v>84</v>
      </c>
    </row>
    <row r="6085" spans="1:2" x14ac:dyDescent="0.2">
      <c r="A6085" s="117">
        <v>40782</v>
      </c>
      <c r="B6085" s="116">
        <f t="shared" si="95"/>
        <v>84</v>
      </c>
    </row>
    <row r="6086" spans="1:2" x14ac:dyDescent="0.2">
      <c r="A6086" s="117">
        <v>40783</v>
      </c>
      <c r="B6086" s="116">
        <f t="shared" si="95"/>
        <v>91</v>
      </c>
    </row>
    <row r="6087" spans="1:2" x14ac:dyDescent="0.2">
      <c r="A6087" s="117">
        <v>40784</v>
      </c>
      <c r="B6087" s="116">
        <f t="shared" si="95"/>
        <v>91</v>
      </c>
    </row>
    <row r="6088" spans="1:2" x14ac:dyDescent="0.2">
      <c r="A6088" s="117">
        <v>40785</v>
      </c>
      <c r="B6088" s="116">
        <f t="shared" si="95"/>
        <v>91</v>
      </c>
    </row>
    <row r="6089" spans="1:2" x14ac:dyDescent="0.2">
      <c r="A6089" s="117">
        <v>40786</v>
      </c>
      <c r="B6089" s="116">
        <f t="shared" si="95"/>
        <v>91</v>
      </c>
    </row>
    <row r="6090" spans="1:2" x14ac:dyDescent="0.2">
      <c r="A6090" s="117">
        <v>40787</v>
      </c>
      <c r="B6090" s="116">
        <f t="shared" si="95"/>
        <v>91</v>
      </c>
    </row>
    <row r="6091" spans="1:2" x14ac:dyDescent="0.2">
      <c r="A6091" s="117">
        <v>40788</v>
      </c>
      <c r="B6091" s="116">
        <f t="shared" si="95"/>
        <v>91</v>
      </c>
    </row>
    <row r="6092" spans="1:2" x14ac:dyDescent="0.2">
      <c r="A6092" s="117">
        <v>40789</v>
      </c>
      <c r="B6092" s="116">
        <f t="shared" si="95"/>
        <v>91</v>
      </c>
    </row>
    <row r="6093" spans="1:2" x14ac:dyDescent="0.2">
      <c r="A6093" s="117">
        <v>40790</v>
      </c>
      <c r="B6093" s="116">
        <f t="shared" si="95"/>
        <v>92</v>
      </c>
    </row>
    <row r="6094" spans="1:2" x14ac:dyDescent="0.2">
      <c r="A6094" s="117">
        <v>40791</v>
      </c>
      <c r="B6094" s="116">
        <f t="shared" si="95"/>
        <v>92</v>
      </c>
    </row>
    <row r="6095" spans="1:2" x14ac:dyDescent="0.2">
      <c r="A6095" s="117">
        <v>40792</v>
      </c>
      <c r="B6095" s="116">
        <f t="shared" si="95"/>
        <v>92</v>
      </c>
    </row>
    <row r="6096" spans="1:2" x14ac:dyDescent="0.2">
      <c r="A6096" s="117">
        <v>40793</v>
      </c>
      <c r="B6096" s="116">
        <f t="shared" si="95"/>
        <v>92</v>
      </c>
    </row>
    <row r="6097" spans="1:2" x14ac:dyDescent="0.2">
      <c r="A6097" s="117">
        <v>40794</v>
      </c>
      <c r="B6097" s="116">
        <f t="shared" si="95"/>
        <v>92</v>
      </c>
    </row>
    <row r="6098" spans="1:2" x14ac:dyDescent="0.2">
      <c r="A6098" s="117">
        <v>40795</v>
      </c>
      <c r="B6098" s="116">
        <f t="shared" si="95"/>
        <v>92</v>
      </c>
    </row>
    <row r="6099" spans="1:2" x14ac:dyDescent="0.2">
      <c r="A6099" s="117">
        <v>40796</v>
      </c>
      <c r="B6099" s="116">
        <f t="shared" si="95"/>
        <v>92</v>
      </c>
    </row>
    <row r="6100" spans="1:2" x14ac:dyDescent="0.2">
      <c r="A6100" s="117">
        <v>40797</v>
      </c>
      <c r="B6100" s="116">
        <f t="shared" si="95"/>
        <v>93</v>
      </c>
    </row>
    <row r="6101" spans="1:2" x14ac:dyDescent="0.2">
      <c r="A6101" s="117">
        <v>40798</v>
      </c>
      <c r="B6101" s="116">
        <f t="shared" si="95"/>
        <v>93</v>
      </c>
    </row>
    <row r="6102" spans="1:2" x14ac:dyDescent="0.2">
      <c r="A6102" s="117">
        <v>40799</v>
      </c>
      <c r="B6102" s="116">
        <f t="shared" si="95"/>
        <v>93</v>
      </c>
    </row>
    <row r="6103" spans="1:2" x14ac:dyDescent="0.2">
      <c r="A6103" s="117">
        <v>40800</v>
      </c>
      <c r="B6103" s="116">
        <f t="shared" si="95"/>
        <v>93</v>
      </c>
    </row>
    <row r="6104" spans="1:2" x14ac:dyDescent="0.2">
      <c r="A6104" s="117">
        <v>40801</v>
      </c>
      <c r="B6104" s="116">
        <f t="shared" si="95"/>
        <v>93</v>
      </c>
    </row>
    <row r="6105" spans="1:2" x14ac:dyDescent="0.2">
      <c r="A6105" s="117">
        <v>40802</v>
      </c>
      <c r="B6105" s="116">
        <f t="shared" si="95"/>
        <v>93</v>
      </c>
    </row>
    <row r="6106" spans="1:2" x14ac:dyDescent="0.2">
      <c r="A6106" s="117">
        <v>40803</v>
      </c>
      <c r="B6106" s="116">
        <f t="shared" si="95"/>
        <v>93</v>
      </c>
    </row>
    <row r="6107" spans="1:2" x14ac:dyDescent="0.2">
      <c r="A6107" s="117">
        <v>40804</v>
      </c>
      <c r="B6107" s="116">
        <f t="shared" si="95"/>
        <v>94</v>
      </c>
    </row>
    <row r="6108" spans="1:2" x14ac:dyDescent="0.2">
      <c r="A6108" s="117">
        <v>40805</v>
      </c>
      <c r="B6108" s="116">
        <f t="shared" si="95"/>
        <v>94</v>
      </c>
    </row>
    <row r="6109" spans="1:2" x14ac:dyDescent="0.2">
      <c r="A6109" s="117">
        <v>40806</v>
      </c>
      <c r="B6109" s="116">
        <f t="shared" si="95"/>
        <v>94</v>
      </c>
    </row>
    <row r="6110" spans="1:2" x14ac:dyDescent="0.2">
      <c r="A6110" s="117">
        <v>40807</v>
      </c>
      <c r="B6110" s="116">
        <f t="shared" si="95"/>
        <v>94</v>
      </c>
    </row>
    <row r="6111" spans="1:2" x14ac:dyDescent="0.2">
      <c r="A6111" s="117">
        <v>40808</v>
      </c>
      <c r="B6111" s="116">
        <f t="shared" si="95"/>
        <v>94</v>
      </c>
    </row>
    <row r="6112" spans="1:2" x14ac:dyDescent="0.2">
      <c r="A6112" s="117">
        <v>40809</v>
      </c>
      <c r="B6112" s="116">
        <f t="shared" si="95"/>
        <v>94</v>
      </c>
    </row>
    <row r="6113" spans="1:2" x14ac:dyDescent="0.2">
      <c r="A6113" s="117">
        <v>40810</v>
      </c>
      <c r="B6113" s="116">
        <f t="shared" si="95"/>
        <v>94</v>
      </c>
    </row>
    <row r="6114" spans="1:2" x14ac:dyDescent="0.2">
      <c r="A6114" s="117">
        <v>40811</v>
      </c>
      <c r="B6114" s="116">
        <f t="shared" si="95"/>
        <v>101</v>
      </c>
    </row>
    <row r="6115" spans="1:2" x14ac:dyDescent="0.2">
      <c r="A6115" s="117">
        <v>40812</v>
      </c>
      <c r="B6115" s="116">
        <f t="shared" si="95"/>
        <v>101</v>
      </c>
    </row>
    <row r="6116" spans="1:2" x14ac:dyDescent="0.2">
      <c r="A6116" s="117">
        <v>40813</v>
      </c>
      <c r="B6116" s="116">
        <f t="shared" si="95"/>
        <v>101</v>
      </c>
    </row>
    <row r="6117" spans="1:2" x14ac:dyDescent="0.2">
      <c r="A6117" s="117">
        <v>40814</v>
      </c>
      <c r="B6117" s="116">
        <f t="shared" si="95"/>
        <v>101</v>
      </c>
    </row>
    <row r="6118" spans="1:2" x14ac:dyDescent="0.2">
      <c r="A6118" s="117">
        <v>40815</v>
      </c>
      <c r="B6118" s="116">
        <f t="shared" si="95"/>
        <v>101</v>
      </c>
    </row>
    <row r="6119" spans="1:2" x14ac:dyDescent="0.2">
      <c r="A6119" s="117">
        <v>40816</v>
      </c>
      <c r="B6119" s="116">
        <f t="shared" si="95"/>
        <v>101</v>
      </c>
    </row>
    <row r="6120" spans="1:2" x14ac:dyDescent="0.2">
      <c r="A6120" s="117">
        <v>40817</v>
      </c>
      <c r="B6120" s="116">
        <f t="shared" si="95"/>
        <v>101</v>
      </c>
    </row>
    <row r="6121" spans="1:2" x14ac:dyDescent="0.2">
      <c r="A6121" s="117">
        <v>40818</v>
      </c>
      <c r="B6121" s="116">
        <f t="shared" si="95"/>
        <v>102</v>
      </c>
    </row>
    <row r="6122" spans="1:2" x14ac:dyDescent="0.2">
      <c r="A6122" s="117">
        <v>40819</v>
      </c>
      <c r="B6122" s="116">
        <f t="shared" si="95"/>
        <v>102</v>
      </c>
    </row>
    <row r="6123" spans="1:2" x14ac:dyDescent="0.2">
      <c r="A6123" s="117">
        <v>40820</v>
      </c>
      <c r="B6123" s="116">
        <f t="shared" si="95"/>
        <v>102</v>
      </c>
    </row>
    <row r="6124" spans="1:2" x14ac:dyDescent="0.2">
      <c r="A6124" s="117">
        <v>40821</v>
      </c>
      <c r="B6124" s="116">
        <f t="shared" si="95"/>
        <v>102</v>
      </c>
    </row>
    <row r="6125" spans="1:2" x14ac:dyDescent="0.2">
      <c r="A6125" s="117">
        <v>40822</v>
      </c>
      <c r="B6125" s="116">
        <f t="shared" si="95"/>
        <v>102</v>
      </c>
    </row>
    <row r="6126" spans="1:2" x14ac:dyDescent="0.2">
      <c r="A6126" s="117">
        <v>40823</v>
      </c>
      <c r="B6126" s="116">
        <f t="shared" si="95"/>
        <v>102</v>
      </c>
    </row>
    <row r="6127" spans="1:2" x14ac:dyDescent="0.2">
      <c r="A6127" s="117">
        <v>40824</v>
      </c>
      <c r="B6127" s="116">
        <f t="shared" si="95"/>
        <v>102</v>
      </c>
    </row>
    <row r="6128" spans="1:2" x14ac:dyDescent="0.2">
      <c r="A6128" s="117">
        <v>40825</v>
      </c>
      <c r="B6128" s="116">
        <f t="shared" si="95"/>
        <v>103</v>
      </c>
    </row>
    <row r="6129" spans="1:2" x14ac:dyDescent="0.2">
      <c r="A6129" s="117">
        <v>40826</v>
      </c>
      <c r="B6129" s="116">
        <f t="shared" si="95"/>
        <v>103</v>
      </c>
    </row>
    <row r="6130" spans="1:2" x14ac:dyDescent="0.2">
      <c r="A6130" s="117">
        <v>40827</v>
      </c>
      <c r="B6130" s="116">
        <f t="shared" si="95"/>
        <v>103</v>
      </c>
    </row>
    <row r="6131" spans="1:2" x14ac:dyDescent="0.2">
      <c r="A6131" s="117">
        <v>40828</v>
      </c>
      <c r="B6131" s="116">
        <f t="shared" si="95"/>
        <v>103</v>
      </c>
    </row>
    <row r="6132" spans="1:2" x14ac:dyDescent="0.2">
      <c r="A6132" s="117">
        <v>40829</v>
      </c>
      <c r="B6132" s="116">
        <f t="shared" si="95"/>
        <v>103</v>
      </c>
    </row>
    <row r="6133" spans="1:2" x14ac:dyDescent="0.2">
      <c r="A6133" s="117">
        <v>40830</v>
      </c>
      <c r="B6133" s="116">
        <f t="shared" si="95"/>
        <v>103</v>
      </c>
    </row>
    <row r="6134" spans="1:2" x14ac:dyDescent="0.2">
      <c r="A6134" s="117">
        <v>40831</v>
      </c>
      <c r="B6134" s="116">
        <f t="shared" si="95"/>
        <v>103</v>
      </c>
    </row>
    <row r="6135" spans="1:2" x14ac:dyDescent="0.2">
      <c r="A6135" s="117">
        <v>40832</v>
      </c>
      <c r="B6135" s="116">
        <f t="shared" si="95"/>
        <v>104</v>
      </c>
    </row>
    <row r="6136" spans="1:2" x14ac:dyDescent="0.2">
      <c r="A6136" s="117">
        <v>40833</v>
      </c>
      <c r="B6136" s="116">
        <f t="shared" si="95"/>
        <v>104</v>
      </c>
    </row>
    <row r="6137" spans="1:2" x14ac:dyDescent="0.2">
      <c r="A6137" s="117">
        <v>40834</v>
      </c>
      <c r="B6137" s="116">
        <f t="shared" si="95"/>
        <v>104</v>
      </c>
    </row>
    <row r="6138" spans="1:2" x14ac:dyDescent="0.2">
      <c r="A6138" s="117">
        <v>40835</v>
      </c>
      <c r="B6138" s="116">
        <f t="shared" si="95"/>
        <v>104</v>
      </c>
    </row>
    <row r="6139" spans="1:2" x14ac:dyDescent="0.2">
      <c r="A6139" s="117">
        <v>40836</v>
      </c>
      <c r="B6139" s="116">
        <f t="shared" si="95"/>
        <v>104</v>
      </c>
    </row>
    <row r="6140" spans="1:2" x14ac:dyDescent="0.2">
      <c r="A6140" s="117">
        <v>40837</v>
      </c>
      <c r="B6140" s="116">
        <f t="shared" si="95"/>
        <v>104</v>
      </c>
    </row>
    <row r="6141" spans="1:2" x14ac:dyDescent="0.2">
      <c r="A6141" s="117">
        <v>40838</v>
      </c>
      <c r="B6141" s="116">
        <f t="shared" si="95"/>
        <v>104</v>
      </c>
    </row>
    <row r="6142" spans="1:2" x14ac:dyDescent="0.2">
      <c r="A6142" s="117">
        <v>40839</v>
      </c>
      <c r="B6142" s="116">
        <f t="shared" si="95"/>
        <v>105</v>
      </c>
    </row>
    <row r="6143" spans="1:2" x14ac:dyDescent="0.2">
      <c r="A6143" s="117">
        <v>40840</v>
      </c>
      <c r="B6143" s="116">
        <f t="shared" si="95"/>
        <v>105</v>
      </c>
    </row>
    <row r="6144" spans="1:2" x14ac:dyDescent="0.2">
      <c r="A6144" s="117">
        <v>40841</v>
      </c>
      <c r="B6144" s="116">
        <f t="shared" si="95"/>
        <v>105</v>
      </c>
    </row>
    <row r="6145" spans="1:2" x14ac:dyDescent="0.2">
      <c r="A6145" s="117">
        <v>40842</v>
      </c>
      <c r="B6145" s="116">
        <f t="shared" si="95"/>
        <v>105</v>
      </c>
    </row>
    <row r="6146" spans="1:2" x14ac:dyDescent="0.2">
      <c r="A6146" s="117">
        <v>40843</v>
      </c>
      <c r="B6146" s="116">
        <f t="shared" si="95"/>
        <v>105</v>
      </c>
    </row>
    <row r="6147" spans="1:2" x14ac:dyDescent="0.2">
      <c r="A6147" s="117">
        <v>40844</v>
      </c>
      <c r="B6147" s="116">
        <f t="shared" si="95"/>
        <v>105</v>
      </c>
    </row>
    <row r="6148" spans="1:2" x14ac:dyDescent="0.2">
      <c r="A6148" s="117">
        <v>40845</v>
      </c>
      <c r="B6148" s="116">
        <f t="shared" ref="B6148:B6211" si="96">VLOOKUP(WEEKNUM(A6148),$D$4:$E$59,2)</f>
        <v>105</v>
      </c>
    </row>
    <row r="6149" spans="1:2" x14ac:dyDescent="0.2">
      <c r="A6149" s="117">
        <v>40846</v>
      </c>
      <c r="B6149" s="116">
        <f t="shared" si="96"/>
        <v>111</v>
      </c>
    </row>
    <row r="6150" spans="1:2" x14ac:dyDescent="0.2">
      <c r="A6150" s="117">
        <v>40847</v>
      </c>
      <c r="B6150" s="116">
        <f t="shared" si="96"/>
        <v>111</v>
      </c>
    </row>
    <row r="6151" spans="1:2" x14ac:dyDescent="0.2">
      <c r="A6151" s="117">
        <v>40848</v>
      </c>
      <c r="B6151" s="116">
        <f t="shared" si="96"/>
        <v>111</v>
      </c>
    </row>
    <row r="6152" spans="1:2" x14ac:dyDescent="0.2">
      <c r="A6152" s="117">
        <v>40849</v>
      </c>
      <c r="B6152" s="116">
        <f t="shared" si="96"/>
        <v>111</v>
      </c>
    </row>
    <row r="6153" spans="1:2" x14ac:dyDescent="0.2">
      <c r="A6153" s="117">
        <v>40850</v>
      </c>
      <c r="B6153" s="116">
        <f t="shared" si="96"/>
        <v>111</v>
      </c>
    </row>
    <row r="6154" spans="1:2" x14ac:dyDescent="0.2">
      <c r="A6154" s="117">
        <v>40851</v>
      </c>
      <c r="B6154" s="116">
        <f t="shared" si="96"/>
        <v>111</v>
      </c>
    </row>
    <row r="6155" spans="1:2" x14ac:dyDescent="0.2">
      <c r="A6155" s="117">
        <v>40852</v>
      </c>
      <c r="B6155" s="116">
        <f t="shared" si="96"/>
        <v>111</v>
      </c>
    </row>
    <row r="6156" spans="1:2" x14ac:dyDescent="0.2">
      <c r="A6156" s="117">
        <v>40853</v>
      </c>
      <c r="B6156" s="116">
        <f t="shared" si="96"/>
        <v>112</v>
      </c>
    </row>
    <row r="6157" spans="1:2" x14ac:dyDescent="0.2">
      <c r="A6157" s="117">
        <v>40854</v>
      </c>
      <c r="B6157" s="116">
        <f t="shared" si="96"/>
        <v>112</v>
      </c>
    </row>
    <row r="6158" spans="1:2" x14ac:dyDescent="0.2">
      <c r="A6158" s="117">
        <v>40855</v>
      </c>
      <c r="B6158" s="116">
        <f t="shared" si="96"/>
        <v>112</v>
      </c>
    </row>
    <row r="6159" spans="1:2" x14ac:dyDescent="0.2">
      <c r="A6159" s="117">
        <v>40856</v>
      </c>
      <c r="B6159" s="116">
        <f t="shared" si="96"/>
        <v>112</v>
      </c>
    </row>
    <row r="6160" spans="1:2" x14ac:dyDescent="0.2">
      <c r="A6160" s="117">
        <v>40857</v>
      </c>
      <c r="B6160" s="116">
        <f t="shared" si="96"/>
        <v>112</v>
      </c>
    </row>
    <row r="6161" spans="1:2" x14ac:dyDescent="0.2">
      <c r="A6161" s="117">
        <v>40858</v>
      </c>
      <c r="B6161" s="116">
        <f t="shared" si="96"/>
        <v>112</v>
      </c>
    </row>
    <row r="6162" spans="1:2" x14ac:dyDescent="0.2">
      <c r="A6162" s="117">
        <v>40859</v>
      </c>
      <c r="B6162" s="116">
        <f t="shared" si="96"/>
        <v>112</v>
      </c>
    </row>
    <row r="6163" spans="1:2" x14ac:dyDescent="0.2">
      <c r="A6163" s="117">
        <v>40860</v>
      </c>
      <c r="B6163" s="116">
        <f t="shared" si="96"/>
        <v>113</v>
      </c>
    </row>
    <row r="6164" spans="1:2" x14ac:dyDescent="0.2">
      <c r="A6164" s="117">
        <v>40861</v>
      </c>
      <c r="B6164" s="116">
        <f t="shared" si="96"/>
        <v>113</v>
      </c>
    </row>
    <row r="6165" spans="1:2" x14ac:dyDescent="0.2">
      <c r="A6165" s="117">
        <v>40862</v>
      </c>
      <c r="B6165" s="116">
        <f t="shared" si="96"/>
        <v>113</v>
      </c>
    </row>
    <row r="6166" spans="1:2" x14ac:dyDescent="0.2">
      <c r="A6166" s="117">
        <v>40863</v>
      </c>
      <c r="B6166" s="116">
        <f t="shared" si="96"/>
        <v>113</v>
      </c>
    </row>
    <row r="6167" spans="1:2" x14ac:dyDescent="0.2">
      <c r="A6167" s="117">
        <v>40864</v>
      </c>
      <c r="B6167" s="116">
        <f t="shared" si="96"/>
        <v>113</v>
      </c>
    </row>
    <row r="6168" spans="1:2" x14ac:dyDescent="0.2">
      <c r="A6168" s="117">
        <v>40865</v>
      </c>
      <c r="B6168" s="116">
        <f t="shared" si="96"/>
        <v>113</v>
      </c>
    </row>
    <row r="6169" spans="1:2" x14ac:dyDescent="0.2">
      <c r="A6169" s="117">
        <v>40866</v>
      </c>
      <c r="B6169" s="116">
        <f t="shared" si="96"/>
        <v>113</v>
      </c>
    </row>
    <row r="6170" spans="1:2" x14ac:dyDescent="0.2">
      <c r="A6170" s="117">
        <v>40867</v>
      </c>
      <c r="B6170" s="116">
        <f t="shared" si="96"/>
        <v>114</v>
      </c>
    </row>
    <row r="6171" spans="1:2" x14ac:dyDescent="0.2">
      <c r="A6171" s="117">
        <v>40868</v>
      </c>
      <c r="B6171" s="116">
        <f t="shared" si="96"/>
        <v>114</v>
      </c>
    </row>
    <row r="6172" spans="1:2" x14ac:dyDescent="0.2">
      <c r="A6172" s="117">
        <v>40869</v>
      </c>
      <c r="B6172" s="116">
        <f t="shared" si="96"/>
        <v>114</v>
      </c>
    </row>
    <row r="6173" spans="1:2" x14ac:dyDescent="0.2">
      <c r="A6173" s="117">
        <v>40870</v>
      </c>
      <c r="B6173" s="116">
        <f t="shared" si="96"/>
        <v>114</v>
      </c>
    </row>
    <row r="6174" spans="1:2" x14ac:dyDescent="0.2">
      <c r="A6174" s="117">
        <v>40871</v>
      </c>
      <c r="B6174" s="116">
        <f t="shared" si="96"/>
        <v>114</v>
      </c>
    </row>
    <row r="6175" spans="1:2" x14ac:dyDescent="0.2">
      <c r="A6175" s="117">
        <v>40872</v>
      </c>
      <c r="B6175" s="116">
        <f t="shared" si="96"/>
        <v>114</v>
      </c>
    </row>
    <row r="6176" spans="1:2" x14ac:dyDescent="0.2">
      <c r="A6176" s="117">
        <v>40873</v>
      </c>
      <c r="B6176" s="116">
        <f t="shared" si="96"/>
        <v>114</v>
      </c>
    </row>
    <row r="6177" spans="1:2" x14ac:dyDescent="0.2">
      <c r="A6177" s="117">
        <v>40874</v>
      </c>
      <c r="B6177" s="116">
        <f t="shared" si="96"/>
        <v>115</v>
      </c>
    </row>
    <row r="6178" spans="1:2" x14ac:dyDescent="0.2">
      <c r="A6178" s="117">
        <v>40875</v>
      </c>
      <c r="B6178" s="116">
        <f t="shared" si="96"/>
        <v>115</v>
      </c>
    </row>
    <row r="6179" spans="1:2" x14ac:dyDescent="0.2">
      <c r="A6179" s="117">
        <v>40876</v>
      </c>
      <c r="B6179" s="116">
        <f t="shared" si="96"/>
        <v>115</v>
      </c>
    </row>
    <row r="6180" spans="1:2" x14ac:dyDescent="0.2">
      <c r="A6180" s="117">
        <v>40877</v>
      </c>
      <c r="B6180" s="116">
        <f t="shared" si="96"/>
        <v>115</v>
      </c>
    </row>
    <row r="6181" spans="1:2" x14ac:dyDescent="0.2">
      <c r="A6181" s="117">
        <v>40878</v>
      </c>
      <c r="B6181" s="116">
        <f t="shared" si="96"/>
        <v>115</v>
      </c>
    </row>
    <row r="6182" spans="1:2" x14ac:dyDescent="0.2">
      <c r="A6182" s="117">
        <v>40879</v>
      </c>
      <c r="B6182" s="116">
        <f t="shared" si="96"/>
        <v>115</v>
      </c>
    </row>
    <row r="6183" spans="1:2" x14ac:dyDescent="0.2">
      <c r="A6183" s="117">
        <v>40880</v>
      </c>
      <c r="B6183" s="116">
        <f t="shared" si="96"/>
        <v>115</v>
      </c>
    </row>
    <row r="6184" spans="1:2" x14ac:dyDescent="0.2">
      <c r="A6184" s="117">
        <v>40881</v>
      </c>
      <c r="B6184" s="116">
        <f t="shared" si="96"/>
        <v>121</v>
      </c>
    </row>
    <row r="6185" spans="1:2" x14ac:dyDescent="0.2">
      <c r="A6185" s="117">
        <v>40882</v>
      </c>
      <c r="B6185" s="116">
        <f t="shared" si="96"/>
        <v>121</v>
      </c>
    </row>
    <row r="6186" spans="1:2" x14ac:dyDescent="0.2">
      <c r="A6186" s="117">
        <v>40883</v>
      </c>
      <c r="B6186" s="116">
        <f t="shared" si="96"/>
        <v>121</v>
      </c>
    </row>
    <row r="6187" spans="1:2" x14ac:dyDescent="0.2">
      <c r="A6187" s="117">
        <v>40884</v>
      </c>
      <c r="B6187" s="116">
        <f t="shared" si="96"/>
        <v>121</v>
      </c>
    </row>
    <row r="6188" spans="1:2" x14ac:dyDescent="0.2">
      <c r="A6188" s="117">
        <v>40885</v>
      </c>
      <c r="B6188" s="116">
        <f t="shared" si="96"/>
        <v>121</v>
      </c>
    </row>
    <row r="6189" spans="1:2" x14ac:dyDescent="0.2">
      <c r="A6189" s="117">
        <v>40886</v>
      </c>
      <c r="B6189" s="116">
        <f t="shared" si="96"/>
        <v>121</v>
      </c>
    </row>
    <row r="6190" spans="1:2" x14ac:dyDescent="0.2">
      <c r="A6190" s="117">
        <v>40887</v>
      </c>
      <c r="B6190" s="116">
        <f t="shared" si="96"/>
        <v>121</v>
      </c>
    </row>
    <row r="6191" spans="1:2" x14ac:dyDescent="0.2">
      <c r="A6191" s="117">
        <v>40888</v>
      </c>
      <c r="B6191" s="116">
        <f t="shared" si="96"/>
        <v>122</v>
      </c>
    </row>
    <row r="6192" spans="1:2" x14ac:dyDescent="0.2">
      <c r="A6192" s="117">
        <v>40889</v>
      </c>
      <c r="B6192" s="116">
        <f t="shared" si="96"/>
        <v>122</v>
      </c>
    </row>
    <row r="6193" spans="1:2" x14ac:dyDescent="0.2">
      <c r="A6193" s="117">
        <v>40890</v>
      </c>
      <c r="B6193" s="116">
        <f t="shared" si="96"/>
        <v>122</v>
      </c>
    </row>
    <row r="6194" spans="1:2" x14ac:dyDescent="0.2">
      <c r="A6194" s="117">
        <v>40891</v>
      </c>
      <c r="B6194" s="116">
        <f t="shared" si="96"/>
        <v>122</v>
      </c>
    </row>
    <row r="6195" spans="1:2" x14ac:dyDescent="0.2">
      <c r="A6195" s="117">
        <v>40892</v>
      </c>
      <c r="B6195" s="116">
        <f t="shared" si="96"/>
        <v>122</v>
      </c>
    </row>
    <row r="6196" spans="1:2" x14ac:dyDescent="0.2">
      <c r="A6196" s="117">
        <v>40893</v>
      </c>
      <c r="B6196" s="116">
        <f t="shared" si="96"/>
        <v>122</v>
      </c>
    </row>
    <row r="6197" spans="1:2" x14ac:dyDescent="0.2">
      <c r="A6197" s="117">
        <v>40894</v>
      </c>
      <c r="B6197" s="116">
        <f t="shared" si="96"/>
        <v>122</v>
      </c>
    </row>
    <row r="6198" spans="1:2" x14ac:dyDescent="0.2">
      <c r="A6198" s="117">
        <v>40895</v>
      </c>
      <c r="B6198" s="116">
        <f t="shared" si="96"/>
        <v>123</v>
      </c>
    </row>
    <row r="6199" spans="1:2" x14ac:dyDescent="0.2">
      <c r="A6199" s="117">
        <v>40896</v>
      </c>
      <c r="B6199" s="116">
        <f t="shared" si="96"/>
        <v>123</v>
      </c>
    </row>
    <row r="6200" spans="1:2" x14ac:dyDescent="0.2">
      <c r="A6200" s="117">
        <v>40897</v>
      </c>
      <c r="B6200" s="116">
        <f t="shared" si="96"/>
        <v>123</v>
      </c>
    </row>
    <row r="6201" spans="1:2" x14ac:dyDescent="0.2">
      <c r="A6201" s="117">
        <v>40898</v>
      </c>
      <c r="B6201" s="116">
        <f t="shared" si="96"/>
        <v>123</v>
      </c>
    </row>
    <row r="6202" spans="1:2" x14ac:dyDescent="0.2">
      <c r="A6202" s="117">
        <v>40899</v>
      </c>
      <c r="B6202" s="116">
        <f t="shared" si="96"/>
        <v>123</v>
      </c>
    </row>
    <row r="6203" spans="1:2" x14ac:dyDescent="0.2">
      <c r="A6203" s="117">
        <v>40900</v>
      </c>
      <c r="B6203" s="116">
        <f t="shared" si="96"/>
        <v>123</v>
      </c>
    </row>
    <row r="6204" spans="1:2" x14ac:dyDescent="0.2">
      <c r="A6204" s="117">
        <v>40901</v>
      </c>
      <c r="B6204" s="116">
        <f t="shared" si="96"/>
        <v>123</v>
      </c>
    </row>
    <row r="6205" spans="1:2" x14ac:dyDescent="0.2">
      <c r="A6205" s="117">
        <v>40902</v>
      </c>
      <c r="B6205" s="116">
        <f t="shared" si="96"/>
        <v>124</v>
      </c>
    </row>
    <row r="6206" spans="1:2" x14ac:dyDescent="0.2">
      <c r="A6206" s="117">
        <v>40903</v>
      </c>
      <c r="B6206" s="116">
        <f t="shared" si="96"/>
        <v>124</v>
      </c>
    </row>
    <row r="6207" spans="1:2" x14ac:dyDescent="0.2">
      <c r="A6207" s="117">
        <v>40904</v>
      </c>
      <c r="B6207" s="116">
        <f t="shared" si="96"/>
        <v>124</v>
      </c>
    </row>
    <row r="6208" spans="1:2" x14ac:dyDescent="0.2">
      <c r="A6208" s="117">
        <v>40905</v>
      </c>
      <c r="B6208" s="116">
        <f t="shared" si="96"/>
        <v>124</v>
      </c>
    </row>
    <row r="6209" spans="1:2" x14ac:dyDescent="0.2">
      <c r="A6209" s="117">
        <v>40906</v>
      </c>
      <c r="B6209" s="116">
        <f t="shared" si="96"/>
        <v>124</v>
      </c>
    </row>
    <row r="6210" spans="1:2" x14ac:dyDescent="0.2">
      <c r="A6210" s="117">
        <v>40907</v>
      </c>
      <c r="B6210" s="116">
        <f t="shared" si="96"/>
        <v>124</v>
      </c>
    </row>
    <row r="6211" spans="1:2" x14ac:dyDescent="0.2">
      <c r="A6211" s="117">
        <v>40908</v>
      </c>
      <c r="B6211" s="116">
        <f t="shared" si="96"/>
        <v>124</v>
      </c>
    </row>
    <row r="6212" spans="1:2" x14ac:dyDescent="0.2">
      <c r="A6212" s="117">
        <v>40909</v>
      </c>
      <c r="B6212" s="116">
        <f t="shared" ref="B6212:B6275" si="97">VLOOKUP(WEEKNUM(A6212),$D$4:$E$59,2)</f>
        <v>11</v>
      </c>
    </row>
    <row r="6213" spans="1:2" x14ac:dyDescent="0.2">
      <c r="A6213" s="117">
        <v>40910</v>
      </c>
      <c r="B6213" s="116">
        <f t="shared" si="97"/>
        <v>11</v>
      </c>
    </row>
    <row r="6214" spans="1:2" x14ac:dyDescent="0.2">
      <c r="A6214" s="117">
        <v>40911</v>
      </c>
      <c r="B6214" s="116">
        <f t="shared" si="97"/>
        <v>11</v>
      </c>
    </row>
    <row r="6215" spans="1:2" x14ac:dyDescent="0.2">
      <c r="A6215" s="117">
        <v>40912</v>
      </c>
      <c r="B6215" s="116">
        <f t="shared" si="97"/>
        <v>11</v>
      </c>
    </row>
    <row r="6216" spans="1:2" x14ac:dyDescent="0.2">
      <c r="A6216" s="117">
        <v>40913</v>
      </c>
      <c r="B6216" s="116">
        <f t="shared" si="97"/>
        <v>11</v>
      </c>
    </row>
    <row r="6217" spans="1:2" x14ac:dyDescent="0.2">
      <c r="A6217" s="117">
        <v>40914</v>
      </c>
      <c r="B6217" s="116">
        <f t="shared" si="97"/>
        <v>11</v>
      </c>
    </row>
    <row r="6218" spans="1:2" x14ac:dyDescent="0.2">
      <c r="A6218" s="117">
        <v>40915</v>
      </c>
      <c r="B6218" s="116">
        <f t="shared" si="97"/>
        <v>11</v>
      </c>
    </row>
    <row r="6219" spans="1:2" x14ac:dyDescent="0.2">
      <c r="A6219" s="117">
        <v>40916</v>
      </c>
      <c r="B6219" s="116">
        <f t="shared" si="97"/>
        <v>12</v>
      </c>
    </row>
    <row r="6220" spans="1:2" x14ac:dyDescent="0.2">
      <c r="A6220" s="117">
        <v>40917</v>
      </c>
      <c r="B6220" s="116">
        <f t="shared" si="97"/>
        <v>12</v>
      </c>
    </row>
    <row r="6221" spans="1:2" x14ac:dyDescent="0.2">
      <c r="A6221" s="117">
        <v>40918</v>
      </c>
      <c r="B6221" s="116">
        <f t="shared" si="97"/>
        <v>12</v>
      </c>
    </row>
    <row r="6222" spans="1:2" x14ac:dyDescent="0.2">
      <c r="A6222" s="117">
        <v>40919</v>
      </c>
      <c r="B6222" s="116">
        <f t="shared" si="97"/>
        <v>12</v>
      </c>
    </row>
    <row r="6223" spans="1:2" x14ac:dyDescent="0.2">
      <c r="A6223" s="117">
        <v>40920</v>
      </c>
      <c r="B6223" s="116">
        <f t="shared" si="97"/>
        <v>12</v>
      </c>
    </row>
    <row r="6224" spans="1:2" x14ac:dyDescent="0.2">
      <c r="A6224" s="117">
        <v>40921</v>
      </c>
      <c r="B6224" s="116">
        <f t="shared" si="97"/>
        <v>12</v>
      </c>
    </row>
    <row r="6225" spans="1:2" x14ac:dyDescent="0.2">
      <c r="A6225" s="117">
        <v>40922</v>
      </c>
      <c r="B6225" s="116">
        <f t="shared" si="97"/>
        <v>12</v>
      </c>
    </row>
    <row r="6226" spans="1:2" x14ac:dyDescent="0.2">
      <c r="A6226" s="117">
        <v>40923</v>
      </c>
      <c r="B6226" s="116">
        <f t="shared" si="97"/>
        <v>13</v>
      </c>
    </row>
    <row r="6227" spans="1:2" x14ac:dyDescent="0.2">
      <c r="A6227" s="117">
        <v>40924</v>
      </c>
      <c r="B6227" s="116">
        <f t="shared" si="97"/>
        <v>13</v>
      </c>
    </row>
    <row r="6228" spans="1:2" x14ac:dyDescent="0.2">
      <c r="A6228" s="117">
        <v>40925</v>
      </c>
      <c r="B6228" s="116">
        <f t="shared" si="97"/>
        <v>13</v>
      </c>
    </row>
    <row r="6229" spans="1:2" x14ac:dyDescent="0.2">
      <c r="A6229" s="117">
        <v>40926</v>
      </c>
      <c r="B6229" s="116">
        <f t="shared" si="97"/>
        <v>13</v>
      </c>
    </row>
    <row r="6230" spans="1:2" x14ac:dyDescent="0.2">
      <c r="A6230" s="117">
        <v>40927</v>
      </c>
      <c r="B6230" s="116">
        <f t="shared" si="97"/>
        <v>13</v>
      </c>
    </row>
    <row r="6231" spans="1:2" x14ac:dyDescent="0.2">
      <c r="A6231" s="117">
        <v>40928</v>
      </c>
      <c r="B6231" s="116">
        <f t="shared" si="97"/>
        <v>13</v>
      </c>
    </row>
    <row r="6232" spans="1:2" x14ac:dyDescent="0.2">
      <c r="A6232" s="117">
        <v>40929</v>
      </c>
      <c r="B6232" s="116">
        <f t="shared" si="97"/>
        <v>13</v>
      </c>
    </row>
    <row r="6233" spans="1:2" x14ac:dyDescent="0.2">
      <c r="A6233" s="117">
        <v>40930</v>
      </c>
      <c r="B6233" s="116">
        <f t="shared" si="97"/>
        <v>14</v>
      </c>
    </row>
    <row r="6234" spans="1:2" x14ac:dyDescent="0.2">
      <c r="A6234" s="117">
        <v>40931</v>
      </c>
      <c r="B6234" s="116">
        <f t="shared" si="97"/>
        <v>14</v>
      </c>
    </row>
    <row r="6235" spans="1:2" x14ac:dyDescent="0.2">
      <c r="A6235" s="117">
        <v>40932</v>
      </c>
      <c r="B6235" s="116">
        <f t="shared" si="97"/>
        <v>14</v>
      </c>
    </row>
    <row r="6236" spans="1:2" x14ac:dyDescent="0.2">
      <c r="A6236" s="117">
        <v>40933</v>
      </c>
      <c r="B6236" s="116">
        <f t="shared" si="97"/>
        <v>14</v>
      </c>
    </row>
    <row r="6237" spans="1:2" x14ac:dyDescent="0.2">
      <c r="A6237" s="117">
        <v>40934</v>
      </c>
      <c r="B6237" s="116">
        <f t="shared" si="97"/>
        <v>14</v>
      </c>
    </row>
    <row r="6238" spans="1:2" x14ac:dyDescent="0.2">
      <c r="A6238" s="117">
        <v>40935</v>
      </c>
      <c r="B6238" s="116">
        <f t="shared" si="97"/>
        <v>14</v>
      </c>
    </row>
    <row r="6239" spans="1:2" x14ac:dyDescent="0.2">
      <c r="A6239" s="117">
        <v>40936</v>
      </c>
      <c r="B6239" s="116">
        <f t="shared" si="97"/>
        <v>14</v>
      </c>
    </row>
    <row r="6240" spans="1:2" x14ac:dyDescent="0.2">
      <c r="A6240" s="117">
        <v>40937</v>
      </c>
      <c r="B6240" s="116">
        <f t="shared" si="97"/>
        <v>15</v>
      </c>
    </row>
    <row r="6241" spans="1:2" x14ac:dyDescent="0.2">
      <c r="A6241" s="117">
        <v>40938</v>
      </c>
      <c r="B6241" s="116">
        <f t="shared" si="97"/>
        <v>15</v>
      </c>
    </row>
    <row r="6242" spans="1:2" x14ac:dyDescent="0.2">
      <c r="A6242" s="117">
        <v>40939</v>
      </c>
      <c r="B6242" s="116">
        <f t="shared" si="97"/>
        <v>15</v>
      </c>
    </row>
    <row r="6243" spans="1:2" x14ac:dyDescent="0.2">
      <c r="A6243" s="117">
        <v>40940</v>
      </c>
      <c r="B6243" s="116">
        <f t="shared" si="97"/>
        <v>15</v>
      </c>
    </row>
    <row r="6244" spans="1:2" x14ac:dyDescent="0.2">
      <c r="A6244" s="117">
        <v>40941</v>
      </c>
      <c r="B6244" s="116">
        <f t="shared" si="97"/>
        <v>15</v>
      </c>
    </row>
    <row r="6245" spans="1:2" x14ac:dyDescent="0.2">
      <c r="A6245" s="117">
        <v>40942</v>
      </c>
      <c r="B6245" s="116">
        <f t="shared" si="97"/>
        <v>15</v>
      </c>
    </row>
    <row r="6246" spans="1:2" x14ac:dyDescent="0.2">
      <c r="A6246" s="117">
        <v>40943</v>
      </c>
      <c r="B6246" s="116">
        <f t="shared" si="97"/>
        <v>15</v>
      </c>
    </row>
    <row r="6247" spans="1:2" x14ac:dyDescent="0.2">
      <c r="A6247" s="117">
        <v>40944</v>
      </c>
      <c r="B6247" s="116">
        <f t="shared" si="97"/>
        <v>21</v>
      </c>
    </row>
    <row r="6248" spans="1:2" x14ac:dyDescent="0.2">
      <c r="A6248" s="117">
        <v>40945</v>
      </c>
      <c r="B6248" s="116">
        <f t="shared" si="97"/>
        <v>21</v>
      </c>
    </row>
    <row r="6249" spans="1:2" x14ac:dyDescent="0.2">
      <c r="A6249" s="117">
        <v>40946</v>
      </c>
      <c r="B6249" s="116">
        <f t="shared" si="97"/>
        <v>21</v>
      </c>
    </row>
    <row r="6250" spans="1:2" x14ac:dyDescent="0.2">
      <c r="A6250" s="117">
        <v>40947</v>
      </c>
      <c r="B6250" s="116">
        <f t="shared" si="97"/>
        <v>21</v>
      </c>
    </row>
    <row r="6251" spans="1:2" x14ac:dyDescent="0.2">
      <c r="A6251" s="117">
        <v>40948</v>
      </c>
      <c r="B6251" s="116">
        <f t="shared" si="97"/>
        <v>21</v>
      </c>
    </row>
    <row r="6252" spans="1:2" x14ac:dyDescent="0.2">
      <c r="A6252" s="117">
        <v>40949</v>
      </c>
      <c r="B6252" s="116">
        <f t="shared" si="97"/>
        <v>21</v>
      </c>
    </row>
    <row r="6253" spans="1:2" x14ac:dyDescent="0.2">
      <c r="A6253" s="117">
        <v>40950</v>
      </c>
      <c r="B6253" s="116">
        <f t="shared" si="97"/>
        <v>21</v>
      </c>
    </row>
    <row r="6254" spans="1:2" x14ac:dyDescent="0.2">
      <c r="A6254" s="117">
        <v>40951</v>
      </c>
      <c r="B6254" s="116">
        <f t="shared" si="97"/>
        <v>22</v>
      </c>
    </row>
    <row r="6255" spans="1:2" x14ac:dyDescent="0.2">
      <c r="A6255" s="117">
        <v>40952</v>
      </c>
      <c r="B6255" s="116">
        <f t="shared" si="97"/>
        <v>22</v>
      </c>
    </row>
    <row r="6256" spans="1:2" x14ac:dyDescent="0.2">
      <c r="A6256" s="117">
        <v>40953</v>
      </c>
      <c r="B6256" s="116">
        <f t="shared" si="97"/>
        <v>22</v>
      </c>
    </row>
    <row r="6257" spans="1:2" x14ac:dyDescent="0.2">
      <c r="A6257" s="117">
        <v>40954</v>
      </c>
      <c r="B6257" s="116">
        <f t="shared" si="97"/>
        <v>22</v>
      </c>
    </row>
    <row r="6258" spans="1:2" x14ac:dyDescent="0.2">
      <c r="A6258" s="117">
        <v>40955</v>
      </c>
      <c r="B6258" s="116">
        <f t="shared" si="97"/>
        <v>22</v>
      </c>
    </row>
    <row r="6259" spans="1:2" x14ac:dyDescent="0.2">
      <c r="A6259" s="117">
        <v>40956</v>
      </c>
      <c r="B6259" s="116">
        <f t="shared" si="97"/>
        <v>22</v>
      </c>
    </row>
    <row r="6260" spans="1:2" x14ac:dyDescent="0.2">
      <c r="A6260" s="117">
        <v>40957</v>
      </c>
      <c r="B6260" s="116">
        <f t="shared" si="97"/>
        <v>22</v>
      </c>
    </row>
    <row r="6261" spans="1:2" x14ac:dyDescent="0.2">
      <c r="A6261" s="117">
        <v>40958</v>
      </c>
      <c r="B6261" s="116">
        <f t="shared" si="97"/>
        <v>23</v>
      </c>
    </row>
    <row r="6262" spans="1:2" x14ac:dyDescent="0.2">
      <c r="A6262" s="117">
        <v>40959</v>
      </c>
      <c r="B6262" s="116">
        <f t="shared" si="97"/>
        <v>23</v>
      </c>
    </row>
    <row r="6263" spans="1:2" x14ac:dyDescent="0.2">
      <c r="A6263" s="117">
        <v>40960</v>
      </c>
      <c r="B6263" s="116">
        <f t="shared" si="97"/>
        <v>23</v>
      </c>
    </row>
    <row r="6264" spans="1:2" x14ac:dyDescent="0.2">
      <c r="A6264" s="117">
        <v>40961</v>
      </c>
      <c r="B6264" s="116">
        <f t="shared" si="97"/>
        <v>23</v>
      </c>
    </row>
    <row r="6265" spans="1:2" x14ac:dyDescent="0.2">
      <c r="A6265" s="117">
        <v>40962</v>
      </c>
      <c r="B6265" s="116">
        <f t="shared" si="97"/>
        <v>23</v>
      </c>
    </row>
    <row r="6266" spans="1:2" x14ac:dyDescent="0.2">
      <c r="A6266" s="117">
        <v>40963</v>
      </c>
      <c r="B6266" s="116">
        <f t="shared" si="97"/>
        <v>23</v>
      </c>
    </row>
    <row r="6267" spans="1:2" x14ac:dyDescent="0.2">
      <c r="A6267" s="117">
        <v>40964</v>
      </c>
      <c r="B6267" s="116">
        <f t="shared" si="97"/>
        <v>23</v>
      </c>
    </row>
    <row r="6268" spans="1:2" x14ac:dyDescent="0.2">
      <c r="A6268" s="117">
        <v>40965</v>
      </c>
      <c r="B6268" s="116">
        <f t="shared" si="97"/>
        <v>24</v>
      </c>
    </row>
    <row r="6269" spans="1:2" x14ac:dyDescent="0.2">
      <c r="A6269" s="117">
        <v>40966</v>
      </c>
      <c r="B6269" s="116">
        <f t="shared" si="97"/>
        <v>24</v>
      </c>
    </row>
    <row r="6270" spans="1:2" x14ac:dyDescent="0.2">
      <c r="A6270" s="117">
        <v>40967</v>
      </c>
      <c r="B6270" s="116">
        <f t="shared" si="97"/>
        <v>24</v>
      </c>
    </row>
    <row r="6271" spans="1:2" x14ac:dyDescent="0.2">
      <c r="A6271" s="117">
        <v>40968</v>
      </c>
      <c r="B6271" s="116">
        <f t="shared" si="97"/>
        <v>24</v>
      </c>
    </row>
    <row r="6272" spans="1:2" x14ac:dyDescent="0.2">
      <c r="A6272" s="117">
        <v>40969</v>
      </c>
      <c r="B6272" s="116">
        <f t="shared" si="97"/>
        <v>24</v>
      </c>
    </row>
    <row r="6273" spans="1:2" x14ac:dyDescent="0.2">
      <c r="A6273" s="117">
        <v>40970</v>
      </c>
      <c r="B6273" s="116">
        <f t="shared" si="97"/>
        <v>24</v>
      </c>
    </row>
    <row r="6274" spans="1:2" x14ac:dyDescent="0.2">
      <c r="A6274" s="117">
        <v>40971</v>
      </c>
      <c r="B6274" s="116">
        <f t="shared" si="97"/>
        <v>24</v>
      </c>
    </row>
    <row r="6275" spans="1:2" x14ac:dyDescent="0.2">
      <c r="A6275" s="117">
        <v>40972</v>
      </c>
      <c r="B6275" s="116">
        <f t="shared" si="97"/>
        <v>31</v>
      </c>
    </row>
    <row r="6276" spans="1:2" x14ac:dyDescent="0.2">
      <c r="A6276" s="117">
        <v>40973</v>
      </c>
      <c r="B6276" s="116">
        <f t="shared" ref="B6276:B6339" si="98">VLOOKUP(WEEKNUM(A6276),$D$4:$E$59,2)</f>
        <v>31</v>
      </c>
    </row>
    <row r="6277" spans="1:2" x14ac:dyDescent="0.2">
      <c r="A6277" s="117">
        <v>40974</v>
      </c>
      <c r="B6277" s="116">
        <f t="shared" si="98"/>
        <v>31</v>
      </c>
    </row>
    <row r="6278" spans="1:2" x14ac:dyDescent="0.2">
      <c r="A6278" s="117">
        <v>40975</v>
      </c>
      <c r="B6278" s="116">
        <f t="shared" si="98"/>
        <v>31</v>
      </c>
    </row>
    <row r="6279" spans="1:2" x14ac:dyDescent="0.2">
      <c r="A6279" s="117">
        <v>40976</v>
      </c>
      <c r="B6279" s="116">
        <f t="shared" si="98"/>
        <v>31</v>
      </c>
    </row>
    <row r="6280" spans="1:2" x14ac:dyDescent="0.2">
      <c r="A6280" s="117">
        <v>40977</v>
      </c>
      <c r="B6280" s="116">
        <f t="shared" si="98"/>
        <v>31</v>
      </c>
    </row>
    <row r="6281" spans="1:2" x14ac:dyDescent="0.2">
      <c r="A6281" s="117">
        <v>40978</v>
      </c>
      <c r="B6281" s="116">
        <f t="shared" si="98"/>
        <v>31</v>
      </c>
    </row>
    <row r="6282" spans="1:2" x14ac:dyDescent="0.2">
      <c r="A6282" s="117">
        <v>40979</v>
      </c>
      <c r="B6282" s="116">
        <f t="shared" si="98"/>
        <v>32</v>
      </c>
    </row>
    <row r="6283" spans="1:2" x14ac:dyDescent="0.2">
      <c r="A6283" s="117">
        <v>40980</v>
      </c>
      <c r="B6283" s="116">
        <f t="shared" si="98"/>
        <v>32</v>
      </c>
    </row>
    <row r="6284" spans="1:2" x14ac:dyDescent="0.2">
      <c r="A6284" s="117">
        <v>40981</v>
      </c>
      <c r="B6284" s="116">
        <f t="shared" si="98"/>
        <v>32</v>
      </c>
    </row>
    <row r="6285" spans="1:2" x14ac:dyDescent="0.2">
      <c r="A6285" s="117">
        <v>40982</v>
      </c>
      <c r="B6285" s="116">
        <f t="shared" si="98"/>
        <v>32</v>
      </c>
    </row>
    <row r="6286" spans="1:2" x14ac:dyDescent="0.2">
      <c r="A6286" s="117">
        <v>40983</v>
      </c>
      <c r="B6286" s="116">
        <f t="shared" si="98"/>
        <v>32</v>
      </c>
    </row>
    <row r="6287" spans="1:2" x14ac:dyDescent="0.2">
      <c r="A6287" s="117">
        <v>40984</v>
      </c>
      <c r="B6287" s="116">
        <f t="shared" si="98"/>
        <v>32</v>
      </c>
    </row>
    <row r="6288" spans="1:2" x14ac:dyDescent="0.2">
      <c r="A6288" s="117">
        <v>40985</v>
      </c>
      <c r="B6288" s="116">
        <f t="shared" si="98"/>
        <v>32</v>
      </c>
    </row>
    <row r="6289" spans="1:2" x14ac:dyDescent="0.2">
      <c r="A6289" s="117">
        <v>40986</v>
      </c>
      <c r="B6289" s="116">
        <f t="shared" si="98"/>
        <v>33</v>
      </c>
    </row>
    <row r="6290" spans="1:2" x14ac:dyDescent="0.2">
      <c r="A6290" s="117">
        <v>40987</v>
      </c>
      <c r="B6290" s="116">
        <f t="shared" si="98"/>
        <v>33</v>
      </c>
    </row>
    <row r="6291" spans="1:2" x14ac:dyDescent="0.2">
      <c r="A6291" s="117">
        <v>40988</v>
      </c>
      <c r="B6291" s="116">
        <f t="shared" si="98"/>
        <v>33</v>
      </c>
    </row>
    <row r="6292" spans="1:2" x14ac:dyDescent="0.2">
      <c r="A6292" s="117">
        <v>40989</v>
      </c>
      <c r="B6292" s="116">
        <f t="shared" si="98"/>
        <v>33</v>
      </c>
    </row>
    <row r="6293" spans="1:2" x14ac:dyDescent="0.2">
      <c r="A6293" s="117">
        <v>40990</v>
      </c>
      <c r="B6293" s="116">
        <f t="shared" si="98"/>
        <v>33</v>
      </c>
    </row>
    <row r="6294" spans="1:2" x14ac:dyDescent="0.2">
      <c r="A6294" s="117">
        <v>40991</v>
      </c>
      <c r="B6294" s="116">
        <f t="shared" si="98"/>
        <v>33</v>
      </c>
    </row>
    <row r="6295" spans="1:2" x14ac:dyDescent="0.2">
      <c r="A6295" s="117">
        <v>40992</v>
      </c>
      <c r="B6295" s="116">
        <f t="shared" si="98"/>
        <v>33</v>
      </c>
    </row>
    <row r="6296" spans="1:2" x14ac:dyDescent="0.2">
      <c r="A6296" s="117">
        <v>40993</v>
      </c>
      <c r="B6296" s="116">
        <f t="shared" si="98"/>
        <v>34</v>
      </c>
    </row>
    <row r="6297" spans="1:2" x14ac:dyDescent="0.2">
      <c r="A6297" s="117">
        <v>40994</v>
      </c>
      <c r="B6297" s="116">
        <f t="shared" si="98"/>
        <v>34</v>
      </c>
    </row>
    <row r="6298" spans="1:2" x14ac:dyDescent="0.2">
      <c r="A6298" s="117">
        <v>40995</v>
      </c>
      <c r="B6298" s="116">
        <f t="shared" si="98"/>
        <v>34</v>
      </c>
    </row>
    <row r="6299" spans="1:2" x14ac:dyDescent="0.2">
      <c r="A6299" s="117">
        <v>40996</v>
      </c>
      <c r="B6299" s="116">
        <f t="shared" si="98"/>
        <v>34</v>
      </c>
    </row>
    <row r="6300" spans="1:2" x14ac:dyDescent="0.2">
      <c r="A6300" s="117">
        <v>40997</v>
      </c>
      <c r="B6300" s="116">
        <f t="shared" si="98"/>
        <v>34</v>
      </c>
    </row>
    <row r="6301" spans="1:2" x14ac:dyDescent="0.2">
      <c r="A6301" s="117">
        <v>40998</v>
      </c>
      <c r="B6301" s="116">
        <f t="shared" si="98"/>
        <v>34</v>
      </c>
    </row>
    <row r="6302" spans="1:2" x14ac:dyDescent="0.2">
      <c r="A6302" s="117">
        <v>40999</v>
      </c>
      <c r="B6302" s="116">
        <f t="shared" si="98"/>
        <v>34</v>
      </c>
    </row>
    <row r="6303" spans="1:2" x14ac:dyDescent="0.2">
      <c r="A6303" s="117">
        <v>41000</v>
      </c>
      <c r="B6303" s="116">
        <f t="shared" si="98"/>
        <v>41</v>
      </c>
    </row>
    <row r="6304" spans="1:2" x14ac:dyDescent="0.2">
      <c r="A6304" s="117">
        <v>41001</v>
      </c>
      <c r="B6304" s="116">
        <f t="shared" si="98"/>
        <v>41</v>
      </c>
    </row>
    <row r="6305" spans="1:2" x14ac:dyDescent="0.2">
      <c r="A6305" s="117">
        <v>41002</v>
      </c>
      <c r="B6305" s="116">
        <f t="shared" si="98"/>
        <v>41</v>
      </c>
    </row>
    <row r="6306" spans="1:2" x14ac:dyDescent="0.2">
      <c r="A6306" s="117">
        <v>41003</v>
      </c>
      <c r="B6306" s="116">
        <f t="shared" si="98"/>
        <v>41</v>
      </c>
    </row>
    <row r="6307" spans="1:2" x14ac:dyDescent="0.2">
      <c r="A6307" s="117">
        <v>41004</v>
      </c>
      <c r="B6307" s="116">
        <f t="shared" si="98"/>
        <v>41</v>
      </c>
    </row>
    <row r="6308" spans="1:2" x14ac:dyDescent="0.2">
      <c r="A6308" s="117">
        <v>41005</v>
      </c>
      <c r="B6308" s="116">
        <f t="shared" si="98"/>
        <v>41</v>
      </c>
    </row>
    <row r="6309" spans="1:2" x14ac:dyDescent="0.2">
      <c r="A6309" s="117">
        <v>41006</v>
      </c>
      <c r="B6309" s="116">
        <f t="shared" si="98"/>
        <v>41</v>
      </c>
    </row>
    <row r="6310" spans="1:2" x14ac:dyDescent="0.2">
      <c r="A6310" s="117">
        <v>41007</v>
      </c>
      <c r="B6310" s="116">
        <f t="shared" si="98"/>
        <v>42</v>
      </c>
    </row>
    <row r="6311" spans="1:2" x14ac:dyDescent="0.2">
      <c r="A6311" s="117">
        <v>41008</v>
      </c>
      <c r="B6311" s="116">
        <f t="shared" si="98"/>
        <v>42</v>
      </c>
    </row>
    <row r="6312" spans="1:2" x14ac:dyDescent="0.2">
      <c r="A6312" s="117">
        <v>41009</v>
      </c>
      <c r="B6312" s="116">
        <f t="shared" si="98"/>
        <v>42</v>
      </c>
    </row>
    <row r="6313" spans="1:2" x14ac:dyDescent="0.2">
      <c r="A6313" s="117">
        <v>41010</v>
      </c>
      <c r="B6313" s="116">
        <f t="shared" si="98"/>
        <v>42</v>
      </c>
    </row>
    <row r="6314" spans="1:2" x14ac:dyDescent="0.2">
      <c r="A6314" s="117">
        <v>41011</v>
      </c>
      <c r="B6314" s="116">
        <f t="shared" si="98"/>
        <v>42</v>
      </c>
    </row>
    <row r="6315" spans="1:2" x14ac:dyDescent="0.2">
      <c r="A6315" s="117">
        <v>41012</v>
      </c>
      <c r="B6315" s="116">
        <f t="shared" si="98"/>
        <v>42</v>
      </c>
    </row>
    <row r="6316" spans="1:2" x14ac:dyDescent="0.2">
      <c r="A6316" s="117">
        <v>41013</v>
      </c>
      <c r="B6316" s="116">
        <f t="shared" si="98"/>
        <v>42</v>
      </c>
    </row>
    <row r="6317" spans="1:2" x14ac:dyDescent="0.2">
      <c r="A6317" s="117">
        <v>41014</v>
      </c>
      <c r="B6317" s="116">
        <f t="shared" si="98"/>
        <v>43</v>
      </c>
    </row>
    <row r="6318" spans="1:2" x14ac:dyDescent="0.2">
      <c r="A6318" s="117">
        <v>41015</v>
      </c>
      <c r="B6318" s="116">
        <f t="shared" si="98"/>
        <v>43</v>
      </c>
    </row>
    <row r="6319" spans="1:2" x14ac:dyDescent="0.2">
      <c r="A6319" s="117">
        <v>41016</v>
      </c>
      <c r="B6319" s="116">
        <f t="shared" si="98"/>
        <v>43</v>
      </c>
    </row>
    <row r="6320" spans="1:2" x14ac:dyDescent="0.2">
      <c r="A6320" s="117">
        <v>41017</v>
      </c>
      <c r="B6320" s="116">
        <f t="shared" si="98"/>
        <v>43</v>
      </c>
    </row>
    <row r="6321" spans="1:2" x14ac:dyDescent="0.2">
      <c r="A6321" s="117">
        <v>41018</v>
      </c>
      <c r="B6321" s="116">
        <f t="shared" si="98"/>
        <v>43</v>
      </c>
    </row>
    <row r="6322" spans="1:2" x14ac:dyDescent="0.2">
      <c r="A6322" s="117">
        <v>41019</v>
      </c>
      <c r="B6322" s="116">
        <f t="shared" si="98"/>
        <v>43</v>
      </c>
    </row>
    <row r="6323" spans="1:2" x14ac:dyDescent="0.2">
      <c r="A6323" s="117">
        <v>41020</v>
      </c>
      <c r="B6323" s="116">
        <f t="shared" si="98"/>
        <v>43</v>
      </c>
    </row>
    <row r="6324" spans="1:2" x14ac:dyDescent="0.2">
      <c r="A6324" s="117">
        <v>41021</v>
      </c>
      <c r="B6324" s="116">
        <f t="shared" si="98"/>
        <v>44</v>
      </c>
    </row>
    <row r="6325" spans="1:2" x14ac:dyDescent="0.2">
      <c r="A6325" s="117">
        <v>41022</v>
      </c>
      <c r="B6325" s="116">
        <f t="shared" si="98"/>
        <v>44</v>
      </c>
    </row>
    <row r="6326" spans="1:2" x14ac:dyDescent="0.2">
      <c r="A6326" s="117">
        <v>41023</v>
      </c>
      <c r="B6326" s="116">
        <f t="shared" si="98"/>
        <v>44</v>
      </c>
    </row>
    <row r="6327" spans="1:2" x14ac:dyDescent="0.2">
      <c r="A6327" s="117">
        <v>41024</v>
      </c>
      <c r="B6327" s="116">
        <f t="shared" si="98"/>
        <v>44</v>
      </c>
    </row>
    <row r="6328" spans="1:2" x14ac:dyDescent="0.2">
      <c r="A6328" s="117">
        <v>41025</v>
      </c>
      <c r="B6328" s="116">
        <f t="shared" si="98"/>
        <v>44</v>
      </c>
    </row>
    <row r="6329" spans="1:2" x14ac:dyDescent="0.2">
      <c r="A6329" s="117">
        <v>41026</v>
      </c>
      <c r="B6329" s="116">
        <f t="shared" si="98"/>
        <v>44</v>
      </c>
    </row>
    <row r="6330" spans="1:2" x14ac:dyDescent="0.2">
      <c r="A6330" s="117">
        <v>41027</v>
      </c>
      <c r="B6330" s="116">
        <f t="shared" si="98"/>
        <v>44</v>
      </c>
    </row>
    <row r="6331" spans="1:2" x14ac:dyDescent="0.2">
      <c r="A6331" s="117">
        <v>41028</v>
      </c>
      <c r="B6331" s="116">
        <f t="shared" si="98"/>
        <v>45</v>
      </c>
    </row>
    <row r="6332" spans="1:2" x14ac:dyDescent="0.2">
      <c r="A6332" s="117">
        <v>41029</v>
      </c>
      <c r="B6332" s="116">
        <f t="shared" si="98"/>
        <v>45</v>
      </c>
    </row>
    <row r="6333" spans="1:2" x14ac:dyDescent="0.2">
      <c r="A6333" s="117">
        <v>41030</v>
      </c>
      <c r="B6333" s="116">
        <f t="shared" si="98"/>
        <v>45</v>
      </c>
    </row>
    <row r="6334" spans="1:2" x14ac:dyDescent="0.2">
      <c r="A6334" s="117">
        <v>41031</v>
      </c>
      <c r="B6334" s="116">
        <f t="shared" si="98"/>
        <v>45</v>
      </c>
    </row>
    <row r="6335" spans="1:2" x14ac:dyDescent="0.2">
      <c r="A6335" s="117">
        <v>41032</v>
      </c>
      <c r="B6335" s="116">
        <f t="shared" si="98"/>
        <v>45</v>
      </c>
    </row>
    <row r="6336" spans="1:2" x14ac:dyDescent="0.2">
      <c r="A6336" s="117">
        <v>41033</v>
      </c>
      <c r="B6336" s="116">
        <f t="shared" si="98"/>
        <v>45</v>
      </c>
    </row>
    <row r="6337" spans="1:2" x14ac:dyDescent="0.2">
      <c r="A6337" s="117">
        <v>41034</v>
      </c>
      <c r="B6337" s="116">
        <f t="shared" si="98"/>
        <v>45</v>
      </c>
    </row>
    <row r="6338" spans="1:2" x14ac:dyDescent="0.2">
      <c r="A6338" s="117">
        <v>41035</v>
      </c>
      <c r="B6338" s="116">
        <f t="shared" si="98"/>
        <v>51</v>
      </c>
    </row>
    <row r="6339" spans="1:2" x14ac:dyDescent="0.2">
      <c r="A6339" s="117">
        <v>41036</v>
      </c>
      <c r="B6339" s="116">
        <f t="shared" si="98"/>
        <v>51</v>
      </c>
    </row>
    <row r="6340" spans="1:2" x14ac:dyDescent="0.2">
      <c r="A6340" s="117">
        <v>41037</v>
      </c>
      <c r="B6340" s="116">
        <f t="shared" ref="B6340:B6403" si="99">VLOOKUP(WEEKNUM(A6340),$D$4:$E$59,2)</f>
        <v>51</v>
      </c>
    </row>
    <row r="6341" spans="1:2" x14ac:dyDescent="0.2">
      <c r="A6341" s="117">
        <v>41038</v>
      </c>
      <c r="B6341" s="116">
        <f t="shared" si="99"/>
        <v>51</v>
      </c>
    </row>
    <row r="6342" spans="1:2" x14ac:dyDescent="0.2">
      <c r="A6342" s="117">
        <v>41039</v>
      </c>
      <c r="B6342" s="116">
        <f t="shared" si="99"/>
        <v>51</v>
      </c>
    </row>
    <row r="6343" spans="1:2" x14ac:dyDescent="0.2">
      <c r="A6343" s="117">
        <v>41040</v>
      </c>
      <c r="B6343" s="116">
        <f t="shared" si="99"/>
        <v>51</v>
      </c>
    </row>
    <row r="6344" spans="1:2" x14ac:dyDescent="0.2">
      <c r="A6344" s="117">
        <v>41041</v>
      </c>
      <c r="B6344" s="116">
        <f t="shared" si="99"/>
        <v>51</v>
      </c>
    </row>
    <row r="6345" spans="1:2" x14ac:dyDescent="0.2">
      <c r="A6345" s="117">
        <v>41042</v>
      </c>
      <c r="B6345" s="116">
        <f t="shared" si="99"/>
        <v>52</v>
      </c>
    </row>
    <row r="6346" spans="1:2" x14ac:dyDescent="0.2">
      <c r="A6346" s="117">
        <v>41043</v>
      </c>
      <c r="B6346" s="116">
        <f t="shared" si="99"/>
        <v>52</v>
      </c>
    </row>
    <row r="6347" spans="1:2" x14ac:dyDescent="0.2">
      <c r="A6347" s="117">
        <v>41044</v>
      </c>
      <c r="B6347" s="116">
        <f t="shared" si="99"/>
        <v>52</v>
      </c>
    </row>
    <row r="6348" spans="1:2" x14ac:dyDescent="0.2">
      <c r="A6348" s="117">
        <v>41045</v>
      </c>
      <c r="B6348" s="116">
        <f t="shared" si="99"/>
        <v>52</v>
      </c>
    </row>
    <row r="6349" spans="1:2" x14ac:dyDescent="0.2">
      <c r="A6349" s="117">
        <v>41046</v>
      </c>
      <c r="B6349" s="116">
        <f t="shared" si="99"/>
        <v>52</v>
      </c>
    </row>
    <row r="6350" spans="1:2" x14ac:dyDescent="0.2">
      <c r="A6350" s="117">
        <v>41047</v>
      </c>
      <c r="B6350" s="116">
        <f t="shared" si="99"/>
        <v>52</v>
      </c>
    </row>
    <row r="6351" spans="1:2" x14ac:dyDescent="0.2">
      <c r="A6351" s="117">
        <v>41048</v>
      </c>
      <c r="B6351" s="116">
        <f t="shared" si="99"/>
        <v>52</v>
      </c>
    </row>
    <row r="6352" spans="1:2" x14ac:dyDescent="0.2">
      <c r="A6352" s="117">
        <v>41049</v>
      </c>
      <c r="B6352" s="116">
        <f t="shared" si="99"/>
        <v>53</v>
      </c>
    </row>
    <row r="6353" spans="1:2" x14ac:dyDescent="0.2">
      <c r="A6353" s="117">
        <v>41050</v>
      </c>
      <c r="B6353" s="116">
        <f t="shared" si="99"/>
        <v>53</v>
      </c>
    </row>
    <row r="6354" spans="1:2" x14ac:dyDescent="0.2">
      <c r="A6354" s="117">
        <v>41051</v>
      </c>
      <c r="B6354" s="116">
        <f t="shared" si="99"/>
        <v>53</v>
      </c>
    </row>
    <row r="6355" spans="1:2" x14ac:dyDescent="0.2">
      <c r="A6355" s="117">
        <v>41052</v>
      </c>
      <c r="B6355" s="116">
        <f t="shared" si="99"/>
        <v>53</v>
      </c>
    </row>
    <row r="6356" spans="1:2" x14ac:dyDescent="0.2">
      <c r="A6356" s="117">
        <v>41053</v>
      </c>
      <c r="B6356" s="116">
        <f t="shared" si="99"/>
        <v>53</v>
      </c>
    </row>
    <row r="6357" spans="1:2" x14ac:dyDescent="0.2">
      <c r="A6357" s="117">
        <v>41054</v>
      </c>
      <c r="B6357" s="116">
        <f t="shared" si="99"/>
        <v>53</v>
      </c>
    </row>
    <row r="6358" spans="1:2" x14ac:dyDescent="0.2">
      <c r="A6358" s="117">
        <v>41055</v>
      </c>
      <c r="B6358" s="116">
        <f t="shared" si="99"/>
        <v>53</v>
      </c>
    </row>
    <row r="6359" spans="1:2" x14ac:dyDescent="0.2">
      <c r="A6359" s="117">
        <v>41056</v>
      </c>
      <c r="B6359" s="116">
        <f t="shared" si="99"/>
        <v>54</v>
      </c>
    </row>
    <row r="6360" spans="1:2" x14ac:dyDescent="0.2">
      <c r="A6360" s="117">
        <v>41057</v>
      </c>
      <c r="B6360" s="116">
        <f t="shared" si="99"/>
        <v>54</v>
      </c>
    </row>
    <row r="6361" spans="1:2" x14ac:dyDescent="0.2">
      <c r="A6361" s="117">
        <v>41058</v>
      </c>
      <c r="B6361" s="116">
        <f t="shared" si="99"/>
        <v>54</v>
      </c>
    </row>
    <row r="6362" spans="1:2" x14ac:dyDescent="0.2">
      <c r="A6362" s="117">
        <v>41059</v>
      </c>
      <c r="B6362" s="116">
        <f t="shared" si="99"/>
        <v>54</v>
      </c>
    </row>
    <row r="6363" spans="1:2" x14ac:dyDescent="0.2">
      <c r="A6363" s="117">
        <v>41060</v>
      </c>
      <c r="B6363" s="116">
        <f t="shared" si="99"/>
        <v>54</v>
      </c>
    </row>
    <row r="6364" spans="1:2" x14ac:dyDescent="0.2">
      <c r="A6364" s="117">
        <v>41061</v>
      </c>
      <c r="B6364" s="116">
        <f t="shared" si="99"/>
        <v>54</v>
      </c>
    </row>
    <row r="6365" spans="1:2" x14ac:dyDescent="0.2">
      <c r="A6365" s="117">
        <v>41062</v>
      </c>
      <c r="B6365" s="116">
        <f t="shared" si="99"/>
        <v>54</v>
      </c>
    </row>
    <row r="6366" spans="1:2" x14ac:dyDescent="0.2">
      <c r="A6366" s="117">
        <v>41063</v>
      </c>
      <c r="B6366" s="116">
        <f t="shared" si="99"/>
        <v>61</v>
      </c>
    </row>
    <row r="6367" spans="1:2" x14ac:dyDescent="0.2">
      <c r="A6367" s="117">
        <v>41064</v>
      </c>
      <c r="B6367" s="116">
        <f t="shared" si="99"/>
        <v>61</v>
      </c>
    </row>
    <row r="6368" spans="1:2" x14ac:dyDescent="0.2">
      <c r="A6368" s="117">
        <v>41065</v>
      </c>
      <c r="B6368" s="116">
        <f t="shared" si="99"/>
        <v>61</v>
      </c>
    </row>
    <row r="6369" spans="1:2" x14ac:dyDescent="0.2">
      <c r="A6369" s="117">
        <v>41066</v>
      </c>
      <c r="B6369" s="116">
        <f t="shared" si="99"/>
        <v>61</v>
      </c>
    </row>
    <row r="6370" spans="1:2" x14ac:dyDescent="0.2">
      <c r="A6370" s="117">
        <v>41067</v>
      </c>
      <c r="B6370" s="116">
        <f t="shared" si="99"/>
        <v>61</v>
      </c>
    </row>
    <row r="6371" spans="1:2" x14ac:dyDescent="0.2">
      <c r="A6371" s="117">
        <v>41068</v>
      </c>
      <c r="B6371" s="116">
        <f t="shared" si="99"/>
        <v>61</v>
      </c>
    </row>
    <row r="6372" spans="1:2" x14ac:dyDescent="0.2">
      <c r="A6372" s="117">
        <v>41069</v>
      </c>
      <c r="B6372" s="116">
        <f t="shared" si="99"/>
        <v>61</v>
      </c>
    </row>
    <row r="6373" spans="1:2" x14ac:dyDescent="0.2">
      <c r="A6373" s="117">
        <v>41070</v>
      </c>
      <c r="B6373" s="116">
        <f t="shared" si="99"/>
        <v>62</v>
      </c>
    </row>
    <row r="6374" spans="1:2" x14ac:dyDescent="0.2">
      <c r="A6374" s="117">
        <v>41071</v>
      </c>
      <c r="B6374" s="116">
        <f t="shared" si="99"/>
        <v>62</v>
      </c>
    </row>
    <row r="6375" spans="1:2" x14ac:dyDescent="0.2">
      <c r="A6375" s="117">
        <v>41072</v>
      </c>
      <c r="B6375" s="116">
        <f t="shared" si="99"/>
        <v>62</v>
      </c>
    </row>
    <row r="6376" spans="1:2" x14ac:dyDescent="0.2">
      <c r="A6376" s="117">
        <v>41073</v>
      </c>
      <c r="B6376" s="116">
        <f t="shared" si="99"/>
        <v>62</v>
      </c>
    </row>
    <row r="6377" spans="1:2" x14ac:dyDescent="0.2">
      <c r="A6377" s="117">
        <v>41074</v>
      </c>
      <c r="B6377" s="116">
        <f t="shared" si="99"/>
        <v>62</v>
      </c>
    </row>
    <row r="6378" spans="1:2" x14ac:dyDescent="0.2">
      <c r="A6378" s="117">
        <v>41075</v>
      </c>
      <c r="B6378" s="116">
        <f t="shared" si="99"/>
        <v>62</v>
      </c>
    </row>
    <row r="6379" spans="1:2" x14ac:dyDescent="0.2">
      <c r="A6379" s="117">
        <v>41076</v>
      </c>
      <c r="B6379" s="116">
        <f t="shared" si="99"/>
        <v>62</v>
      </c>
    </row>
    <row r="6380" spans="1:2" x14ac:dyDescent="0.2">
      <c r="A6380" s="117">
        <v>41077</v>
      </c>
      <c r="B6380" s="116">
        <f t="shared" si="99"/>
        <v>63</v>
      </c>
    </row>
    <row r="6381" spans="1:2" x14ac:dyDescent="0.2">
      <c r="A6381" s="117">
        <v>41078</v>
      </c>
      <c r="B6381" s="116">
        <f t="shared" si="99"/>
        <v>63</v>
      </c>
    </row>
    <row r="6382" spans="1:2" x14ac:dyDescent="0.2">
      <c r="A6382" s="117">
        <v>41079</v>
      </c>
      <c r="B6382" s="116">
        <f t="shared" si="99"/>
        <v>63</v>
      </c>
    </row>
    <row r="6383" spans="1:2" x14ac:dyDescent="0.2">
      <c r="A6383" s="117">
        <v>41080</v>
      </c>
      <c r="B6383" s="116">
        <f t="shared" si="99"/>
        <v>63</v>
      </c>
    </row>
    <row r="6384" spans="1:2" x14ac:dyDescent="0.2">
      <c r="A6384" s="117">
        <v>41081</v>
      </c>
      <c r="B6384" s="116">
        <f t="shared" si="99"/>
        <v>63</v>
      </c>
    </row>
    <row r="6385" spans="1:2" x14ac:dyDescent="0.2">
      <c r="A6385" s="117">
        <v>41082</v>
      </c>
      <c r="B6385" s="116">
        <f t="shared" si="99"/>
        <v>63</v>
      </c>
    </row>
    <row r="6386" spans="1:2" x14ac:dyDescent="0.2">
      <c r="A6386" s="117">
        <v>41083</v>
      </c>
      <c r="B6386" s="116">
        <f t="shared" si="99"/>
        <v>63</v>
      </c>
    </row>
    <row r="6387" spans="1:2" x14ac:dyDescent="0.2">
      <c r="A6387" s="117">
        <v>41084</v>
      </c>
      <c r="B6387" s="116">
        <f t="shared" si="99"/>
        <v>64</v>
      </c>
    </row>
    <row r="6388" spans="1:2" x14ac:dyDescent="0.2">
      <c r="A6388" s="117">
        <v>41085</v>
      </c>
      <c r="B6388" s="116">
        <f t="shared" si="99"/>
        <v>64</v>
      </c>
    </row>
    <row r="6389" spans="1:2" x14ac:dyDescent="0.2">
      <c r="A6389" s="117">
        <v>41086</v>
      </c>
      <c r="B6389" s="116">
        <f t="shared" si="99"/>
        <v>64</v>
      </c>
    </row>
    <row r="6390" spans="1:2" x14ac:dyDescent="0.2">
      <c r="A6390" s="117">
        <v>41087</v>
      </c>
      <c r="B6390" s="116">
        <f t="shared" si="99"/>
        <v>64</v>
      </c>
    </row>
    <row r="6391" spans="1:2" x14ac:dyDescent="0.2">
      <c r="A6391" s="117">
        <v>41088</v>
      </c>
      <c r="B6391" s="116">
        <f t="shared" si="99"/>
        <v>64</v>
      </c>
    </row>
    <row r="6392" spans="1:2" x14ac:dyDescent="0.2">
      <c r="A6392" s="117">
        <v>41089</v>
      </c>
      <c r="B6392" s="116">
        <f t="shared" si="99"/>
        <v>64</v>
      </c>
    </row>
    <row r="6393" spans="1:2" x14ac:dyDescent="0.2">
      <c r="A6393" s="117">
        <v>41090</v>
      </c>
      <c r="B6393" s="116">
        <f t="shared" si="99"/>
        <v>64</v>
      </c>
    </row>
    <row r="6394" spans="1:2" x14ac:dyDescent="0.2">
      <c r="A6394" s="117">
        <v>41091</v>
      </c>
      <c r="B6394" s="116">
        <f t="shared" si="99"/>
        <v>71</v>
      </c>
    </row>
    <row r="6395" spans="1:2" x14ac:dyDescent="0.2">
      <c r="A6395" s="117">
        <v>41092</v>
      </c>
      <c r="B6395" s="116">
        <f t="shared" si="99"/>
        <v>71</v>
      </c>
    </row>
    <row r="6396" spans="1:2" x14ac:dyDescent="0.2">
      <c r="A6396" s="117">
        <v>41093</v>
      </c>
      <c r="B6396" s="116">
        <f t="shared" si="99"/>
        <v>71</v>
      </c>
    </row>
    <row r="6397" spans="1:2" x14ac:dyDescent="0.2">
      <c r="A6397" s="117">
        <v>41094</v>
      </c>
      <c r="B6397" s="116">
        <f t="shared" si="99"/>
        <v>71</v>
      </c>
    </row>
    <row r="6398" spans="1:2" x14ac:dyDescent="0.2">
      <c r="A6398" s="117">
        <v>41095</v>
      </c>
      <c r="B6398" s="116">
        <f t="shared" si="99"/>
        <v>71</v>
      </c>
    </row>
    <row r="6399" spans="1:2" x14ac:dyDescent="0.2">
      <c r="A6399" s="117">
        <v>41096</v>
      </c>
      <c r="B6399" s="116">
        <f t="shared" si="99"/>
        <v>71</v>
      </c>
    </row>
    <row r="6400" spans="1:2" x14ac:dyDescent="0.2">
      <c r="A6400" s="117">
        <v>41097</v>
      </c>
      <c r="B6400" s="116">
        <f t="shared" si="99"/>
        <v>71</v>
      </c>
    </row>
    <row r="6401" spans="1:2" x14ac:dyDescent="0.2">
      <c r="A6401" s="117">
        <v>41098</v>
      </c>
      <c r="B6401" s="116">
        <f t="shared" si="99"/>
        <v>72</v>
      </c>
    </row>
    <row r="6402" spans="1:2" x14ac:dyDescent="0.2">
      <c r="A6402" s="117">
        <v>41099</v>
      </c>
      <c r="B6402" s="116">
        <f t="shared" si="99"/>
        <v>72</v>
      </c>
    </row>
    <row r="6403" spans="1:2" x14ac:dyDescent="0.2">
      <c r="A6403" s="117">
        <v>41100</v>
      </c>
      <c r="B6403" s="116">
        <f t="shared" si="99"/>
        <v>72</v>
      </c>
    </row>
    <row r="6404" spans="1:2" x14ac:dyDescent="0.2">
      <c r="A6404" s="117">
        <v>41101</v>
      </c>
      <c r="B6404" s="116">
        <f t="shared" ref="B6404:B6467" si="100">VLOOKUP(WEEKNUM(A6404),$D$4:$E$59,2)</f>
        <v>72</v>
      </c>
    </row>
    <row r="6405" spans="1:2" x14ac:dyDescent="0.2">
      <c r="A6405" s="117">
        <v>41102</v>
      </c>
      <c r="B6405" s="116">
        <f t="shared" si="100"/>
        <v>72</v>
      </c>
    </row>
    <row r="6406" spans="1:2" x14ac:dyDescent="0.2">
      <c r="A6406" s="117">
        <v>41103</v>
      </c>
      <c r="B6406" s="116">
        <f t="shared" si="100"/>
        <v>72</v>
      </c>
    </row>
    <row r="6407" spans="1:2" x14ac:dyDescent="0.2">
      <c r="A6407" s="117">
        <v>41104</v>
      </c>
      <c r="B6407" s="116">
        <f t="shared" si="100"/>
        <v>72</v>
      </c>
    </row>
    <row r="6408" spans="1:2" x14ac:dyDescent="0.2">
      <c r="A6408" s="117">
        <v>41105</v>
      </c>
      <c r="B6408" s="116">
        <f t="shared" si="100"/>
        <v>73</v>
      </c>
    </row>
    <row r="6409" spans="1:2" x14ac:dyDescent="0.2">
      <c r="A6409" s="117">
        <v>41106</v>
      </c>
      <c r="B6409" s="116">
        <f t="shared" si="100"/>
        <v>73</v>
      </c>
    </row>
    <row r="6410" spans="1:2" x14ac:dyDescent="0.2">
      <c r="A6410" s="117">
        <v>41107</v>
      </c>
      <c r="B6410" s="116">
        <f t="shared" si="100"/>
        <v>73</v>
      </c>
    </row>
    <row r="6411" spans="1:2" x14ac:dyDescent="0.2">
      <c r="A6411" s="117">
        <v>41108</v>
      </c>
      <c r="B6411" s="116">
        <f t="shared" si="100"/>
        <v>73</v>
      </c>
    </row>
    <row r="6412" spans="1:2" x14ac:dyDescent="0.2">
      <c r="A6412" s="117">
        <v>41109</v>
      </c>
      <c r="B6412" s="116">
        <f t="shared" si="100"/>
        <v>73</v>
      </c>
    </row>
    <row r="6413" spans="1:2" x14ac:dyDescent="0.2">
      <c r="A6413" s="117">
        <v>41110</v>
      </c>
      <c r="B6413" s="116">
        <f t="shared" si="100"/>
        <v>73</v>
      </c>
    </row>
    <row r="6414" spans="1:2" x14ac:dyDescent="0.2">
      <c r="A6414" s="117">
        <v>41111</v>
      </c>
      <c r="B6414" s="116">
        <f t="shared" si="100"/>
        <v>73</v>
      </c>
    </row>
    <row r="6415" spans="1:2" x14ac:dyDescent="0.2">
      <c r="A6415" s="117">
        <v>41112</v>
      </c>
      <c r="B6415" s="116">
        <f t="shared" si="100"/>
        <v>74</v>
      </c>
    </row>
    <row r="6416" spans="1:2" x14ac:dyDescent="0.2">
      <c r="A6416" s="117">
        <v>41113</v>
      </c>
      <c r="B6416" s="116">
        <f t="shared" si="100"/>
        <v>74</v>
      </c>
    </row>
    <row r="6417" spans="1:2" x14ac:dyDescent="0.2">
      <c r="A6417" s="117">
        <v>41114</v>
      </c>
      <c r="B6417" s="116">
        <f t="shared" si="100"/>
        <v>74</v>
      </c>
    </row>
    <row r="6418" spans="1:2" x14ac:dyDescent="0.2">
      <c r="A6418" s="117">
        <v>41115</v>
      </c>
      <c r="B6418" s="116">
        <f t="shared" si="100"/>
        <v>74</v>
      </c>
    </row>
    <row r="6419" spans="1:2" x14ac:dyDescent="0.2">
      <c r="A6419" s="117">
        <v>41116</v>
      </c>
      <c r="B6419" s="116">
        <f t="shared" si="100"/>
        <v>74</v>
      </c>
    </row>
    <row r="6420" spans="1:2" x14ac:dyDescent="0.2">
      <c r="A6420" s="117">
        <v>41117</v>
      </c>
      <c r="B6420" s="116">
        <f t="shared" si="100"/>
        <v>74</v>
      </c>
    </row>
    <row r="6421" spans="1:2" x14ac:dyDescent="0.2">
      <c r="A6421" s="117">
        <v>41118</v>
      </c>
      <c r="B6421" s="116">
        <f t="shared" si="100"/>
        <v>74</v>
      </c>
    </row>
    <row r="6422" spans="1:2" x14ac:dyDescent="0.2">
      <c r="A6422" s="117">
        <v>41119</v>
      </c>
      <c r="B6422" s="116">
        <f t="shared" si="100"/>
        <v>75</v>
      </c>
    </row>
    <row r="6423" spans="1:2" x14ac:dyDescent="0.2">
      <c r="A6423" s="117">
        <v>41120</v>
      </c>
      <c r="B6423" s="116">
        <f t="shared" si="100"/>
        <v>75</v>
      </c>
    </row>
    <row r="6424" spans="1:2" x14ac:dyDescent="0.2">
      <c r="A6424" s="117">
        <v>41121</v>
      </c>
      <c r="B6424" s="116">
        <f t="shared" si="100"/>
        <v>75</v>
      </c>
    </row>
    <row r="6425" spans="1:2" x14ac:dyDescent="0.2">
      <c r="A6425" s="117">
        <v>41122</v>
      </c>
      <c r="B6425" s="116">
        <f t="shared" si="100"/>
        <v>75</v>
      </c>
    </row>
    <row r="6426" spans="1:2" x14ac:dyDescent="0.2">
      <c r="A6426" s="117">
        <v>41123</v>
      </c>
      <c r="B6426" s="116">
        <f t="shared" si="100"/>
        <v>75</v>
      </c>
    </row>
    <row r="6427" spans="1:2" x14ac:dyDescent="0.2">
      <c r="A6427" s="117">
        <v>41124</v>
      </c>
      <c r="B6427" s="116">
        <f t="shared" si="100"/>
        <v>75</v>
      </c>
    </row>
    <row r="6428" spans="1:2" x14ac:dyDescent="0.2">
      <c r="A6428" s="117">
        <v>41125</v>
      </c>
      <c r="B6428" s="116">
        <f t="shared" si="100"/>
        <v>75</v>
      </c>
    </row>
    <row r="6429" spans="1:2" x14ac:dyDescent="0.2">
      <c r="A6429" s="117">
        <v>41126</v>
      </c>
      <c r="B6429" s="116">
        <f t="shared" si="100"/>
        <v>81</v>
      </c>
    </row>
    <row r="6430" spans="1:2" x14ac:dyDescent="0.2">
      <c r="A6430" s="117">
        <v>41127</v>
      </c>
      <c r="B6430" s="116">
        <f t="shared" si="100"/>
        <v>81</v>
      </c>
    </row>
    <row r="6431" spans="1:2" x14ac:dyDescent="0.2">
      <c r="A6431" s="117">
        <v>41128</v>
      </c>
      <c r="B6431" s="116">
        <f t="shared" si="100"/>
        <v>81</v>
      </c>
    </row>
    <row r="6432" spans="1:2" x14ac:dyDescent="0.2">
      <c r="A6432" s="117">
        <v>41129</v>
      </c>
      <c r="B6432" s="116">
        <f t="shared" si="100"/>
        <v>81</v>
      </c>
    </row>
    <row r="6433" spans="1:2" x14ac:dyDescent="0.2">
      <c r="A6433" s="117">
        <v>41130</v>
      </c>
      <c r="B6433" s="116">
        <f t="shared" si="100"/>
        <v>81</v>
      </c>
    </row>
    <row r="6434" spans="1:2" x14ac:dyDescent="0.2">
      <c r="A6434" s="117">
        <v>41131</v>
      </c>
      <c r="B6434" s="116">
        <f t="shared" si="100"/>
        <v>81</v>
      </c>
    </row>
    <row r="6435" spans="1:2" x14ac:dyDescent="0.2">
      <c r="A6435" s="117">
        <v>41132</v>
      </c>
      <c r="B6435" s="116">
        <f t="shared" si="100"/>
        <v>81</v>
      </c>
    </row>
    <row r="6436" spans="1:2" x14ac:dyDescent="0.2">
      <c r="A6436" s="117">
        <v>41133</v>
      </c>
      <c r="B6436" s="116">
        <f t="shared" si="100"/>
        <v>82</v>
      </c>
    </row>
    <row r="6437" spans="1:2" x14ac:dyDescent="0.2">
      <c r="A6437" s="117">
        <v>41134</v>
      </c>
      <c r="B6437" s="116">
        <f t="shared" si="100"/>
        <v>82</v>
      </c>
    </row>
    <row r="6438" spans="1:2" x14ac:dyDescent="0.2">
      <c r="A6438" s="117">
        <v>41135</v>
      </c>
      <c r="B6438" s="116">
        <f t="shared" si="100"/>
        <v>82</v>
      </c>
    </row>
    <row r="6439" spans="1:2" x14ac:dyDescent="0.2">
      <c r="A6439" s="117">
        <v>41136</v>
      </c>
      <c r="B6439" s="116">
        <f t="shared" si="100"/>
        <v>82</v>
      </c>
    </row>
    <row r="6440" spans="1:2" x14ac:dyDescent="0.2">
      <c r="A6440" s="117">
        <v>41137</v>
      </c>
      <c r="B6440" s="116">
        <f t="shared" si="100"/>
        <v>82</v>
      </c>
    </row>
    <row r="6441" spans="1:2" x14ac:dyDescent="0.2">
      <c r="A6441" s="117">
        <v>41138</v>
      </c>
      <c r="B6441" s="116">
        <f t="shared" si="100"/>
        <v>82</v>
      </c>
    </row>
    <row r="6442" spans="1:2" x14ac:dyDescent="0.2">
      <c r="A6442" s="117">
        <v>41139</v>
      </c>
      <c r="B6442" s="116">
        <f t="shared" si="100"/>
        <v>82</v>
      </c>
    </row>
    <row r="6443" spans="1:2" x14ac:dyDescent="0.2">
      <c r="A6443" s="117">
        <v>41140</v>
      </c>
      <c r="B6443" s="116">
        <f t="shared" si="100"/>
        <v>83</v>
      </c>
    </row>
    <row r="6444" spans="1:2" x14ac:dyDescent="0.2">
      <c r="A6444" s="117">
        <v>41141</v>
      </c>
      <c r="B6444" s="116">
        <f t="shared" si="100"/>
        <v>83</v>
      </c>
    </row>
    <row r="6445" spans="1:2" x14ac:dyDescent="0.2">
      <c r="A6445" s="117">
        <v>41142</v>
      </c>
      <c r="B6445" s="116">
        <f t="shared" si="100"/>
        <v>83</v>
      </c>
    </row>
    <row r="6446" spans="1:2" x14ac:dyDescent="0.2">
      <c r="A6446" s="117">
        <v>41143</v>
      </c>
      <c r="B6446" s="116">
        <f t="shared" si="100"/>
        <v>83</v>
      </c>
    </row>
    <row r="6447" spans="1:2" x14ac:dyDescent="0.2">
      <c r="A6447" s="117">
        <v>41144</v>
      </c>
      <c r="B6447" s="116">
        <f t="shared" si="100"/>
        <v>83</v>
      </c>
    </row>
    <row r="6448" spans="1:2" x14ac:dyDescent="0.2">
      <c r="A6448" s="117">
        <v>41145</v>
      </c>
      <c r="B6448" s="116">
        <f t="shared" si="100"/>
        <v>83</v>
      </c>
    </row>
    <row r="6449" spans="1:2" x14ac:dyDescent="0.2">
      <c r="A6449" s="117">
        <v>41146</v>
      </c>
      <c r="B6449" s="116">
        <f t="shared" si="100"/>
        <v>83</v>
      </c>
    </row>
    <row r="6450" spans="1:2" x14ac:dyDescent="0.2">
      <c r="A6450" s="117">
        <v>41147</v>
      </c>
      <c r="B6450" s="116">
        <f t="shared" si="100"/>
        <v>84</v>
      </c>
    </row>
    <row r="6451" spans="1:2" x14ac:dyDescent="0.2">
      <c r="A6451" s="117">
        <v>41148</v>
      </c>
      <c r="B6451" s="116">
        <f t="shared" si="100"/>
        <v>84</v>
      </c>
    </row>
    <row r="6452" spans="1:2" x14ac:dyDescent="0.2">
      <c r="A6452" s="117">
        <v>41149</v>
      </c>
      <c r="B6452" s="116">
        <f t="shared" si="100"/>
        <v>84</v>
      </c>
    </row>
    <row r="6453" spans="1:2" x14ac:dyDescent="0.2">
      <c r="A6453" s="117">
        <v>41150</v>
      </c>
      <c r="B6453" s="116">
        <f t="shared" si="100"/>
        <v>84</v>
      </c>
    </row>
    <row r="6454" spans="1:2" x14ac:dyDescent="0.2">
      <c r="A6454" s="117">
        <v>41151</v>
      </c>
      <c r="B6454" s="116">
        <f t="shared" si="100"/>
        <v>84</v>
      </c>
    </row>
    <row r="6455" spans="1:2" x14ac:dyDescent="0.2">
      <c r="A6455" s="117">
        <v>41152</v>
      </c>
      <c r="B6455" s="116">
        <f t="shared" si="100"/>
        <v>84</v>
      </c>
    </row>
    <row r="6456" spans="1:2" x14ac:dyDescent="0.2">
      <c r="A6456" s="117">
        <v>41153</v>
      </c>
      <c r="B6456" s="116">
        <f t="shared" si="100"/>
        <v>84</v>
      </c>
    </row>
    <row r="6457" spans="1:2" x14ac:dyDescent="0.2">
      <c r="A6457" s="117">
        <v>41154</v>
      </c>
      <c r="B6457" s="116">
        <f t="shared" si="100"/>
        <v>91</v>
      </c>
    </row>
    <row r="6458" spans="1:2" x14ac:dyDescent="0.2">
      <c r="A6458" s="117">
        <v>41155</v>
      </c>
      <c r="B6458" s="116">
        <f t="shared" si="100"/>
        <v>91</v>
      </c>
    </row>
    <row r="6459" spans="1:2" x14ac:dyDescent="0.2">
      <c r="A6459" s="117">
        <v>41156</v>
      </c>
      <c r="B6459" s="116">
        <f t="shared" si="100"/>
        <v>91</v>
      </c>
    </row>
    <row r="6460" spans="1:2" x14ac:dyDescent="0.2">
      <c r="A6460" s="117">
        <v>41157</v>
      </c>
      <c r="B6460" s="116">
        <f t="shared" si="100"/>
        <v>91</v>
      </c>
    </row>
    <row r="6461" spans="1:2" x14ac:dyDescent="0.2">
      <c r="A6461" s="117">
        <v>41158</v>
      </c>
      <c r="B6461" s="116">
        <f t="shared" si="100"/>
        <v>91</v>
      </c>
    </row>
    <row r="6462" spans="1:2" x14ac:dyDescent="0.2">
      <c r="A6462" s="117">
        <v>41159</v>
      </c>
      <c r="B6462" s="116">
        <f t="shared" si="100"/>
        <v>91</v>
      </c>
    </row>
    <row r="6463" spans="1:2" x14ac:dyDescent="0.2">
      <c r="A6463" s="117">
        <v>41160</v>
      </c>
      <c r="B6463" s="116">
        <f t="shared" si="100"/>
        <v>91</v>
      </c>
    </row>
    <row r="6464" spans="1:2" x14ac:dyDescent="0.2">
      <c r="A6464" s="117">
        <v>41161</v>
      </c>
      <c r="B6464" s="116">
        <f t="shared" si="100"/>
        <v>92</v>
      </c>
    </row>
    <row r="6465" spans="1:2" x14ac:dyDescent="0.2">
      <c r="A6465" s="117">
        <v>41162</v>
      </c>
      <c r="B6465" s="116">
        <f t="shared" si="100"/>
        <v>92</v>
      </c>
    </row>
    <row r="6466" spans="1:2" x14ac:dyDescent="0.2">
      <c r="A6466" s="117">
        <v>41163</v>
      </c>
      <c r="B6466" s="116">
        <f t="shared" si="100"/>
        <v>92</v>
      </c>
    </row>
    <row r="6467" spans="1:2" x14ac:dyDescent="0.2">
      <c r="A6467" s="117">
        <v>41164</v>
      </c>
      <c r="B6467" s="116">
        <f t="shared" si="100"/>
        <v>92</v>
      </c>
    </row>
    <row r="6468" spans="1:2" x14ac:dyDescent="0.2">
      <c r="A6468" s="117">
        <v>41165</v>
      </c>
      <c r="B6468" s="116">
        <f t="shared" ref="B6468:B6531" si="101">VLOOKUP(WEEKNUM(A6468),$D$4:$E$59,2)</f>
        <v>92</v>
      </c>
    </row>
    <row r="6469" spans="1:2" x14ac:dyDescent="0.2">
      <c r="A6469" s="117">
        <v>41166</v>
      </c>
      <c r="B6469" s="116">
        <f t="shared" si="101"/>
        <v>92</v>
      </c>
    </row>
    <row r="6470" spans="1:2" x14ac:dyDescent="0.2">
      <c r="A6470" s="117">
        <v>41167</v>
      </c>
      <c r="B6470" s="116">
        <f t="shared" si="101"/>
        <v>92</v>
      </c>
    </row>
    <row r="6471" spans="1:2" x14ac:dyDescent="0.2">
      <c r="A6471" s="117">
        <v>41168</v>
      </c>
      <c r="B6471" s="116">
        <f t="shared" si="101"/>
        <v>93</v>
      </c>
    </row>
    <row r="6472" spans="1:2" x14ac:dyDescent="0.2">
      <c r="A6472" s="117">
        <v>41169</v>
      </c>
      <c r="B6472" s="116">
        <f t="shared" si="101"/>
        <v>93</v>
      </c>
    </row>
    <row r="6473" spans="1:2" x14ac:dyDescent="0.2">
      <c r="A6473" s="117">
        <v>41170</v>
      </c>
      <c r="B6473" s="116">
        <f t="shared" si="101"/>
        <v>93</v>
      </c>
    </row>
    <row r="6474" spans="1:2" x14ac:dyDescent="0.2">
      <c r="A6474" s="117">
        <v>41171</v>
      </c>
      <c r="B6474" s="116">
        <f t="shared" si="101"/>
        <v>93</v>
      </c>
    </row>
    <row r="6475" spans="1:2" x14ac:dyDescent="0.2">
      <c r="A6475" s="117">
        <v>41172</v>
      </c>
      <c r="B6475" s="116">
        <f t="shared" si="101"/>
        <v>93</v>
      </c>
    </row>
    <row r="6476" spans="1:2" x14ac:dyDescent="0.2">
      <c r="A6476" s="117">
        <v>41173</v>
      </c>
      <c r="B6476" s="116">
        <f t="shared" si="101"/>
        <v>93</v>
      </c>
    </row>
    <row r="6477" spans="1:2" x14ac:dyDescent="0.2">
      <c r="A6477" s="117">
        <v>41174</v>
      </c>
      <c r="B6477" s="116">
        <f t="shared" si="101"/>
        <v>93</v>
      </c>
    </row>
    <row r="6478" spans="1:2" x14ac:dyDescent="0.2">
      <c r="A6478" s="117">
        <v>41175</v>
      </c>
      <c r="B6478" s="116">
        <f t="shared" si="101"/>
        <v>94</v>
      </c>
    </row>
    <row r="6479" spans="1:2" x14ac:dyDescent="0.2">
      <c r="A6479" s="117">
        <v>41176</v>
      </c>
      <c r="B6479" s="116">
        <f t="shared" si="101"/>
        <v>94</v>
      </c>
    </row>
    <row r="6480" spans="1:2" x14ac:dyDescent="0.2">
      <c r="A6480" s="117">
        <v>41177</v>
      </c>
      <c r="B6480" s="116">
        <f t="shared" si="101"/>
        <v>94</v>
      </c>
    </row>
    <row r="6481" spans="1:2" x14ac:dyDescent="0.2">
      <c r="A6481" s="117">
        <v>41178</v>
      </c>
      <c r="B6481" s="116">
        <f t="shared" si="101"/>
        <v>94</v>
      </c>
    </row>
    <row r="6482" spans="1:2" x14ac:dyDescent="0.2">
      <c r="A6482" s="117">
        <v>41179</v>
      </c>
      <c r="B6482" s="116">
        <f t="shared" si="101"/>
        <v>94</v>
      </c>
    </row>
    <row r="6483" spans="1:2" x14ac:dyDescent="0.2">
      <c r="A6483" s="117">
        <v>41180</v>
      </c>
      <c r="B6483" s="116">
        <f t="shared" si="101"/>
        <v>94</v>
      </c>
    </row>
    <row r="6484" spans="1:2" x14ac:dyDescent="0.2">
      <c r="A6484" s="117">
        <v>41181</v>
      </c>
      <c r="B6484" s="116">
        <f t="shared" si="101"/>
        <v>94</v>
      </c>
    </row>
    <row r="6485" spans="1:2" x14ac:dyDescent="0.2">
      <c r="A6485" s="117">
        <v>41182</v>
      </c>
      <c r="B6485" s="116">
        <f t="shared" si="101"/>
        <v>101</v>
      </c>
    </row>
    <row r="6486" spans="1:2" x14ac:dyDescent="0.2">
      <c r="A6486" s="117">
        <v>41183</v>
      </c>
      <c r="B6486" s="116">
        <f t="shared" si="101"/>
        <v>101</v>
      </c>
    </row>
    <row r="6487" spans="1:2" x14ac:dyDescent="0.2">
      <c r="A6487" s="117">
        <v>41184</v>
      </c>
      <c r="B6487" s="116">
        <f t="shared" si="101"/>
        <v>101</v>
      </c>
    </row>
    <row r="6488" spans="1:2" x14ac:dyDescent="0.2">
      <c r="A6488" s="117">
        <v>41185</v>
      </c>
      <c r="B6488" s="116">
        <f t="shared" si="101"/>
        <v>101</v>
      </c>
    </row>
    <row r="6489" spans="1:2" x14ac:dyDescent="0.2">
      <c r="A6489" s="117">
        <v>41186</v>
      </c>
      <c r="B6489" s="116">
        <f t="shared" si="101"/>
        <v>101</v>
      </c>
    </row>
    <row r="6490" spans="1:2" x14ac:dyDescent="0.2">
      <c r="A6490" s="117">
        <v>41187</v>
      </c>
      <c r="B6490" s="116">
        <f t="shared" si="101"/>
        <v>101</v>
      </c>
    </row>
    <row r="6491" spans="1:2" x14ac:dyDescent="0.2">
      <c r="A6491" s="117">
        <v>41188</v>
      </c>
      <c r="B6491" s="116">
        <f t="shared" si="101"/>
        <v>101</v>
      </c>
    </row>
    <row r="6492" spans="1:2" x14ac:dyDescent="0.2">
      <c r="A6492" s="117">
        <v>41189</v>
      </c>
      <c r="B6492" s="116">
        <f t="shared" si="101"/>
        <v>102</v>
      </c>
    </row>
    <row r="6493" spans="1:2" x14ac:dyDescent="0.2">
      <c r="A6493" s="117">
        <v>41190</v>
      </c>
      <c r="B6493" s="116">
        <f t="shared" si="101"/>
        <v>102</v>
      </c>
    </row>
    <row r="6494" spans="1:2" x14ac:dyDescent="0.2">
      <c r="A6494" s="117">
        <v>41191</v>
      </c>
      <c r="B6494" s="116">
        <f t="shared" si="101"/>
        <v>102</v>
      </c>
    </row>
    <row r="6495" spans="1:2" x14ac:dyDescent="0.2">
      <c r="A6495" s="117">
        <v>41192</v>
      </c>
      <c r="B6495" s="116">
        <f t="shared" si="101"/>
        <v>102</v>
      </c>
    </row>
    <row r="6496" spans="1:2" x14ac:dyDescent="0.2">
      <c r="A6496" s="117">
        <v>41193</v>
      </c>
      <c r="B6496" s="116">
        <f t="shared" si="101"/>
        <v>102</v>
      </c>
    </row>
    <row r="6497" spans="1:2" x14ac:dyDescent="0.2">
      <c r="A6497" s="117">
        <v>41194</v>
      </c>
      <c r="B6497" s="116">
        <f t="shared" si="101"/>
        <v>102</v>
      </c>
    </row>
    <row r="6498" spans="1:2" x14ac:dyDescent="0.2">
      <c r="A6498" s="117">
        <v>41195</v>
      </c>
      <c r="B6498" s="116">
        <f t="shared" si="101"/>
        <v>102</v>
      </c>
    </row>
    <row r="6499" spans="1:2" x14ac:dyDescent="0.2">
      <c r="A6499" s="117">
        <v>41196</v>
      </c>
      <c r="B6499" s="116">
        <f t="shared" si="101"/>
        <v>103</v>
      </c>
    </row>
    <row r="6500" spans="1:2" x14ac:dyDescent="0.2">
      <c r="A6500" s="117">
        <v>41197</v>
      </c>
      <c r="B6500" s="116">
        <f t="shared" si="101"/>
        <v>103</v>
      </c>
    </row>
    <row r="6501" spans="1:2" x14ac:dyDescent="0.2">
      <c r="A6501" s="117">
        <v>41198</v>
      </c>
      <c r="B6501" s="116">
        <f t="shared" si="101"/>
        <v>103</v>
      </c>
    </row>
    <row r="6502" spans="1:2" x14ac:dyDescent="0.2">
      <c r="A6502" s="117">
        <v>41199</v>
      </c>
      <c r="B6502" s="116">
        <f t="shared" si="101"/>
        <v>103</v>
      </c>
    </row>
    <row r="6503" spans="1:2" x14ac:dyDescent="0.2">
      <c r="A6503" s="117">
        <v>41200</v>
      </c>
      <c r="B6503" s="116">
        <f t="shared" si="101"/>
        <v>103</v>
      </c>
    </row>
    <row r="6504" spans="1:2" x14ac:dyDescent="0.2">
      <c r="A6504" s="117">
        <v>41201</v>
      </c>
      <c r="B6504" s="116">
        <f t="shared" si="101"/>
        <v>103</v>
      </c>
    </row>
    <row r="6505" spans="1:2" x14ac:dyDescent="0.2">
      <c r="A6505" s="117">
        <v>41202</v>
      </c>
      <c r="B6505" s="116">
        <f t="shared" si="101"/>
        <v>103</v>
      </c>
    </row>
    <row r="6506" spans="1:2" x14ac:dyDescent="0.2">
      <c r="A6506" s="117">
        <v>41203</v>
      </c>
      <c r="B6506" s="116">
        <f t="shared" si="101"/>
        <v>104</v>
      </c>
    </row>
    <row r="6507" spans="1:2" x14ac:dyDescent="0.2">
      <c r="A6507" s="117">
        <v>41204</v>
      </c>
      <c r="B6507" s="116">
        <f t="shared" si="101"/>
        <v>104</v>
      </c>
    </row>
    <row r="6508" spans="1:2" x14ac:dyDescent="0.2">
      <c r="A6508" s="117">
        <v>41205</v>
      </c>
      <c r="B6508" s="116">
        <f t="shared" si="101"/>
        <v>104</v>
      </c>
    </row>
    <row r="6509" spans="1:2" x14ac:dyDescent="0.2">
      <c r="A6509" s="117">
        <v>41206</v>
      </c>
      <c r="B6509" s="116">
        <f t="shared" si="101"/>
        <v>104</v>
      </c>
    </row>
    <row r="6510" spans="1:2" x14ac:dyDescent="0.2">
      <c r="A6510" s="117">
        <v>41207</v>
      </c>
      <c r="B6510" s="116">
        <f t="shared" si="101"/>
        <v>104</v>
      </c>
    </row>
    <row r="6511" spans="1:2" x14ac:dyDescent="0.2">
      <c r="A6511" s="117">
        <v>41208</v>
      </c>
      <c r="B6511" s="116">
        <f t="shared" si="101"/>
        <v>104</v>
      </c>
    </row>
    <row r="6512" spans="1:2" x14ac:dyDescent="0.2">
      <c r="A6512" s="117">
        <v>41209</v>
      </c>
      <c r="B6512" s="116">
        <f t="shared" si="101"/>
        <v>104</v>
      </c>
    </row>
    <row r="6513" spans="1:2" x14ac:dyDescent="0.2">
      <c r="A6513" s="117">
        <v>41210</v>
      </c>
      <c r="B6513" s="116">
        <f t="shared" si="101"/>
        <v>105</v>
      </c>
    </row>
    <row r="6514" spans="1:2" x14ac:dyDescent="0.2">
      <c r="A6514" s="117">
        <v>41211</v>
      </c>
      <c r="B6514" s="116">
        <f t="shared" si="101"/>
        <v>105</v>
      </c>
    </row>
    <row r="6515" spans="1:2" x14ac:dyDescent="0.2">
      <c r="A6515" s="117">
        <v>41212</v>
      </c>
      <c r="B6515" s="116">
        <f t="shared" si="101"/>
        <v>105</v>
      </c>
    </row>
    <row r="6516" spans="1:2" x14ac:dyDescent="0.2">
      <c r="A6516" s="117">
        <v>41213</v>
      </c>
      <c r="B6516" s="116">
        <f t="shared" si="101"/>
        <v>105</v>
      </c>
    </row>
    <row r="6517" spans="1:2" x14ac:dyDescent="0.2">
      <c r="A6517" s="117">
        <v>41214</v>
      </c>
      <c r="B6517" s="116">
        <f t="shared" si="101"/>
        <v>105</v>
      </c>
    </row>
    <row r="6518" spans="1:2" x14ac:dyDescent="0.2">
      <c r="A6518" s="117">
        <v>41215</v>
      </c>
      <c r="B6518" s="116">
        <f t="shared" si="101"/>
        <v>105</v>
      </c>
    </row>
    <row r="6519" spans="1:2" x14ac:dyDescent="0.2">
      <c r="A6519" s="117">
        <v>41216</v>
      </c>
      <c r="B6519" s="116">
        <f t="shared" si="101"/>
        <v>105</v>
      </c>
    </row>
    <row r="6520" spans="1:2" x14ac:dyDescent="0.2">
      <c r="A6520" s="117">
        <v>41217</v>
      </c>
      <c r="B6520" s="116">
        <f t="shared" si="101"/>
        <v>111</v>
      </c>
    </row>
    <row r="6521" spans="1:2" x14ac:dyDescent="0.2">
      <c r="A6521" s="117">
        <v>41218</v>
      </c>
      <c r="B6521" s="116">
        <f t="shared" si="101"/>
        <v>111</v>
      </c>
    </row>
    <row r="6522" spans="1:2" x14ac:dyDescent="0.2">
      <c r="A6522" s="117">
        <v>41219</v>
      </c>
      <c r="B6522" s="116">
        <f t="shared" si="101"/>
        <v>111</v>
      </c>
    </row>
    <row r="6523" spans="1:2" x14ac:dyDescent="0.2">
      <c r="A6523" s="117">
        <v>41220</v>
      </c>
      <c r="B6523" s="116">
        <f t="shared" si="101"/>
        <v>111</v>
      </c>
    </row>
    <row r="6524" spans="1:2" x14ac:dyDescent="0.2">
      <c r="A6524" s="117">
        <v>41221</v>
      </c>
      <c r="B6524" s="116">
        <f t="shared" si="101"/>
        <v>111</v>
      </c>
    </row>
    <row r="6525" spans="1:2" x14ac:dyDescent="0.2">
      <c r="A6525" s="117">
        <v>41222</v>
      </c>
      <c r="B6525" s="116">
        <f t="shared" si="101"/>
        <v>111</v>
      </c>
    </row>
    <row r="6526" spans="1:2" x14ac:dyDescent="0.2">
      <c r="A6526" s="117">
        <v>41223</v>
      </c>
      <c r="B6526" s="116">
        <f t="shared" si="101"/>
        <v>111</v>
      </c>
    </row>
    <row r="6527" spans="1:2" x14ac:dyDescent="0.2">
      <c r="A6527" s="117">
        <v>41224</v>
      </c>
      <c r="B6527" s="116">
        <f t="shared" si="101"/>
        <v>112</v>
      </c>
    </row>
    <row r="6528" spans="1:2" x14ac:dyDescent="0.2">
      <c r="A6528" s="117">
        <v>41225</v>
      </c>
      <c r="B6528" s="116">
        <f t="shared" si="101"/>
        <v>112</v>
      </c>
    </row>
    <row r="6529" spans="1:2" x14ac:dyDescent="0.2">
      <c r="A6529" s="117">
        <v>41226</v>
      </c>
      <c r="B6529" s="116">
        <f t="shared" si="101"/>
        <v>112</v>
      </c>
    </row>
    <row r="6530" spans="1:2" x14ac:dyDescent="0.2">
      <c r="A6530" s="117">
        <v>41227</v>
      </c>
      <c r="B6530" s="116">
        <f t="shared" si="101"/>
        <v>112</v>
      </c>
    </row>
    <row r="6531" spans="1:2" x14ac:dyDescent="0.2">
      <c r="A6531" s="117">
        <v>41228</v>
      </c>
      <c r="B6531" s="116">
        <f t="shared" si="101"/>
        <v>112</v>
      </c>
    </row>
    <row r="6532" spans="1:2" x14ac:dyDescent="0.2">
      <c r="A6532" s="117">
        <v>41229</v>
      </c>
      <c r="B6532" s="116">
        <f t="shared" ref="B6532:B6595" si="102">VLOOKUP(WEEKNUM(A6532),$D$4:$E$59,2)</f>
        <v>112</v>
      </c>
    </row>
    <row r="6533" spans="1:2" x14ac:dyDescent="0.2">
      <c r="A6533" s="117">
        <v>41230</v>
      </c>
      <c r="B6533" s="116">
        <f t="shared" si="102"/>
        <v>112</v>
      </c>
    </row>
    <row r="6534" spans="1:2" x14ac:dyDescent="0.2">
      <c r="A6534" s="117">
        <v>41231</v>
      </c>
      <c r="B6534" s="116">
        <f t="shared" si="102"/>
        <v>113</v>
      </c>
    </row>
    <row r="6535" spans="1:2" x14ac:dyDescent="0.2">
      <c r="A6535" s="117">
        <v>41232</v>
      </c>
      <c r="B6535" s="116">
        <f t="shared" si="102"/>
        <v>113</v>
      </c>
    </row>
    <row r="6536" spans="1:2" x14ac:dyDescent="0.2">
      <c r="A6536" s="117">
        <v>41233</v>
      </c>
      <c r="B6536" s="116">
        <f t="shared" si="102"/>
        <v>113</v>
      </c>
    </row>
    <row r="6537" spans="1:2" x14ac:dyDescent="0.2">
      <c r="A6537" s="117">
        <v>41234</v>
      </c>
      <c r="B6537" s="116">
        <f t="shared" si="102"/>
        <v>113</v>
      </c>
    </row>
    <row r="6538" spans="1:2" x14ac:dyDescent="0.2">
      <c r="A6538" s="117">
        <v>41235</v>
      </c>
      <c r="B6538" s="116">
        <f t="shared" si="102"/>
        <v>113</v>
      </c>
    </row>
    <row r="6539" spans="1:2" x14ac:dyDescent="0.2">
      <c r="A6539" s="117">
        <v>41236</v>
      </c>
      <c r="B6539" s="116">
        <f t="shared" si="102"/>
        <v>113</v>
      </c>
    </row>
    <row r="6540" spans="1:2" x14ac:dyDescent="0.2">
      <c r="A6540" s="117">
        <v>41237</v>
      </c>
      <c r="B6540" s="116">
        <f t="shared" si="102"/>
        <v>113</v>
      </c>
    </row>
    <row r="6541" spans="1:2" x14ac:dyDescent="0.2">
      <c r="A6541" s="117">
        <v>41238</v>
      </c>
      <c r="B6541" s="116">
        <f t="shared" si="102"/>
        <v>114</v>
      </c>
    </row>
    <row r="6542" spans="1:2" x14ac:dyDescent="0.2">
      <c r="A6542" s="117">
        <v>41239</v>
      </c>
      <c r="B6542" s="116">
        <f t="shared" si="102"/>
        <v>114</v>
      </c>
    </row>
    <row r="6543" spans="1:2" x14ac:dyDescent="0.2">
      <c r="A6543" s="117">
        <v>41240</v>
      </c>
      <c r="B6543" s="116">
        <f t="shared" si="102"/>
        <v>114</v>
      </c>
    </row>
    <row r="6544" spans="1:2" x14ac:dyDescent="0.2">
      <c r="A6544" s="117">
        <v>41241</v>
      </c>
      <c r="B6544" s="116">
        <f t="shared" si="102"/>
        <v>114</v>
      </c>
    </row>
    <row r="6545" spans="1:2" x14ac:dyDescent="0.2">
      <c r="A6545" s="117">
        <v>41242</v>
      </c>
      <c r="B6545" s="116">
        <f t="shared" si="102"/>
        <v>114</v>
      </c>
    </row>
    <row r="6546" spans="1:2" x14ac:dyDescent="0.2">
      <c r="A6546" s="117">
        <v>41243</v>
      </c>
      <c r="B6546" s="116">
        <f t="shared" si="102"/>
        <v>114</v>
      </c>
    </row>
    <row r="6547" spans="1:2" x14ac:dyDescent="0.2">
      <c r="A6547" s="117">
        <v>41244</v>
      </c>
      <c r="B6547" s="116">
        <f t="shared" si="102"/>
        <v>114</v>
      </c>
    </row>
    <row r="6548" spans="1:2" x14ac:dyDescent="0.2">
      <c r="A6548" s="117">
        <v>41245</v>
      </c>
      <c r="B6548" s="116">
        <f t="shared" si="102"/>
        <v>115</v>
      </c>
    </row>
    <row r="6549" spans="1:2" x14ac:dyDescent="0.2">
      <c r="A6549" s="117">
        <v>41246</v>
      </c>
      <c r="B6549" s="116">
        <f t="shared" si="102"/>
        <v>115</v>
      </c>
    </row>
    <row r="6550" spans="1:2" x14ac:dyDescent="0.2">
      <c r="A6550" s="117">
        <v>41247</v>
      </c>
      <c r="B6550" s="116">
        <f t="shared" si="102"/>
        <v>115</v>
      </c>
    </row>
    <row r="6551" spans="1:2" x14ac:dyDescent="0.2">
      <c r="A6551" s="117">
        <v>41248</v>
      </c>
      <c r="B6551" s="116">
        <f t="shared" si="102"/>
        <v>115</v>
      </c>
    </row>
    <row r="6552" spans="1:2" x14ac:dyDescent="0.2">
      <c r="A6552" s="117">
        <v>41249</v>
      </c>
      <c r="B6552" s="116">
        <f t="shared" si="102"/>
        <v>115</v>
      </c>
    </row>
    <row r="6553" spans="1:2" x14ac:dyDescent="0.2">
      <c r="A6553" s="117">
        <v>41250</v>
      </c>
      <c r="B6553" s="116">
        <f t="shared" si="102"/>
        <v>115</v>
      </c>
    </row>
    <row r="6554" spans="1:2" x14ac:dyDescent="0.2">
      <c r="A6554" s="117">
        <v>41251</v>
      </c>
      <c r="B6554" s="116">
        <f t="shared" si="102"/>
        <v>115</v>
      </c>
    </row>
    <row r="6555" spans="1:2" x14ac:dyDescent="0.2">
      <c r="A6555" s="117">
        <v>41252</v>
      </c>
      <c r="B6555" s="116">
        <f t="shared" si="102"/>
        <v>121</v>
      </c>
    </row>
    <row r="6556" spans="1:2" x14ac:dyDescent="0.2">
      <c r="A6556" s="117">
        <v>41253</v>
      </c>
      <c r="B6556" s="116">
        <f t="shared" si="102"/>
        <v>121</v>
      </c>
    </row>
    <row r="6557" spans="1:2" x14ac:dyDescent="0.2">
      <c r="A6557" s="117">
        <v>41254</v>
      </c>
      <c r="B6557" s="116">
        <f t="shared" si="102"/>
        <v>121</v>
      </c>
    </row>
    <row r="6558" spans="1:2" x14ac:dyDescent="0.2">
      <c r="A6558" s="117">
        <v>41255</v>
      </c>
      <c r="B6558" s="116">
        <f t="shared" si="102"/>
        <v>121</v>
      </c>
    </row>
    <row r="6559" spans="1:2" x14ac:dyDescent="0.2">
      <c r="A6559" s="117">
        <v>41256</v>
      </c>
      <c r="B6559" s="116">
        <f t="shared" si="102"/>
        <v>121</v>
      </c>
    </row>
    <row r="6560" spans="1:2" x14ac:dyDescent="0.2">
      <c r="A6560" s="117">
        <v>41257</v>
      </c>
      <c r="B6560" s="116">
        <f t="shared" si="102"/>
        <v>121</v>
      </c>
    </row>
    <row r="6561" spans="1:2" x14ac:dyDescent="0.2">
      <c r="A6561" s="117">
        <v>41258</v>
      </c>
      <c r="B6561" s="116">
        <f t="shared" si="102"/>
        <v>121</v>
      </c>
    </row>
    <row r="6562" spans="1:2" x14ac:dyDescent="0.2">
      <c r="A6562" s="117">
        <v>41259</v>
      </c>
      <c r="B6562" s="116">
        <f t="shared" si="102"/>
        <v>122</v>
      </c>
    </row>
    <row r="6563" spans="1:2" x14ac:dyDescent="0.2">
      <c r="A6563" s="117">
        <v>41260</v>
      </c>
      <c r="B6563" s="116">
        <f t="shared" si="102"/>
        <v>122</v>
      </c>
    </row>
    <row r="6564" spans="1:2" x14ac:dyDescent="0.2">
      <c r="A6564" s="117">
        <v>41261</v>
      </c>
      <c r="B6564" s="116">
        <f t="shared" si="102"/>
        <v>122</v>
      </c>
    </row>
    <row r="6565" spans="1:2" x14ac:dyDescent="0.2">
      <c r="A6565" s="117">
        <v>41262</v>
      </c>
      <c r="B6565" s="116">
        <f t="shared" si="102"/>
        <v>122</v>
      </c>
    </row>
    <row r="6566" spans="1:2" x14ac:dyDescent="0.2">
      <c r="A6566" s="117">
        <v>41263</v>
      </c>
      <c r="B6566" s="116">
        <f t="shared" si="102"/>
        <v>122</v>
      </c>
    </row>
    <row r="6567" spans="1:2" x14ac:dyDescent="0.2">
      <c r="A6567" s="117">
        <v>41264</v>
      </c>
      <c r="B6567" s="116">
        <f t="shared" si="102"/>
        <v>122</v>
      </c>
    </row>
    <row r="6568" spans="1:2" x14ac:dyDescent="0.2">
      <c r="A6568" s="117">
        <v>41265</v>
      </c>
      <c r="B6568" s="116">
        <f t="shared" si="102"/>
        <v>122</v>
      </c>
    </row>
    <row r="6569" spans="1:2" x14ac:dyDescent="0.2">
      <c r="A6569" s="117">
        <v>41266</v>
      </c>
      <c r="B6569" s="116">
        <f t="shared" si="102"/>
        <v>123</v>
      </c>
    </row>
    <row r="6570" spans="1:2" x14ac:dyDescent="0.2">
      <c r="A6570" s="117">
        <v>41267</v>
      </c>
      <c r="B6570" s="116">
        <f t="shared" si="102"/>
        <v>123</v>
      </c>
    </row>
    <row r="6571" spans="1:2" x14ac:dyDescent="0.2">
      <c r="A6571" s="117">
        <v>41268</v>
      </c>
      <c r="B6571" s="116">
        <f t="shared" si="102"/>
        <v>123</v>
      </c>
    </row>
    <row r="6572" spans="1:2" x14ac:dyDescent="0.2">
      <c r="A6572" s="117">
        <v>41269</v>
      </c>
      <c r="B6572" s="116">
        <f t="shared" si="102"/>
        <v>123</v>
      </c>
    </row>
    <row r="6573" spans="1:2" x14ac:dyDescent="0.2">
      <c r="A6573" s="117">
        <v>41270</v>
      </c>
      <c r="B6573" s="116">
        <f t="shared" si="102"/>
        <v>123</v>
      </c>
    </row>
    <row r="6574" spans="1:2" x14ac:dyDescent="0.2">
      <c r="A6574" s="117">
        <v>41271</v>
      </c>
      <c r="B6574" s="116">
        <f t="shared" si="102"/>
        <v>123</v>
      </c>
    </row>
    <row r="6575" spans="1:2" x14ac:dyDescent="0.2">
      <c r="A6575" s="117">
        <v>41272</v>
      </c>
      <c r="B6575" s="116">
        <f t="shared" si="102"/>
        <v>123</v>
      </c>
    </row>
    <row r="6576" spans="1:2" x14ac:dyDescent="0.2">
      <c r="A6576" s="117">
        <v>41273</v>
      </c>
      <c r="B6576" s="116">
        <f t="shared" si="102"/>
        <v>124</v>
      </c>
    </row>
    <row r="6577" spans="1:2" x14ac:dyDescent="0.2">
      <c r="A6577" s="117">
        <v>41274</v>
      </c>
      <c r="B6577" s="116">
        <f t="shared" si="102"/>
        <v>124</v>
      </c>
    </row>
    <row r="6578" spans="1:2" x14ac:dyDescent="0.2">
      <c r="A6578" s="117">
        <v>41275</v>
      </c>
      <c r="B6578" s="116">
        <f t="shared" si="102"/>
        <v>11</v>
      </c>
    </row>
    <row r="6579" spans="1:2" x14ac:dyDescent="0.2">
      <c r="A6579" s="117">
        <v>41276</v>
      </c>
      <c r="B6579" s="116">
        <f t="shared" si="102"/>
        <v>11</v>
      </c>
    </row>
    <row r="6580" spans="1:2" x14ac:dyDescent="0.2">
      <c r="A6580" s="117">
        <v>41277</v>
      </c>
      <c r="B6580" s="116">
        <f t="shared" si="102"/>
        <v>11</v>
      </c>
    </row>
    <row r="6581" spans="1:2" x14ac:dyDescent="0.2">
      <c r="A6581" s="117">
        <v>41278</v>
      </c>
      <c r="B6581" s="116">
        <f t="shared" si="102"/>
        <v>11</v>
      </c>
    </row>
    <row r="6582" spans="1:2" x14ac:dyDescent="0.2">
      <c r="A6582" s="117">
        <v>41279</v>
      </c>
      <c r="B6582" s="116">
        <f t="shared" si="102"/>
        <v>11</v>
      </c>
    </row>
    <row r="6583" spans="1:2" x14ac:dyDescent="0.2">
      <c r="A6583" s="117">
        <v>41280</v>
      </c>
      <c r="B6583" s="116">
        <f t="shared" si="102"/>
        <v>12</v>
      </c>
    </row>
    <row r="6584" spans="1:2" x14ac:dyDescent="0.2">
      <c r="A6584" s="117">
        <v>41281</v>
      </c>
      <c r="B6584" s="116">
        <f t="shared" si="102"/>
        <v>12</v>
      </c>
    </row>
    <row r="6585" spans="1:2" x14ac:dyDescent="0.2">
      <c r="A6585" s="117">
        <v>41282</v>
      </c>
      <c r="B6585" s="116">
        <f t="shared" si="102"/>
        <v>12</v>
      </c>
    </row>
    <row r="6586" spans="1:2" x14ac:dyDescent="0.2">
      <c r="A6586" s="117">
        <v>41283</v>
      </c>
      <c r="B6586" s="116">
        <f t="shared" si="102"/>
        <v>12</v>
      </c>
    </row>
    <row r="6587" spans="1:2" x14ac:dyDescent="0.2">
      <c r="A6587" s="117">
        <v>41284</v>
      </c>
      <c r="B6587" s="116">
        <f t="shared" si="102"/>
        <v>12</v>
      </c>
    </row>
    <row r="6588" spans="1:2" x14ac:dyDescent="0.2">
      <c r="A6588" s="117">
        <v>41285</v>
      </c>
      <c r="B6588" s="116">
        <f t="shared" si="102"/>
        <v>12</v>
      </c>
    </row>
    <row r="6589" spans="1:2" x14ac:dyDescent="0.2">
      <c r="A6589" s="117">
        <v>41286</v>
      </c>
      <c r="B6589" s="116">
        <f t="shared" si="102"/>
        <v>12</v>
      </c>
    </row>
    <row r="6590" spans="1:2" x14ac:dyDescent="0.2">
      <c r="A6590" s="117">
        <v>41287</v>
      </c>
      <c r="B6590" s="116">
        <f t="shared" si="102"/>
        <v>13</v>
      </c>
    </row>
    <row r="6591" spans="1:2" x14ac:dyDescent="0.2">
      <c r="A6591" s="117">
        <v>41288</v>
      </c>
      <c r="B6591" s="116">
        <f t="shared" si="102"/>
        <v>13</v>
      </c>
    </row>
    <row r="6592" spans="1:2" x14ac:dyDescent="0.2">
      <c r="A6592" s="117">
        <v>41289</v>
      </c>
      <c r="B6592" s="116">
        <f t="shared" si="102"/>
        <v>13</v>
      </c>
    </row>
    <row r="6593" spans="1:2" x14ac:dyDescent="0.2">
      <c r="A6593" s="117">
        <v>41290</v>
      </c>
      <c r="B6593" s="116">
        <f t="shared" si="102"/>
        <v>13</v>
      </c>
    </row>
    <row r="6594" spans="1:2" x14ac:dyDescent="0.2">
      <c r="A6594" s="117">
        <v>41291</v>
      </c>
      <c r="B6594" s="116">
        <f t="shared" si="102"/>
        <v>13</v>
      </c>
    </row>
    <row r="6595" spans="1:2" x14ac:dyDescent="0.2">
      <c r="A6595" s="117">
        <v>41292</v>
      </c>
      <c r="B6595" s="116">
        <f t="shared" si="102"/>
        <v>13</v>
      </c>
    </row>
    <row r="6596" spans="1:2" x14ac:dyDescent="0.2">
      <c r="A6596" s="117">
        <v>41293</v>
      </c>
      <c r="B6596" s="116">
        <f t="shared" ref="B6596:B6659" si="103">VLOOKUP(WEEKNUM(A6596),$D$4:$E$59,2)</f>
        <v>13</v>
      </c>
    </row>
    <row r="6597" spans="1:2" x14ac:dyDescent="0.2">
      <c r="A6597" s="117">
        <v>41294</v>
      </c>
      <c r="B6597" s="116">
        <f t="shared" si="103"/>
        <v>14</v>
      </c>
    </row>
    <row r="6598" spans="1:2" x14ac:dyDescent="0.2">
      <c r="A6598" s="117">
        <v>41295</v>
      </c>
      <c r="B6598" s="116">
        <f t="shared" si="103"/>
        <v>14</v>
      </c>
    </row>
    <row r="6599" spans="1:2" x14ac:dyDescent="0.2">
      <c r="A6599" s="117">
        <v>41296</v>
      </c>
      <c r="B6599" s="116">
        <f t="shared" si="103"/>
        <v>14</v>
      </c>
    </row>
    <row r="6600" spans="1:2" x14ac:dyDescent="0.2">
      <c r="A6600" s="117">
        <v>41297</v>
      </c>
      <c r="B6600" s="116">
        <f t="shared" si="103"/>
        <v>14</v>
      </c>
    </row>
    <row r="6601" spans="1:2" x14ac:dyDescent="0.2">
      <c r="A6601" s="117">
        <v>41298</v>
      </c>
      <c r="B6601" s="116">
        <f t="shared" si="103"/>
        <v>14</v>
      </c>
    </row>
    <row r="6602" spans="1:2" x14ac:dyDescent="0.2">
      <c r="A6602" s="117">
        <v>41299</v>
      </c>
      <c r="B6602" s="116">
        <f t="shared" si="103"/>
        <v>14</v>
      </c>
    </row>
    <row r="6603" spans="1:2" x14ac:dyDescent="0.2">
      <c r="A6603" s="117">
        <v>41300</v>
      </c>
      <c r="B6603" s="116">
        <f t="shared" si="103"/>
        <v>14</v>
      </c>
    </row>
    <row r="6604" spans="1:2" x14ac:dyDescent="0.2">
      <c r="A6604" s="117">
        <v>41301</v>
      </c>
      <c r="B6604" s="116">
        <f t="shared" si="103"/>
        <v>15</v>
      </c>
    </row>
    <row r="6605" spans="1:2" x14ac:dyDescent="0.2">
      <c r="A6605" s="117">
        <v>41302</v>
      </c>
      <c r="B6605" s="116">
        <f t="shared" si="103"/>
        <v>15</v>
      </c>
    </row>
    <row r="6606" spans="1:2" x14ac:dyDescent="0.2">
      <c r="A6606" s="117">
        <v>41303</v>
      </c>
      <c r="B6606" s="116">
        <f t="shared" si="103"/>
        <v>15</v>
      </c>
    </row>
    <row r="6607" spans="1:2" x14ac:dyDescent="0.2">
      <c r="A6607" s="117">
        <v>41304</v>
      </c>
      <c r="B6607" s="116">
        <f t="shared" si="103"/>
        <v>15</v>
      </c>
    </row>
    <row r="6608" spans="1:2" x14ac:dyDescent="0.2">
      <c r="A6608" s="117">
        <v>41305</v>
      </c>
      <c r="B6608" s="116">
        <f t="shared" si="103"/>
        <v>15</v>
      </c>
    </row>
    <row r="6609" spans="1:2" x14ac:dyDescent="0.2">
      <c r="A6609" s="117">
        <v>41306</v>
      </c>
      <c r="B6609" s="116">
        <f t="shared" si="103"/>
        <v>15</v>
      </c>
    </row>
    <row r="6610" spans="1:2" x14ac:dyDescent="0.2">
      <c r="A6610" s="117">
        <v>41307</v>
      </c>
      <c r="B6610" s="116">
        <f t="shared" si="103"/>
        <v>15</v>
      </c>
    </row>
    <row r="6611" spans="1:2" x14ac:dyDescent="0.2">
      <c r="A6611" s="117">
        <v>41308</v>
      </c>
      <c r="B6611" s="116">
        <f t="shared" si="103"/>
        <v>21</v>
      </c>
    </row>
    <row r="6612" spans="1:2" x14ac:dyDescent="0.2">
      <c r="A6612" s="117">
        <v>41309</v>
      </c>
      <c r="B6612" s="116">
        <f t="shared" si="103"/>
        <v>21</v>
      </c>
    </row>
    <row r="6613" spans="1:2" x14ac:dyDescent="0.2">
      <c r="A6613" s="117">
        <v>41310</v>
      </c>
      <c r="B6613" s="116">
        <f t="shared" si="103"/>
        <v>21</v>
      </c>
    </row>
    <row r="6614" spans="1:2" x14ac:dyDescent="0.2">
      <c r="A6614" s="117">
        <v>41311</v>
      </c>
      <c r="B6614" s="116">
        <f t="shared" si="103"/>
        <v>21</v>
      </c>
    </row>
    <row r="6615" spans="1:2" x14ac:dyDescent="0.2">
      <c r="A6615" s="117">
        <v>41312</v>
      </c>
      <c r="B6615" s="116">
        <f t="shared" si="103"/>
        <v>21</v>
      </c>
    </row>
    <row r="6616" spans="1:2" x14ac:dyDescent="0.2">
      <c r="A6616" s="117">
        <v>41313</v>
      </c>
      <c r="B6616" s="116">
        <f t="shared" si="103"/>
        <v>21</v>
      </c>
    </row>
    <row r="6617" spans="1:2" x14ac:dyDescent="0.2">
      <c r="A6617" s="117">
        <v>41314</v>
      </c>
      <c r="B6617" s="116">
        <f t="shared" si="103"/>
        <v>21</v>
      </c>
    </row>
    <row r="6618" spans="1:2" x14ac:dyDescent="0.2">
      <c r="A6618" s="117">
        <v>41315</v>
      </c>
      <c r="B6618" s="116">
        <f t="shared" si="103"/>
        <v>22</v>
      </c>
    </row>
    <row r="6619" spans="1:2" x14ac:dyDescent="0.2">
      <c r="A6619" s="117">
        <v>41316</v>
      </c>
      <c r="B6619" s="116">
        <f t="shared" si="103"/>
        <v>22</v>
      </c>
    </row>
    <row r="6620" spans="1:2" x14ac:dyDescent="0.2">
      <c r="A6620" s="117">
        <v>41317</v>
      </c>
      <c r="B6620" s="116">
        <f t="shared" si="103"/>
        <v>22</v>
      </c>
    </row>
    <row r="6621" spans="1:2" x14ac:dyDescent="0.2">
      <c r="A6621" s="117">
        <v>41318</v>
      </c>
      <c r="B6621" s="116">
        <f t="shared" si="103"/>
        <v>22</v>
      </c>
    </row>
    <row r="6622" spans="1:2" x14ac:dyDescent="0.2">
      <c r="A6622" s="117">
        <v>41319</v>
      </c>
      <c r="B6622" s="116">
        <f t="shared" si="103"/>
        <v>22</v>
      </c>
    </row>
    <row r="6623" spans="1:2" x14ac:dyDescent="0.2">
      <c r="A6623" s="117">
        <v>41320</v>
      </c>
      <c r="B6623" s="116">
        <f t="shared" si="103"/>
        <v>22</v>
      </c>
    </row>
    <row r="6624" spans="1:2" x14ac:dyDescent="0.2">
      <c r="A6624" s="117">
        <v>41321</v>
      </c>
      <c r="B6624" s="116">
        <f t="shared" si="103"/>
        <v>22</v>
      </c>
    </row>
    <row r="6625" spans="1:2" x14ac:dyDescent="0.2">
      <c r="A6625" s="117">
        <v>41322</v>
      </c>
      <c r="B6625" s="116">
        <f t="shared" si="103"/>
        <v>23</v>
      </c>
    </row>
    <row r="6626" spans="1:2" x14ac:dyDescent="0.2">
      <c r="A6626" s="117">
        <v>41323</v>
      </c>
      <c r="B6626" s="116">
        <f t="shared" si="103"/>
        <v>23</v>
      </c>
    </row>
    <row r="6627" spans="1:2" x14ac:dyDescent="0.2">
      <c r="A6627" s="117">
        <v>41324</v>
      </c>
      <c r="B6627" s="116">
        <f t="shared" si="103"/>
        <v>23</v>
      </c>
    </row>
    <row r="6628" spans="1:2" x14ac:dyDescent="0.2">
      <c r="A6628" s="117">
        <v>41325</v>
      </c>
      <c r="B6628" s="116">
        <f t="shared" si="103"/>
        <v>23</v>
      </c>
    </row>
    <row r="6629" spans="1:2" x14ac:dyDescent="0.2">
      <c r="A6629" s="117">
        <v>41326</v>
      </c>
      <c r="B6629" s="116">
        <f t="shared" si="103"/>
        <v>23</v>
      </c>
    </row>
    <row r="6630" spans="1:2" x14ac:dyDescent="0.2">
      <c r="A6630" s="117">
        <v>41327</v>
      </c>
      <c r="B6630" s="116">
        <f t="shared" si="103"/>
        <v>23</v>
      </c>
    </row>
    <row r="6631" spans="1:2" x14ac:dyDescent="0.2">
      <c r="A6631" s="117">
        <v>41328</v>
      </c>
      <c r="B6631" s="116">
        <f t="shared" si="103"/>
        <v>23</v>
      </c>
    </row>
    <row r="6632" spans="1:2" x14ac:dyDescent="0.2">
      <c r="A6632" s="117">
        <v>41329</v>
      </c>
      <c r="B6632" s="116">
        <f t="shared" si="103"/>
        <v>24</v>
      </c>
    </row>
    <row r="6633" spans="1:2" x14ac:dyDescent="0.2">
      <c r="A6633" s="117">
        <v>41330</v>
      </c>
      <c r="B6633" s="116">
        <f t="shared" si="103"/>
        <v>24</v>
      </c>
    </row>
    <row r="6634" spans="1:2" x14ac:dyDescent="0.2">
      <c r="A6634" s="117">
        <v>41331</v>
      </c>
      <c r="B6634" s="116">
        <f t="shared" si="103"/>
        <v>24</v>
      </c>
    </row>
    <row r="6635" spans="1:2" x14ac:dyDescent="0.2">
      <c r="A6635" s="117">
        <v>41332</v>
      </c>
      <c r="B6635" s="116">
        <f t="shared" si="103"/>
        <v>24</v>
      </c>
    </row>
    <row r="6636" spans="1:2" x14ac:dyDescent="0.2">
      <c r="A6636" s="117">
        <v>41333</v>
      </c>
      <c r="B6636" s="116">
        <f t="shared" si="103"/>
        <v>24</v>
      </c>
    </row>
    <row r="6637" spans="1:2" x14ac:dyDescent="0.2">
      <c r="A6637" s="117">
        <v>41334</v>
      </c>
      <c r="B6637" s="116">
        <f t="shared" si="103"/>
        <v>24</v>
      </c>
    </row>
    <row r="6638" spans="1:2" x14ac:dyDescent="0.2">
      <c r="A6638" s="117">
        <v>41335</v>
      </c>
      <c r="B6638" s="116">
        <f t="shared" si="103"/>
        <v>24</v>
      </c>
    </row>
    <row r="6639" spans="1:2" x14ac:dyDescent="0.2">
      <c r="A6639" s="117">
        <v>41336</v>
      </c>
      <c r="B6639" s="116">
        <f t="shared" si="103"/>
        <v>31</v>
      </c>
    </row>
    <row r="6640" spans="1:2" x14ac:dyDescent="0.2">
      <c r="A6640" s="117">
        <v>41337</v>
      </c>
      <c r="B6640" s="116">
        <f t="shared" si="103"/>
        <v>31</v>
      </c>
    </row>
    <row r="6641" spans="1:2" x14ac:dyDescent="0.2">
      <c r="A6641" s="117">
        <v>41338</v>
      </c>
      <c r="B6641" s="116">
        <f t="shared" si="103"/>
        <v>31</v>
      </c>
    </row>
    <row r="6642" spans="1:2" x14ac:dyDescent="0.2">
      <c r="A6642" s="117">
        <v>41339</v>
      </c>
      <c r="B6642" s="116">
        <f t="shared" si="103"/>
        <v>31</v>
      </c>
    </row>
    <row r="6643" spans="1:2" x14ac:dyDescent="0.2">
      <c r="A6643" s="117">
        <v>41340</v>
      </c>
      <c r="B6643" s="116">
        <f t="shared" si="103"/>
        <v>31</v>
      </c>
    </row>
    <row r="6644" spans="1:2" x14ac:dyDescent="0.2">
      <c r="A6644" s="117">
        <v>41341</v>
      </c>
      <c r="B6644" s="116">
        <f t="shared" si="103"/>
        <v>31</v>
      </c>
    </row>
    <row r="6645" spans="1:2" x14ac:dyDescent="0.2">
      <c r="A6645" s="117">
        <v>41342</v>
      </c>
      <c r="B6645" s="116">
        <f t="shared" si="103"/>
        <v>31</v>
      </c>
    </row>
    <row r="6646" spans="1:2" x14ac:dyDescent="0.2">
      <c r="A6646" s="117">
        <v>41343</v>
      </c>
      <c r="B6646" s="116">
        <f t="shared" si="103"/>
        <v>32</v>
      </c>
    </row>
    <row r="6647" spans="1:2" x14ac:dyDescent="0.2">
      <c r="A6647" s="117">
        <v>41344</v>
      </c>
      <c r="B6647" s="116">
        <f t="shared" si="103"/>
        <v>32</v>
      </c>
    </row>
    <row r="6648" spans="1:2" x14ac:dyDescent="0.2">
      <c r="A6648" s="117">
        <v>41345</v>
      </c>
      <c r="B6648" s="116">
        <f t="shared" si="103"/>
        <v>32</v>
      </c>
    </row>
    <row r="6649" spans="1:2" x14ac:dyDescent="0.2">
      <c r="A6649" s="117">
        <v>41346</v>
      </c>
      <c r="B6649" s="116">
        <f t="shared" si="103"/>
        <v>32</v>
      </c>
    </row>
    <row r="6650" spans="1:2" x14ac:dyDescent="0.2">
      <c r="A6650" s="117">
        <v>41347</v>
      </c>
      <c r="B6650" s="116">
        <f t="shared" si="103"/>
        <v>32</v>
      </c>
    </row>
    <row r="6651" spans="1:2" x14ac:dyDescent="0.2">
      <c r="A6651" s="117">
        <v>41348</v>
      </c>
      <c r="B6651" s="116">
        <f t="shared" si="103"/>
        <v>32</v>
      </c>
    </row>
    <row r="6652" spans="1:2" x14ac:dyDescent="0.2">
      <c r="A6652" s="117">
        <v>41349</v>
      </c>
      <c r="B6652" s="116">
        <f t="shared" si="103"/>
        <v>32</v>
      </c>
    </row>
    <row r="6653" spans="1:2" x14ac:dyDescent="0.2">
      <c r="A6653" s="117">
        <v>41350</v>
      </c>
      <c r="B6653" s="116">
        <f t="shared" si="103"/>
        <v>33</v>
      </c>
    </row>
    <row r="6654" spans="1:2" x14ac:dyDescent="0.2">
      <c r="A6654" s="117">
        <v>41351</v>
      </c>
      <c r="B6654" s="116">
        <f t="shared" si="103"/>
        <v>33</v>
      </c>
    </row>
    <row r="6655" spans="1:2" x14ac:dyDescent="0.2">
      <c r="A6655" s="117">
        <v>41352</v>
      </c>
      <c r="B6655" s="116">
        <f t="shared" si="103"/>
        <v>33</v>
      </c>
    </row>
    <row r="6656" spans="1:2" x14ac:dyDescent="0.2">
      <c r="A6656" s="117">
        <v>41353</v>
      </c>
      <c r="B6656" s="116">
        <f t="shared" si="103"/>
        <v>33</v>
      </c>
    </row>
    <row r="6657" spans="1:2" x14ac:dyDescent="0.2">
      <c r="A6657" s="117">
        <v>41354</v>
      </c>
      <c r="B6657" s="116">
        <f t="shared" si="103"/>
        <v>33</v>
      </c>
    </row>
    <row r="6658" spans="1:2" x14ac:dyDescent="0.2">
      <c r="A6658" s="117">
        <v>41355</v>
      </c>
      <c r="B6658" s="116">
        <f t="shared" si="103"/>
        <v>33</v>
      </c>
    </row>
    <row r="6659" spans="1:2" x14ac:dyDescent="0.2">
      <c r="A6659" s="117">
        <v>41356</v>
      </c>
      <c r="B6659" s="116">
        <f t="shared" si="103"/>
        <v>33</v>
      </c>
    </row>
    <row r="6660" spans="1:2" x14ac:dyDescent="0.2">
      <c r="A6660" s="117">
        <v>41357</v>
      </c>
      <c r="B6660" s="116">
        <f t="shared" ref="B6660:B6723" si="104">VLOOKUP(WEEKNUM(A6660),$D$4:$E$59,2)</f>
        <v>34</v>
      </c>
    </row>
    <row r="6661" spans="1:2" x14ac:dyDescent="0.2">
      <c r="A6661" s="117">
        <v>41358</v>
      </c>
      <c r="B6661" s="116">
        <f t="shared" si="104"/>
        <v>34</v>
      </c>
    </row>
    <row r="6662" spans="1:2" x14ac:dyDescent="0.2">
      <c r="A6662" s="117">
        <v>41359</v>
      </c>
      <c r="B6662" s="116">
        <f t="shared" si="104"/>
        <v>34</v>
      </c>
    </row>
    <row r="6663" spans="1:2" x14ac:dyDescent="0.2">
      <c r="A6663" s="117">
        <v>41360</v>
      </c>
      <c r="B6663" s="116">
        <f t="shared" si="104"/>
        <v>34</v>
      </c>
    </row>
    <row r="6664" spans="1:2" x14ac:dyDescent="0.2">
      <c r="A6664" s="117">
        <v>41361</v>
      </c>
      <c r="B6664" s="116">
        <f t="shared" si="104"/>
        <v>34</v>
      </c>
    </row>
    <row r="6665" spans="1:2" x14ac:dyDescent="0.2">
      <c r="A6665" s="117">
        <v>41362</v>
      </c>
      <c r="B6665" s="116">
        <f t="shared" si="104"/>
        <v>34</v>
      </c>
    </row>
    <row r="6666" spans="1:2" x14ac:dyDescent="0.2">
      <c r="A6666" s="117">
        <v>41363</v>
      </c>
      <c r="B6666" s="116">
        <f t="shared" si="104"/>
        <v>34</v>
      </c>
    </row>
    <row r="6667" spans="1:2" x14ac:dyDescent="0.2">
      <c r="A6667" s="117">
        <v>41364</v>
      </c>
      <c r="B6667" s="116">
        <f t="shared" si="104"/>
        <v>41</v>
      </c>
    </row>
    <row r="6668" spans="1:2" x14ac:dyDescent="0.2">
      <c r="A6668" s="117">
        <v>41365</v>
      </c>
      <c r="B6668" s="116">
        <f t="shared" si="104"/>
        <v>41</v>
      </c>
    </row>
    <row r="6669" spans="1:2" x14ac:dyDescent="0.2">
      <c r="A6669" s="117">
        <v>41366</v>
      </c>
      <c r="B6669" s="116">
        <f t="shared" si="104"/>
        <v>41</v>
      </c>
    </row>
    <row r="6670" spans="1:2" x14ac:dyDescent="0.2">
      <c r="A6670" s="117">
        <v>41367</v>
      </c>
      <c r="B6670" s="116">
        <f t="shared" si="104"/>
        <v>41</v>
      </c>
    </row>
    <row r="6671" spans="1:2" x14ac:dyDescent="0.2">
      <c r="A6671" s="117">
        <v>41368</v>
      </c>
      <c r="B6671" s="116">
        <f t="shared" si="104"/>
        <v>41</v>
      </c>
    </row>
    <row r="6672" spans="1:2" x14ac:dyDescent="0.2">
      <c r="A6672" s="117">
        <v>41369</v>
      </c>
      <c r="B6672" s="116">
        <f t="shared" si="104"/>
        <v>41</v>
      </c>
    </row>
    <row r="6673" spans="1:2" x14ac:dyDescent="0.2">
      <c r="A6673" s="117">
        <v>41370</v>
      </c>
      <c r="B6673" s="116">
        <f t="shared" si="104"/>
        <v>41</v>
      </c>
    </row>
    <row r="6674" spans="1:2" x14ac:dyDescent="0.2">
      <c r="A6674" s="117">
        <v>41371</v>
      </c>
      <c r="B6674" s="116">
        <f t="shared" si="104"/>
        <v>42</v>
      </c>
    </row>
    <row r="6675" spans="1:2" x14ac:dyDescent="0.2">
      <c r="A6675" s="117">
        <v>41372</v>
      </c>
      <c r="B6675" s="116">
        <f t="shared" si="104"/>
        <v>42</v>
      </c>
    </row>
    <row r="6676" spans="1:2" x14ac:dyDescent="0.2">
      <c r="A6676" s="117">
        <v>41373</v>
      </c>
      <c r="B6676" s="116">
        <f t="shared" si="104"/>
        <v>42</v>
      </c>
    </row>
    <row r="6677" spans="1:2" x14ac:dyDescent="0.2">
      <c r="A6677" s="117">
        <v>41374</v>
      </c>
      <c r="B6677" s="116">
        <f t="shared" si="104"/>
        <v>42</v>
      </c>
    </row>
    <row r="6678" spans="1:2" x14ac:dyDescent="0.2">
      <c r="A6678" s="117">
        <v>41375</v>
      </c>
      <c r="B6678" s="116">
        <f t="shared" si="104"/>
        <v>42</v>
      </c>
    </row>
    <row r="6679" spans="1:2" x14ac:dyDescent="0.2">
      <c r="A6679" s="117">
        <v>41376</v>
      </c>
      <c r="B6679" s="116">
        <f t="shared" si="104"/>
        <v>42</v>
      </c>
    </row>
    <row r="6680" spans="1:2" x14ac:dyDescent="0.2">
      <c r="A6680" s="117">
        <v>41377</v>
      </c>
      <c r="B6680" s="116">
        <f t="shared" si="104"/>
        <v>42</v>
      </c>
    </row>
    <row r="6681" spans="1:2" x14ac:dyDescent="0.2">
      <c r="A6681" s="117">
        <v>41378</v>
      </c>
      <c r="B6681" s="116">
        <f t="shared" si="104"/>
        <v>43</v>
      </c>
    </row>
    <row r="6682" spans="1:2" x14ac:dyDescent="0.2">
      <c r="A6682" s="117">
        <v>41379</v>
      </c>
      <c r="B6682" s="116">
        <f t="shared" si="104"/>
        <v>43</v>
      </c>
    </row>
    <row r="6683" spans="1:2" x14ac:dyDescent="0.2">
      <c r="A6683" s="117">
        <v>41380</v>
      </c>
      <c r="B6683" s="116">
        <f t="shared" si="104"/>
        <v>43</v>
      </c>
    </row>
    <row r="6684" spans="1:2" x14ac:dyDescent="0.2">
      <c r="A6684" s="117">
        <v>41381</v>
      </c>
      <c r="B6684" s="116">
        <f t="shared" si="104"/>
        <v>43</v>
      </c>
    </row>
    <row r="6685" spans="1:2" x14ac:dyDescent="0.2">
      <c r="A6685" s="117">
        <v>41382</v>
      </c>
      <c r="B6685" s="116">
        <f t="shared" si="104"/>
        <v>43</v>
      </c>
    </row>
    <row r="6686" spans="1:2" x14ac:dyDescent="0.2">
      <c r="A6686" s="117">
        <v>41383</v>
      </c>
      <c r="B6686" s="116">
        <f t="shared" si="104"/>
        <v>43</v>
      </c>
    </row>
    <row r="6687" spans="1:2" x14ac:dyDescent="0.2">
      <c r="A6687" s="117">
        <v>41384</v>
      </c>
      <c r="B6687" s="116">
        <f t="shared" si="104"/>
        <v>43</v>
      </c>
    </row>
    <row r="6688" spans="1:2" x14ac:dyDescent="0.2">
      <c r="A6688" s="117">
        <v>41385</v>
      </c>
      <c r="B6688" s="116">
        <f t="shared" si="104"/>
        <v>44</v>
      </c>
    </row>
    <row r="6689" spans="1:2" x14ac:dyDescent="0.2">
      <c r="A6689" s="117">
        <v>41386</v>
      </c>
      <c r="B6689" s="116">
        <f t="shared" si="104"/>
        <v>44</v>
      </c>
    </row>
    <row r="6690" spans="1:2" x14ac:dyDescent="0.2">
      <c r="A6690" s="117">
        <v>41387</v>
      </c>
      <c r="B6690" s="116">
        <f t="shared" si="104"/>
        <v>44</v>
      </c>
    </row>
    <row r="6691" spans="1:2" x14ac:dyDescent="0.2">
      <c r="A6691" s="117">
        <v>41388</v>
      </c>
      <c r="B6691" s="116">
        <f t="shared" si="104"/>
        <v>44</v>
      </c>
    </row>
    <row r="6692" spans="1:2" x14ac:dyDescent="0.2">
      <c r="A6692" s="117">
        <v>41389</v>
      </c>
      <c r="B6692" s="116">
        <f t="shared" si="104"/>
        <v>44</v>
      </c>
    </row>
    <row r="6693" spans="1:2" x14ac:dyDescent="0.2">
      <c r="A6693" s="117">
        <v>41390</v>
      </c>
      <c r="B6693" s="116">
        <f t="shared" si="104"/>
        <v>44</v>
      </c>
    </row>
    <row r="6694" spans="1:2" x14ac:dyDescent="0.2">
      <c r="A6694" s="117">
        <v>41391</v>
      </c>
      <c r="B6694" s="116">
        <f t="shared" si="104"/>
        <v>44</v>
      </c>
    </row>
    <row r="6695" spans="1:2" x14ac:dyDescent="0.2">
      <c r="A6695" s="117">
        <v>41392</v>
      </c>
      <c r="B6695" s="116">
        <f t="shared" si="104"/>
        <v>45</v>
      </c>
    </row>
    <row r="6696" spans="1:2" x14ac:dyDescent="0.2">
      <c r="A6696" s="117">
        <v>41393</v>
      </c>
      <c r="B6696" s="116">
        <f t="shared" si="104"/>
        <v>45</v>
      </c>
    </row>
    <row r="6697" spans="1:2" x14ac:dyDescent="0.2">
      <c r="A6697" s="117">
        <v>41394</v>
      </c>
      <c r="B6697" s="116">
        <f t="shared" si="104"/>
        <v>45</v>
      </c>
    </row>
    <row r="6698" spans="1:2" x14ac:dyDescent="0.2">
      <c r="A6698" s="117">
        <v>41395</v>
      </c>
      <c r="B6698" s="116">
        <f t="shared" si="104"/>
        <v>45</v>
      </c>
    </row>
    <row r="6699" spans="1:2" x14ac:dyDescent="0.2">
      <c r="A6699" s="117">
        <v>41396</v>
      </c>
      <c r="B6699" s="116">
        <f t="shared" si="104"/>
        <v>45</v>
      </c>
    </row>
    <row r="6700" spans="1:2" x14ac:dyDescent="0.2">
      <c r="A6700" s="117">
        <v>41397</v>
      </c>
      <c r="B6700" s="116">
        <f t="shared" si="104"/>
        <v>45</v>
      </c>
    </row>
    <row r="6701" spans="1:2" x14ac:dyDescent="0.2">
      <c r="A6701" s="117">
        <v>41398</v>
      </c>
      <c r="B6701" s="116">
        <f t="shared" si="104"/>
        <v>45</v>
      </c>
    </row>
    <row r="6702" spans="1:2" x14ac:dyDescent="0.2">
      <c r="A6702" s="117">
        <v>41399</v>
      </c>
      <c r="B6702" s="116">
        <f t="shared" si="104"/>
        <v>51</v>
      </c>
    </row>
    <row r="6703" spans="1:2" x14ac:dyDescent="0.2">
      <c r="A6703" s="117">
        <v>41400</v>
      </c>
      <c r="B6703" s="116">
        <f t="shared" si="104"/>
        <v>51</v>
      </c>
    </row>
    <row r="6704" spans="1:2" x14ac:dyDescent="0.2">
      <c r="A6704" s="117">
        <v>41401</v>
      </c>
      <c r="B6704" s="116">
        <f t="shared" si="104"/>
        <v>51</v>
      </c>
    </row>
    <row r="6705" spans="1:2" x14ac:dyDescent="0.2">
      <c r="A6705" s="117">
        <v>41402</v>
      </c>
      <c r="B6705" s="116">
        <f t="shared" si="104"/>
        <v>51</v>
      </c>
    </row>
    <row r="6706" spans="1:2" x14ac:dyDescent="0.2">
      <c r="A6706" s="117">
        <v>41403</v>
      </c>
      <c r="B6706" s="116">
        <f t="shared" si="104"/>
        <v>51</v>
      </c>
    </row>
    <row r="6707" spans="1:2" x14ac:dyDescent="0.2">
      <c r="A6707" s="117">
        <v>41404</v>
      </c>
      <c r="B6707" s="116">
        <f t="shared" si="104"/>
        <v>51</v>
      </c>
    </row>
    <row r="6708" spans="1:2" x14ac:dyDescent="0.2">
      <c r="A6708" s="117">
        <v>41405</v>
      </c>
      <c r="B6708" s="116">
        <f t="shared" si="104"/>
        <v>51</v>
      </c>
    </row>
    <row r="6709" spans="1:2" x14ac:dyDescent="0.2">
      <c r="A6709" s="117">
        <v>41406</v>
      </c>
      <c r="B6709" s="116">
        <f t="shared" si="104"/>
        <v>52</v>
      </c>
    </row>
    <row r="6710" spans="1:2" x14ac:dyDescent="0.2">
      <c r="A6710" s="117">
        <v>41407</v>
      </c>
      <c r="B6710" s="116">
        <f t="shared" si="104"/>
        <v>52</v>
      </c>
    </row>
    <row r="6711" spans="1:2" x14ac:dyDescent="0.2">
      <c r="A6711" s="117">
        <v>41408</v>
      </c>
      <c r="B6711" s="116">
        <f t="shared" si="104"/>
        <v>52</v>
      </c>
    </row>
    <row r="6712" spans="1:2" x14ac:dyDescent="0.2">
      <c r="A6712" s="117">
        <v>41409</v>
      </c>
      <c r="B6712" s="116">
        <f t="shared" si="104"/>
        <v>52</v>
      </c>
    </row>
    <row r="6713" spans="1:2" x14ac:dyDescent="0.2">
      <c r="A6713" s="117">
        <v>41410</v>
      </c>
      <c r="B6713" s="116">
        <f t="shared" si="104"/>
        <v>52</v>
      </c>
    </row>
    <row r="6714" spans="1:2" x14ac:dyDescent="0.2">
      <c r="A6714" s="117">
        <v>41411</v>
      </c>
      <c r="B6714" s="116">
        <f t="shared" si="104"/>
        <v>52</v>
      </c>
    </row>
    <row r="6715" spans="1:2" x14ac:dyDescent="0.2">
      <c r="A6715" s="117">
        <v>41412</v>
      </c>
      <c r="B6715" s="116">
        <f t="shared" si="104"/>
        <v>52</v>
      </c>
    </row>
    <row r="6716" spans="1:2" x14ac:dyDescent="0.2">
      <c r="A6716" s="117">
        <v>41413</v>
      </c>
      <c r="B6716" s="116">
        <f t="shared" si="104"/>
        <v>53</v>
      </c>
    </row>
    <row r="6717" spans="1:2" x14ac:dyDescent="0.2">
      <c r="A6717" s="117">
        <v>41414</v>
      </c>
      <c r="B6717" s="116">
        <f t="shared" si="104"/>
        <v>53</v>
      </c>
    </row>
    <row r="6718" spans="1:2" x14ac:dyDescent="0.2">
      <c r="A6718" s="117">
        <v>41415</v>
      </c>
      <c r="B6718" s="116">
        <f t="shared" si="104"/>
        <v>53</v>
      </c>
    </row>
    <row r="6719" spans="1:2" x14ac:dyDescent="0.2">
      <c r="A6719" s="117">
        <v>41416</v>
      </c>
      <c r="B6719" s="116">
        <f t="shared" si="104"/>
        <v>53</v>
      </c>
    </row>
    <row r="6720" spans="1:2" x14ac:dyDescent="0.2">
      <c r="A6720" s="117">
        <v>41417</v>
      </c>
      <c r="B6720" s="116">
        <f t="shared" si="104"/>
        <v>53</v>
      </c>
    </row>
    <row r="6721" spans="1:2" x14ac:dyDescent="0.2">
      <c r="A6721" s="117">
        <v>41418</v>
      </c>
      <c r="B6721" s="116">
        <f t="shared" si="104"/>
        <v>53</v>
      </c>
    </row>
    <row r="6722" spans="1:2" x14ac:dyDescent="0.2">
      <c r="A6722" s="117">
        <v>41419</v>
      </c>
      <c r="B6722" s="116">
        <f t="shared" si="104"/>
        <v>53</v>
      </c>
    </row>
    <row r="6723" spans="1:2" x14ac:dyDescent="0.2">
      <c r="A6723" s="117">
        <v>41420</v>
      </c>
      <c r="B6723" s="116">
        <f t="shared" si="104"/>
        <v>54</v>
      </c>
    </row>
    <row r="6724" spans="1:2" x14ac:dyDescent="0.2">
      <c r="A6724" s="117">
        <v>41421</v>
      </c>
      <c r="B6724" s="116">
        <f t="shared" ref="B6724:B6787" si="105">VLOOKUP(WEEKNUM(A6724),$D$4:$E$59,2)</f>
        <v>54</v>
      </c>
    </row>
    <row r="6725" spans="1:2" x14ac:dyDescent="0.2">
      <c r="A6725" s="117">
        <v>41422</v>
      </c>
      <c r="B6725" s="116">
        <f t="shared" si="105"/>
        <v>54</v>
      </c>
    </row>
    <row r="6726" spans="1:2" x14ac:dyDescent="0.2">
      <c r="A6726" s="117">
        <v>41423</v>
      </c>
      <c r="B6726" s="116">
        <f t="shared" si="105"/>
        <v>54</v>
      </c>
    </row>
    <row r="6727" spans="1:2" x14ac:dyDescent="0.2">
      <c r="A6727" s="117">
        <v>41424</v>
      </c>
      <c r="B6727" s="116">
        <f t="shared" si="105"/>
        <v>54</v>
      </c>
    </row>
    <row r="6728" spans="1:2" x14ac:dyDescent="0.2">
      <c r="A6728" s="117">
        <v>41425</v>
      </c>
      <c r="B6728" s="116">
        <f t="shared" si="105"/>
        <v>54</v>
      </c>
    </row>
    <row r="6729" spans="1:2" x14ac:dyDescent="0.2">
      <c r="A6729" s="117">
        <v>41426</v>
      </c>
      <c r="B6729" s="116">
        <f t="shared" si="105"/>
        <v>54</v>
      </c>
    </row>
    <row r="6730" spans="1:2" x14ac:dyDescent="0.2">
      <c r="A6730" s="117">
        <v>41427</v>
      </c>
      <c r="B6730" s="116">
        <f t="shared" si="105"/>
        <v>61</v>
      </c>
    </row>
    <row r="6731" spans="1:2" x14ac:dyDescent="0.2">
      <c r="A6731" s="117">
        <v>41428</v>
      </c>
      <c r="B6731" s="116">
        <f t="shared" si="105"/>
        <v>61</v>
      </c>
    </row>
    <row r="6732" spans="1:2" x14ac:dyDescent="0.2">
      <c r="A6732" s="117">
        <v>41429</v>
      </c>
      <c r="B6732" s="116">
        <f t="shared" si="105"/>
        <v>61</v>
      </c>
    </row>
    <row r="6733" spans="1:2" x14ac:dyDescent="0.2">
      <c r="A6733" s="117">
        <v>41430</v>
      </c>
      <c r="B6733" s="116">
        <f t="shared" si="105"/>
        <v>61</v>
      </c>
    </row>
    <row r="6734" spans="1:2" x14ac:dyDescent="0.2">
      <c r="A6734" s="117">
        <v>41431</v>
      </c>
      <c r="B6734" s="116">
        <f t="shared" si="105"/>
        <v>61</v>
      </c>
    </row>
    <row r="6735" spans="1:2" x14ac:dyDescent="0.2">
      <c r="A6735" s="117">
        <v>41432</v>
      </c>
      <c r="B6735" s="116">
        <f t="shared" si="105"/>
        <v>61</v>
      </c>
    </row>
    <row r="6736" spans="1:2" x14ac:dyDescent="0.2">
      <c r="A6736" s="117">
        <v>41433</v>
      </c>
      <c r="B6736" s="116">
        <f t="shared" si="105"/>
        <v>61</v>
      </c>
    </row>
    <row r="6737" spans="1:2" x14ac:dyDescent="0.2">
      <c r="A6737" s="117">
        <v>41434</v>
      </c>
      <c r="B6737" s="116">
        <f t="shared" si="105"/>
        <v>62</v>
      </c>
    </row>
    <row r="6738" spans="1:2" x14ac:dyDescent="0.2">
      <c r="A6738" s="117">
        <v>41435</v>
      </c>
      <c r="B6738" s="116">
        <f t="shared" si="105"/>
        <v>62</v>
      </c>
    </row>
    <row r="6739" spans="1:2" x14ac:dyDescent="0.2">
      <c r="A6739" s="117">
        <v>41436</v>
      </c>
      <c r="B6739" s="116">
        <f t="shared" si="105"/>
        <v>62</v>
      </c>
    </row>
    <row r="6740" spans="1:2" x14ac:dyDescent="0.2">
      <c r="A6740" s="117">
        <v>41437</v>
      </c>
      <c r="B6740" s="116">
        <f t="shared" si="105"/>
        <v>62</v>
      </c>
    </row>
    <row r="6741" spans="1:2" x14ac:dyDescent="0.2">
      <c r="A6741" s="117">
        <v>41438</v>
      </c>
      <c r="B6741" s="116">
        <f t="shared" si="105"/>
        <v>62</v>
      </c>
    </row>
    <row r="6742" spans="1:2" x14ac:dyDescent="0.2">
      <c r="A6742" s="117">
        <v>41439</v>
      </c>
      <c r="B6742" s="116">
        <f t="shared" si="105"/>
        <v>62</v>
      </c>
    </row>
    <row r="6743" spans="1:2" x14ac:dyDescent="0.2">
      <c r="A6743" s="117">
        <v>41440</v>
      </c>
      <c r="B6743" s="116">
        <f t="shared" si="105"/>
        <v>62</v>
      </c>
    </row>
    <row r="6744" spans="1:2" x14ac:dyDescent="0.2">
      <c r="A6744" s="117">
        <v>41441</v>
      </c>
      <c r="B6744" s="116">
        <f t="shared" si="105"/>
        <v>63</v>
      </c>
    </row>
    <row r="6745" spans="1:2" x14ac:dyDescent="0.2">
      <c r="A6745" s="117">
        <v>41442</v>
      </c>
      <c r="B6745" s="116">
        <f t="shared" si="105"/>
        <v>63</v>
      </c>
    </row>
    <row r="6746" spans="1:2" x14ac:dyDescent="0.2">
      <c r="A6746" s="117">
        <v>41443</v>
      </c>
      <c r="B6746" s="116">
        <f t="shared" si="105"/>
        <v>63</v>
      </c>
    </row>
    <row r="6747" spans="1:2" x14ac:dyDescent="0.2">
      <c r="A6747" s="117">
        <v>41444</v>
      </c>
      <c r="B6747" s="116">
        <f t="shared" si="105"/>
        <v>63</v>
      </c>
    </row>
    <row r="6748" spans="1:2" x14ac:dyDescent="0.2">
      <c r="A6748" s="117">
        <v>41445</v>
      </c>
      <c r="B6748" s="116">
        <f t="shared" si="105"/>
        <v>63</v>
      </c>
    </row>
    <row r="6749" spans="1:2" x14ac:dyDescent="0.2">
      <c r="A6749" s="117">
        <v>41446</v>
      </c>
      <c r="B6749" s="116">
        <f t="shared" si="105"/>
        <v>63</v>
      </c>
    </row>
    <row r="6750" spans="1:2" x14ac:dyDescent="0.2">
      <c r="A6750" s="117">
        <v>41447</v>
      </c>
      <c r="B6750" s="116">
        <f t="shared" si="105"/>
        <v>63</v>
      </c>
    </row>
    <row r="6751" spans="1:2" x14ac:dyDescent="0.2">
      <c r="A6751" s="117">
        <v>41448</v>
      </c>
      <c r="B6751" s="116">
        <f t="shared" si="105"/>
        <v>64</v>
      </c>
    </row>
    <row r="6752" spans="1:2" x14ac:dyDescent="0.2">
      <c r="A6752" s="117">
        <v>41449</v>
      </c>
      <c r="B6752" s="116">
        <f t="shared" si="105"/>
        <v>64</v>
      </c>
    </row>
    <row r="6753" spans="1:2" x14ac:dyDescent="0.2">
      <c r="A6753" s="117">
        <v>41450</v>
      </c>
      <c r="B6753" s="116">
        <f t="shared" si="105"/>
        <v>64</v>
      </c>
    </row>
    <row r="6754" spans="1:2" x14ac:dyDescent="0.2">
      <c r="A6754" s="117">
        <v>41451</v>
      </c>
      <c r="B6754" s="116">
        <f t="shared" si="105"/>
        <v>64</v>
      </c>
    </row>
    <row r="6755" spans="1:2" x14ac:dyDescent="0.2">
      <c r="A6755" s="117">
        <v>41452</v>
      </c>
      <c r="B6755" s="116">
        <f t="shared" si="105"/>
        <v>64</v>
      </c>
    </row>
    <row r="6756" spans="1:2" x14ac:dyDescent="0.2">
      <c r="A6756" s="117">
        <v>41453</v>
      </c>
      <c r="B6756" s="116">
        <f t="shared" si="105"/>
        <v>64</v>
      </c>
    </row>
    <row r="6757" spans="1:2" x14ac:dyDescent="0.2">
      <c r="A6757" s="117">
        <v>41454</v>
      </c>
      <c r="B6757" s="116">
        <f t="shared" si="105"/>
        <v>64</v>
      </c>
    </row>
    <row r="6758" spans="1:2" x14ac:dyDescent="0.2">
      <c r="A6758" s="117">
        <v>41455</v>
      </c>
      <c r="B6758" s="116">
        <f t="shared" si="105"/>
        <v>71</v>
      </c>
    </row>
    <row r="6759" spans="1:2" x14ac:dyDescent="0.2">
      <c r="A6759" s="117">
        <v>41456</v>
      </c>
      <c r="B6759" s="116">
        <f t="shared" si="105"/>
        <v>71</v>
      </c>
    </row>
    <row r="6760" spans="1:2" x14ac:dyDescent="0.2">
      <c r="A6760" s="117">
        <v>41457</v>
      </c>
      <c r="B6760" s="116">
        <f t="shared" si="105"/>
        <v>71</v>
      </c>
    </row>
    <row r="6761" spans="1:2" x14ac:dyDescent="0.2">
      <c r="A6761" s="117">
        <v>41458</v>
      </c>
      <c r="B6761" s="116">
        <f t="shared" si="105"/>
        <v>71</v>
      </c>
    </row>
    <row r="6762" spans="1:2" x14ac:dyDescent="0.2">
      <c r="A6762" s="117">
        <v>41459</v>
      </c>
      <c r="B6762" s="116">
        <f t="shared" si="105"/>
        <v>71</v>
      </c>
    </row>
    <row r="6763" spans="1:2" x14ac:dyDescent="0.2">
      <c r="A6763" s="117">
        <v>41460</v>
      </c>
      <c r="B6763" s="116">
        <f t="shared" si="105"/>
        <v>71</v>
      </c>
    </row>
    <row r="6764" spans="1:2" x14ac:dyDescent="0.2">
      <c r="A6764" s="117">
        <v>41461</v>
      </c>
      <c r="B6764" s="116">
        <f t="shared" si="105"/>
        <v>71</v>
      </c>
    </row>
    <row r="6765" spans="1:2" x14ac:dyDescent="0.2">
      <c r="A6765" s="117">
        <v>41462</v>
      </c>
      <c r="B6765" s="116">
        <f t="shared" si="105"/>
        <v>72</v>
      </c>
    </row>
    <row r="6766" spans="1:2" x14ac:dyDescent="0.2">
      <c r="A6766" s="117">
        <v>41463</v>
      </c>
      <c r="B6766" s="116">
        <f t="shared" si="105"/>
        <v>72</v>
      </c>
    </row>
    <row r="6767" spans="1:2" x14ac:dyDescent="0.2">
      <c r="A6767" s="117">
        <v>41464</v>
      </c>
      <c r="B6767" s="116">
        <f t="shared" si="105"/>
        <v>72</v>
      </c>
    </row>
    <row r="6768" spans="1:2" x14ac:dyDescent="0.2">
      <c r="A6768" s="117">
        <v>41465</v>
      </c>
      <c r="B6768" s="116">
        <f t="shared" si="105"/>
        <v>72</v>
      </c>
    </row>
    <row r="6769" spans="1:2" x14ac:dyDescent="0.2">
      <c r="A6769" s="117">
        <v>41466</v>
      </c>
      <c r="B6769" s="116">
        <f t="shared" si="105"/>
        <v>72</v>
      </c>
    </row>
    <row r="6770" spans="1:2" x14ac:dyDescent="0.2">
      <c r="A6770" s="117">
        <v>41467</v>
      </c>
      <c r="B6770" s="116">
        <f t="shared" si="105"/>
        <v>72</v>
      </c>
    </row>
    <row r="6771" spans="1:2" x14ac:dyDescent="0.2">
      <c r="A6771" s="117">
        <v>41468</v>
      </c>
      <c r="B6771" s="116">
        <f t="shared" si="105"/>
        <v>72</v>
      </c>
    </row>
    <row r="6772" spans="1:2" x14ac:dyDescent="0.2">
      <c r="A6772" s="117">
        <v>41469</v>
      </c>
      <c r="B6772" s="116">
        <f t="shared" si="105"/>
        <v>73</v>
      </c>
    </row>
    <row r="6773" spans="1:2" x14ac:dyDescent="0.2">
      <c r="A6773" s="117">
        <v>41470</v>
      </c>
      <c r="B6773" s="116">
        <f t="shared" si="105"/>
        <v>73</v>
      </c>
    </row>
    <row r="6774" spans="1:2" x14ac:dyDescent="0.2">
      <c r="A6774" s="117">
        <v>41471</v>
      </c>
      <c r="B6774" s="116">
        <f t="shared" si="105"/>
        <v>73</v>
      </c>
    </row>
    <row r="6775" spans="1:2" x14ac:dyDescent="0.2">
      <c r="A6775" s="117">
        <v>41472</v>
      </c>
      <c r="B6775" s="116">
        <f t="shared" si="105"/>
        <v>73</v>
      </c>
    </row>
    <row r="6776" spans="1:2" x14ac:dyDescent="0.2">
      <c r="A6776" s="117">
        <v>41473</v>
      </c>
      <c r="B6776" s="116">
        <f t="shared" si="105"/>
        <v>73</v>
      </c>
    </row>
    <row r="6777" spans="1:2" x14ac:dyDescent="0.2">
      <c r="A6777" s="117">
        <v>41474</v>
      </c>
      <c r="B6777" s="116">
        <f t="shared" si="105"/>
        <v>73</v>
      </c>
    </row>
    <row r="6778" spans="1:2" x14ac:dyDescent="0.2">
      <c r="A6778" s="117">
        <v>41475</v>
      </c>
      <c r="B6778" s="116">
        <f t="shared" si="105"/>
        <v>73</v>
      </c>
    </row>
    <row r="6779" spans="1:2" x14ac:dyDescent="0.2">
      <c r="A6779" s="117">
        <v>41476</v>
      </c>
      <c r="B6779" s="116">
        <f t="shared" si="105"/>
        <v>74</v>
      </c>
    </row>
    <row r="6780" spans="1:2" x14ac:dyDescent="0.2">
      <c r="A6780" s="117">
        <v>41477</v>
      </c>
      <c r="B6780" s="116">
        <f t="shared" si="105"/>
        <v>74</v>
      </c>
    </row>
    <row r="6781" spans="1:2" x14ac:dyDescent="0.2">
      <c r="A6781" s="117">
        <v>41478</v>
      </c>
      <c r="B6781" s="116">
        <f t="shared" si="105"/>
        <v>74</v>
      </c>
    </row>
    <row r="6782" spans="1:2" x14ac:dyDescent="0.2">
      <c r="A6782" s="117">
        <v>41479</v>
      </c>
      <c r="B6782" s="116">
        <f t="shared" si="105"/>
        <v>74</v>
      </c>
    </row>
    <row r="6783" spans="1:2" x14ac:dyDescent="0.2">
      <c r="A6783" s="117">
        <v>41480</v>
      </c>
      <c r="B6783" s="116">
        <f t="shared" si="105"/>
        <v>74</v>
      </c>
    </row>
    <row r="6784" spans="1:2" x14ac:dyDescent="0.2">
      <c r="A6784" s="117">
        <v>41481</v>
      </c>
      <c r="B6784" s="116">
        <f t="shared" si="105"/>
        <v>74</v>
      </c>
    </row>
    <row r="6785" spans="1:2" x14ac:dyDescent="0.2">
      <c r="A6785" s="117">
        <v>41482</v>
      </c>
      <c r="B6785" s="116">
        <f t="shared" si="105"/>
        <v>74</v>
      </c>
    </row>
    <row r="6786" spans="1:2" x14ac:dyDescent="0.2">
      <c r="A6786" s="117">
        <v>41483</v>
      </c>
      <c r="B6786" s="116">
        <f t="shared" si="105"/>
        <v>75</v>
      </c>
    </row>
    <row r="6787" spans="1:2" x14ac:dyDescent="0.2">
      <c r="A6787" s="117">
        <v>41484</v>
      </c>
      <c r="B6787" s="116">
        <f t="shared" si="105"/>
        <v>75</v>
      </c>
    </row>
    <row r="6788" spans="1:2" x14ac:dyDescent="0.2">
      <c r="A6788" s="117">
        <v>41485</v>
      </c>
      <c r="B6788" s="116">
        <f t="shared" ref="B6788:B6851" si="106">VLOOKUP(WEEKNUM(A6788),$D$4:$E$59,2)</f>
        <v>75</v>
      </c>
    </row>
    <row r="6789" spans="1:2" x14ac:dyDescent="0.2">
      <c r="A6789" s="117">
        <v>41486</v>
      </c>
      <c r="B6789" s="116">
        <f t="shared" si="106"/>
        <v>75</v>
      </c>
    </row>
    <row r="6790" spans="1:2" x14ac:dyDescent="0.2">
      <c r="A6790" s="117">
        <v>41487</v>
      </c>
      <c r="B6790" s="116">
        <f t="shared" si="106"/>
        <v>75</v>
      </c>
    </row>
    <row r="6791" spans="1:2" x14ac:dyDescent="0.2">
      <c r="A6791" s="117">
        <v>41488</v>
      </c>
      <c r="B6791" s="116">
        <f t="shared" si="106"/>
        <v>75</v>
      </c>
    </row>
    <row r="6792" spans="1:2" x14ac:dyDescent="0.2">
      <c r="A6792" s="117">
        <v>41489</v>
      </c>
      <c r="B6792" s="116">
        <f t="shared" si="106"/>
        <v>75</v>
      </c>
    </row>
    <row r="6793" spans="1:2" x14ac:dyDescent="0.2">
      <c r="A6793" s="117">
        <v>41490</v>
      </c>
      <c r="B6793" s="116">
        <f t="shared" si="106"/>
        <v>81</v>
      </c>
    </row>
    <row r="6794" spans="1:2" x14ac:dyDescent="0.2">
      <c r="A6794" s="117">
        <v>41491</v>
      </c>
      <c r="B6794" s="116">
        <f t="shared" si="106"/>
        <v>81</v>
      </c>
    </row>
    <row r="6795" spans="1:2" x14ac:dyDescent="0.2">
      <c r="A6795" s="117">
        <v>41492</v>
      </c>
      <c r="B6795" s="116">
        <f t="shared" si="106"/>
        <v>81</v>
      </c>
    </row>
    <row r="6796" spans="1:2" x14ac:dyDescent="0.2">
      <c r="A6796" s="117">
        <v>41493</v>
      </c>
      <c r="B6796" s="116">
        <f t="shared" si="106"/>
        <v>81</v>
      </c>
    </row>
    <row r="6797" spans="1:2" x14ac:dyDescent="0.2">
      <c r="A6797" s="117">
        <v>41494</v>
      </c>
      <c r="B6797" s="116">
        <f t="shared" si="106"/>
        <v>81</v>
      </c>
    </row>
    <row r="6798" spans="1:2" x14ac:dyDescent="0.2">
      <c r="A6798" s="117">
        <v>41495</v>
      </c>
      <c r="B6798" s="116">
        <f t="shared" si="106"/>
        <v>81</v>
      </c>
    </row>
    <row r="6799" spans="1:2" x14ac:dyDescent="0.2">
      <c r="A6799" s="117">
        <v>41496</v>
      </c>
      <c r="B6799" s="116">
        <f t="shared" si="106"/>
        <v>81</v>
      </c>
    </row>
    <row r="6800" spans="1:2" x14ac:dyDescent="0.2">
      <c r="A6800" s="117">
        <v>41497</v>
      </c>
      <c r="B6800" s="116">
        <f t="shared" si="106"/>
        <v>82</v>
      </c>
    </row>
    <row r="6801" spans="1:2" x14ac:dyDescent="0.2">
      <c r="A6801" s="117">
        <v>41498</v>
      </c>
      <c r="B6801" s="116">
        <f t="shared" si="106"/>
        <v>82</v>
      </c>
    </row>
    <row r="6802" spans="1:2" x14ac:dyDescent="0.2">
      <c r="A6802" s="117">
        <v>41499</v>
      </c>
      <c r="B6802" s="116">
        <f t="shared" si="106"/>
        <v>82</v>
      </c>
    </row>
    <row r="6803" spans="1:2" x14ac:dyDescent="0.2">
      <c r="A6803" s="117">
        <v>41500</v>
      </c>
      <c r="B6803" s="116">
        <f t="shared" si="106"/>
        <v>82</v>
      </c>
    </row>
    <row r="6804" spans="1:2" x14ac:dyDescent="0.2">
      <c r="A6804" s="117">
        <v>41501</v>
      </c>
      <c r="B6804" s="116">
        <f t="shared" si="106"/>
        <v>82</v>
      </c>
    </row>
    <row r="6805" spans="1:2" x14ac:dyDescent="0.2">
      <c r="A6805" s="117">
        <v>41502</v>
      </c>
      <c r="B6805" s="116">
        <f t="shared" si="106"/>
        <v>82</v>
      </c>
    </row>
    <row r="6806" spans="1:2" x14ac:dyDescent="0.2">
      <c r="A6806" s="117">
        <v>41503</v>
      </c>
      <c r="B6806" s="116">
        <f t="shared" si="106"/>
        <v>82</v>
      </c>
    </row>
    <row r="6807" spans="1:2" x14ac:dyDescent="0.2">
      <c r="A6807" s="117">
        <v>41504</v>
      </c>
      <c r="B6807" s="116">
        <f t="shared" si="106"/>
        <v>83</v>
      </c>
    </row>
    <row r="6808" spans="1:2" x14ac:dyDescent="0.2">
      <c r="A6808" s="117">
        <v>41505</v>
      </c>
      <c r="B6808" s="116">
        <f t="shared" si="106"/>
        <v>83</v>
      </c>
    </row>
    <row r="6809" spans="1:2" x14ac:dyDescent="0.2">
      <c r="A6809" s="117">
        <v>41506</v>
      </c>
      <c r="B6809" s="116">
        <f t="shared" si="106"/>
        <v>83</v>
      </c>
    </row>
    <row r="6810" spans="1:2" x14ac:dyDescent="0.2">
      <c r="A6810" s="117">
        <v>41507</v>
      </c>
      <c r="B6810" s="116">
        <f t="shared" si="106"/>
        <v>83</v>
      </c>
    </row>
    <row r="6811" spans="1:2" x14ac:dyDescent="0.2">
      <c r="A6811" s="117">
        <v>41508</v>
      </c>
      <c r="B6811" s="116">
        <f t="shared" si="106"/>
        <v>83</v>
      </c>
    </row>
    <row r="6812" spans="1:2" x14ac:dyDescent="0.2">
      <c r="A6812" s="117">
        <v>41509</v>
      </c>
      <c r="B6812" s="116">
        <f t="shared" si="106"/>
        <v>83</v>
      </c>
    </row>
    <row r="6813" spans="1:2" x14ac:dyDescent="0.2">
      <c r="A6813" s="117">
        <v>41510</v>
      </c>
      <c r="B6813" s="116">
        <f t="shared" si="106"/>
        <v>83</v>
      </c>
    </row>
    <row r="6814" spans="1:2" x14ac:dyDescent="0.2">
      <c r="A6814" s="117">
        <v>41511</v>
      </c>
      <c r="B6814" s="116">
        <f t="shared" si="106"/>
        <v>84</v>
      </c>
    </row>
    <row r="6815" spans="1:2" x14ac:dyDescent="0.2">
      <c r="A6815" s="117">
        <v>41512</v>
      </c>
      <c r="B6815" s="116">
        <f t="shared" si="106"/>
        <v>84</v>
      </c>
    </row>
    <row r="6816" spans="1:2" x14ac:dyDescent="0.2">
      <c r="A6816" s="117">
        <v>41513</v>
      </c>
      <c r="B6816" s="116">
        <f t="shared" si="106"/>
        <v>84</v>
      </c>
    </row>
    <row r="6817" spans="1:2" x14ac:dyDescent="0.2">
      <c r="A6817" s="117">
        <v>41514</v>
      </c>
      <c r="B6817" s="116">
        <f t="shared" si="106"/>
        <v>84</v>
      </c>
    </row>
    <row r="6818" spans="1:2" x14ac:dyDescent="0.2">
      <c r="A6818" s="117">
        <v>41515</v>
      </c>
      <c r="B6818" s="116">
        <f t="shared" si="106"/>
        <v>84</v>
      </c>
    </row>
    <row r="6819" spans="1:2" x14ac:dyDescent="0.2">
      <c r="A6819" s="117">
        <v>41516</v>
      </c>
      <c r="B6819" s="116">
        <f t="shared" si="106"/>
        <v>84</v>
      </c>
    </row>
    <row r="6820" spans="1:2" x14ac:dyDescent="0.2">
      <c r="A6820" s="117">
        <v>41517</v>
      </c>
      <c r="B6820" s="116">
        <f t="shared" si="106"/>
        <v>84</v>
      </c>
    </row>
    <row r="6821" spans="1:2" x14ac:dyDescent="0.2">
      <c r="A6821" s="117">
        <v>41518</v>
      </c>
      <c r="B6821" s="116">
        <f t="shared" si="106"/>
        <v>91</v>
      </c>
    </row>
    <row r="6822" spans="1:2" x14ac:dyDescent="0.2">
      <c r="A6822" s="117">
        <v>41519</v>
      </c>
      <c r="B6822" s="116">
        <f t="shared" si="106"/>
        <v>91</v>
      </c>
    </row>
    <row r="6823" spans="1:2" x14ac:dyDescent="0.2">
      <c r="A6823" s="117">
        <v>41520</v>
      </c>
      <c r="B6823" s="116">
        <f t="shared" si="106"/>
        <v>91</v>
      </c>
    </row>
    <row r="6824" spans="1:2" x14ac:dyDescent="0.2">
      <c r="A6824" s="117">
        <v>41521</v>
      </c>
      <c r="B6824" s="116">
        <f t="shared" si="106"/>
        <v>91</v>
      </c>
    </row>
    <row r="6825" spans="1:2" x14ac:dyDescent="0.2">
      <c r="A6825" s="117">
        <v>41522</v>
      </c>
      <c r="B6825" s="116">
        <f t="shared" si="106"/>
        <v>91</v>
      </c>
    </row>
    <row r="6826" spans="1:2" x14ac:dyDescent="0.2">
      <c r="A6826" s="117">
        <v>41523</v>
      </c>
      <c r="B6826" s="116">
        <f t="shared" si="106"/>
        <v>91</v>
      </c>
    </row>
    <row r="6827" spans="1:2" x14ac:dyDescent="0.2">
      <c r="A6827" s="117">
        <v>41524</v>
      </c>
      <c r="B6827" s="116">
        <f t="shared" si="106"/>
        <v>91</v>
      </c>
    </row>
    <row r="6828" spans="1:2" x14ac:dyDescent="0.2">
      <c r="A6828" s="117">
        <v>41525</v>
      </c>
      <c r="B6828" s="116">
        <f t="shared" si="106"/>
        <v>92</v>
      </c>
    </row>
    <row r="6829" spans="1:2" x14ac:dyDescent="0.2">
      <c r="A6829" s="117">
        <v>41526</v>
      </c>
      <c r="B6829" s="116">
        <f t="shared" si="106"/>
        <v>92</v>
      </c>
    </row>
    <row r="6830" spans="1:2" x14ac:dyDescent="0.2">
      <c r="A6830" s="117">
        <v>41527</v>
      </c>
      <c r="B6830" s="116">
        <f t="shared" si="106"/>
        <v>92</v>
      </c>
    </row>
    <row r="6831" spans="1:2" x14ac:dyDescent="0.2">
      <c r="A6831" s="117">
        <v>41528</v>
      </c>
      <c r="B6831" s="116">
        <f t="shared" si="106"/>
        <v>92</v>
      </c>
    </row>
    <row r="6832" spans="1:2" x14ac:dyDescent="0.2">
      <c r="A6832" s="117">
        <v>41529</v>
      </c>
      <c r="B6832" s="116">
        <f t="shared" si="106"/>
        <v>92</v>
      </c>
    </row>
    <row r="6833" spans="1:2" x14ac:dyDescent="0.2">
      <c r="A6833" s="117">
        <v>41530</v>
      </c>
      <c r="B6833" s="116">
        <f t="shared" si="106"/>
        <v>92</v>
      </c>
    </row>
    <row r="6834" spans="1:2" x14ac:dyDescent="0.2">
      <c r="A6834" s="117">
        <v>41531</v>
      </c>
      <c r="B6834" s="116">
        <f t="shared" si="106"/>
        <v>92</v>
      </c>
    </row>
    <row r="6835" spans="1:2" x14ac:dyDescent="0.2">
      <c r="A6835" s="117">
        <v>41532</v>
      </c>
      <c r="B6835" s="116">
        <f t="shared" si="106"/>
        <v>93</v>
      </c>
    </row>
    <row r="6836" spans="1:2" x14ac:dyDescent="0.2">
      <c r="A6836" s="117">
        <v>41533</v>
      </c>
      <c r="B6836" s="116">
        <f t="shared" si="106"/>
        <v>93</v>
      </c>
    </row>
    <row r="6837" spans="1:2" x14ac:dyDescent="0.2">
      <c r="A6837" s="117">
        <v>41534</v>
      </c>
      <c r="B6837" s="116">
        <f t="shared" si="106"/>
        <v>93</v>
      </c>
    </row>
    <row r="6838" spans="1:2" x14ac:dyDescent="0.2">
      <c r="A6838" s="117">
        <v>41535</v>
      </c>
      <c r="B6838" s="116">
        <f t="shared" si="106"/>
        <v>93</v>
      </c>
    </row>
    <row r="6839" spans="1:2" x14ac:dyDescent="0.2">
      <c r="A6839" s="117">
        <v>41536</v>
      </c>
      <c r="B6839" s="116">
        <f t="shared" si="106"/>
        <v>93</v>
      </c>
    </row>
    <row r="6840" spans="1:2" x14ac:dyDescent="0.2">
      <c r="A6840" s="117">
        <v>41537</v>
      </c>
      <c r="B6840" s="116">
        <f t="shared" si="106"/>
        <v>93</v>
      </c>
    </row>
    <row r="6841" spans="1:2" x14ac:dyDescent="0.2">
      <c r="A6841" s="117">
        <v>41538</v>
      </c>
      <c r="B6841" s="116">
        <f t="shared" si="106"/>
        <v>93</v>
      </c>
    </row>
    <row r="6842" spans="1:2" x14ac:dyDescent="0.2">
      <c r="A6842" s="117">
        <v>41539</v>
      </c>
      <c r="B6842" s="116">
        <f t="shared" si="106"/>
        <v>94</v>
      </c>
    </row>
    <row r="6843" spans="1:2" x14ac:dyDescent="0.2">
      <c r="A6843" s="117">
        <v>41540</v>
      </c>
      <c r="B6843" s="116">
        <f t="shared" si="106"/>
        <v>94</v>
      </c>
    </row>
    <row r="6844" spans="1:2" x14ac:dyDescent="0.2">
      <c r="A6844" s="117">
        <v>41541</v>
      </c>
      <c r="B6844" s="116">
        <f t="shared" si="106"/>
        <v>94</v>
      </c>
    </row>
    <row r="6845" spans="1:2" x14ac:dyDescent="0.2">
      <c r="A6845" s="117">
        <v>41542</v>
      </c>
      <c r="B6845" s="116">
        <f t="shared" si="106"/>
        <v>94</v>
      </c>
    </row>
    <row r="6846" spans="1:2" x14ac:dyDescent="0.2">
      <c r="A6846" s="117">
        <v>41543</v>
      </c>
      <c r="B6846" s="116">
        <f t="shared" si="106"/>
        <v>94</v>
      </c>
    </row>
    <row r="6847" spans="1:2" x14ac:dyDescent="0.2">
      <c r="A6847" s="117">
        <v>41544</v>
      </c>
      <c r="B6847" s="116">
        <f t="shared" si="106"/>
        <v>94</v>
      </c>
    </row>
    <row r="6848" spans="1:2" x14ac:dyDescent="0.2">
      <c r="A6848" s="117">
        <v>41545</v>
      </c>
      <c r="B6848" s="116">
        <f t="shared" si="106"/>
        <v>94</v>
      </c>
    </row>
    <row r="6849" spans="1:2" x14ac:dyDescent="0.2">
      <c r="A6849" s="117">
        <v>41546</v>
      </c>
      <c r="B6849" s="116">
        <f t="shared" si="106"/>
        <v>101</v>
      </c>
    </row>
    <row r="6850" spans="1:2" x14ac:dyDescent="0.2">
      <c r="A6850" s="117">
        <v>41547</v>
      </c>
      <c r="B6850" s="116">
        <f t="shared" si="106"/>
        <v>101</v>
      </c>
    </row>
    <row r="6851" spans="1:2" x14ac:dyDescent="0.2">
      <c r="A6851" s="117">
        <v>41548</v>
      </c>
      <c r="B6851" s="116">
        <f t="shared" si="106"/>
        <v>101</v>
      </c>
    </row>
    <row r="6852" spans="1:2" x14ac:dyDescent="0.2">
      <c r="A6852" s="117">
        <v>41549</v>
      </c>
      <c r="B6852" s="116">
        <f t="shared" ref="B6852:B6915" si="107">VLOOKUP(WEEKNUM(A6852),$D$4:$E$59,2)</f>
        <v>101</v>
      </c>
    </row>
    <row r="6853" spans="1:2" x14ac:dyDescent="0.2">
      <c r="A6853" s="117">
        <v>41550</v>
      </c>
      <c r="B6853" s="116">
        <f t="shared" si="107"/>
        <v>101</v>
      </c>
    </row>
    <row r="6854" spans="1:2" x14ac:dyDescent="0.2">
      <c r="A6854" s="117">
        <v>41551</v>
      </c>
      <c r="B6854" s="116">
        <f t="shared" si="107"/>
        <v>101</v>
      </c>
    </row>
    <row r="6855" spans="1:2" x14ac:dyDescent="0.2">
      <c r="A6855" s="117">
        <v>41552</v>
      </c>
      <c r="B6855" s="116">
        <f t="shared" si="107"/>
        <v>101</v>
      </c>
    </row>
    <row r="6856" spans="1:2" x14ac:dyDescent="0.2">
      <c r="A6856" s="117">
        <v>41553</v>
      </c>
      <c r="B6856" s="116">
        <f t="shared" si="107"/>
        <v>102</v>
      </c>
    </row>
    <row r="6857" spans="1:2" x14ac:dyDescent="0.2">
      <c r="A6857" s="117">
        <v>41554</v>
      </c>
      <c r="B6857" s="116">
        <f t="shared" si="107"/>
        <v>102</v>
      </c>
    </row>
    <row r="6858" spans="1:2" x14ac:dyDescent="0.2">
      <c r="A6858" s="117">
        <v>41555</v>
      </c>
      <c r="B6858" s="116">
        <f t="shared" si="107"/>
        <v>102</v>
      </c>
    </row>
    <row r="6859" spans="1:2" x14ac:dyDescent="0.2">
      <c r="A6859" s="117">
        <v>41556</v>
      </c>
      <c r="B6859" s="116">
        <f t="shared" si="107"/>
        <v>102</v>
      </c>
    </row>
    <row r="6860" spans="1:2" x14ac:dyDescent="0.2">
      <c r="A6860" s="117">
        <v>41557</v>
      </c>
      <c r="B6860" s="116">
        <f t="shared" si="107"/>
        <v>102</v>
      </c>
    </row>
    <row r="6861" spans="1:2" x14ac:dyDescent="0.2">
      <c r="A6861" s="117">
        <v>41558</v>
      </c>
      <c r="B6861" s="116">
        <f t="shared" si="107"/>
        <v>102</v>
      </c>
    </row>
    <row r="6862" spans="1:2" x14ac:dyDescent="0.2">
      <c r="A6862" s="117">
        <v>41559</v>
      </c>
      <c r="B6862" s="116">
        <f t="shared" si="107"/>
        <v>102</v>
      </c>
    </row>
    <row r="6863" spans="1:2" x14ac:dyDescent="0.2">
      <c r="A6863" s="117">
        <v>41560</v>
      </c>
      <c r="B6863" s="116">
        <f t="shared" si="107"/>
        <v>103</v>
      </c>
    </row>
    <row r="6864" spans="1:2" x14ac:dyDescent="0.2">
      <c r="A6864" s="117">
        <v>41561</v>
      </c>
      <c r="B6864" s="116">
        <f t="shared" si="107"/>
        <v>103</v>
      </c>
    </row>
    <row r="6865" spans="1:2" x14ac:dyDescent="0.2">
      <c r="A6865" s="117">
        <v>41562</v>
      </c>
      <c r="B6865" s="116">
        <f t="shared" si="107"/>
        <v>103</v>
      </c>
    </row>
    <row r="6866" spans="1:2" x14ac:dyDescent="0.2">
      <c r="A6866" s="117">
        <v>41563</v>
      </c>
      <c r="B6866" s="116">
        <f t="shared" si="107"/>
        <v>103</v>
      </c>
    </row>
    <row r="6867" spans="1:2" x14ac:dyDescent="0.2">
      <c r="A6867" s="117">
        <v>41564</v>
      </c>
      <c r="B6867" s="116">
        <f t="shared" si="107"/>
        <v>103</v>
      </c>
    </row>
    <row r="6868" spans="1:2" x14ac:dyDescent="0.2">
      <c r="A6868" s="117">
        <v>41565</v>
      </c>
      <c r="B6868" s="116">
        <f t="shared" si="107"/>
        <v>103</v>
      </c>
    </row>
    <row r="6869" spans="1:2" x14ac:dyDescent="0.2">
      <c r="A6869" s="117">
        <v>41566</v>
      </c>
      <c r="B6869" s="116">
        <f t="shared" si="107"/>
        <v>103</v>
      </c>
    </row>
    <row r="6870" spans="1:2" x14ac:dyDescent="0.2">
      <c r="A6870" s="117">
        <v>41567</v>
      </c>
      <c r="B6870" s="116">
        <f t="shared" si="107"/>
        <v>104</v>
      </c>
    </row>
    <row r="6871" spans="1:2" x14ac:dyDescent="0.2">
      <c r="A6871" s="117">
        <v>41568</v>
      </c>
      <c r="B6871" s="116">
        <f t="shared" si="107"/>
        <v>104</v>
      </c>
    </row>
    <row r="6872" spans="1:2" x14ac:dyDescent="0.2">
      <c r="A6872" s="117">
        <v>41569</v>
      </c>
      <c r="B6872" s="116">
        <f t="shared" si="107"/>
        <v>104</v>
      </c>
    </row>
    <row r="6873" spans="1:2" x14ac:dyDescent="0.2">
      <c r="A6873" s="117">
        <v>41570</v>
      </c>
      <c r="B6873" s="116">
        <f t="shared" si="107"/>
        <v>104</v>
      </c>
    </row>
    <row r="6874" spans="1:2" x14ac:dyDescent="0.2">
      <c r="A6874" s="117">
        <v>41571</v>
      </c>
      <c r="B6874" s="116">
        <f t="shared" si="107"/>
        <v>104</v>
      </c>
    </row>
    <row r="6875" spans="1:2" x14ac:dyDescent="0.2">
      <c r="A6875" s="117">
        <v>41572</v>
      </c>
      <c r="B6875" s="116">
        <f t="shared" si="107"/>
        <v>104</v>
      </c>
    </row>
    <row r="6876" spans="1:2" x14ac:dyDescent="0.2">
      <c r="A6876" s="117">
        <v>41573</v>
      </c>
      <c r="B6876" s="116">
        <f t="shared" si="107"/>
        <v>104</v>
      </c>
    </row>
    <row r="6877" spans="1:2" x14ac:dyDescent="0.2">
      <c r="A6877" s="117">
        <v>41574</v>
      </c>
      <c r="B6877" s="116">
        <f t="shared" si="107"/>
        <v>105</v>
      </c>
    </row>
    <row r="6878" spans="1:2" x14ac:dyDescent="0.2">
      <c r="A6878" s="117">
        <v>41575</v>
      </c>
      <c r="B6878" s="116">
        <f t="shared" si="107"/>
        <v>105</v>
      </c>
    </row>
    <row r="6879" spans="1:2" x14ac:dyDescent="0.2">
      <c r="A6879" s="117">
        <v>41576</v>
      </c>
      <c r="B6879" s="116">
        <f t="shared" si="107"/>
        <v>105</v>
      </c>
    </row>
    <row r="6880" spans="1:2" x14ac:dyDescent="0.2">
      <c r="A6880" s="117">
        <v>41577</v>
      </c>
      <c r="B6880" s="116">
        <f t="shared" si="107"/>
        <v>105</v>
      </c>
    </row>
    <row r="6881" spans="1:2" x14ac:dyDescent="0.2">
      <c r="A6881" s="117">
        <v>41578</v>
      </c>
      <c r="B6881" s="116">
        <f t="shared" si="107"/>
        <v>105</v>
      </c>
    </row>
    <row r="6882" spans="1:2" x14ac:dyDescent="0.2">
      <c r="A6882" s="117">
        <v>41579</v>
      </c>
      <c r="B6882" s="116">
        <f t="shared" si="107"/>
        <v>105</v>
      </c>
    </row>
    <row r="6883" spans="1:2" x14ac:dyDescent="0.2">
      <c r="A6883" s="117">
        <v>41580</v>
      </c>
      <c r="B6883" s="116">
        <f t="shared" si="107"/>
        <v>105</v>
      </c>
    </row>
    <row r="6884" spans="1:2" x14ac:dyDescent="0.2">
      <c r="A6884" s="117">
        <v>41581</v>
      </c>
      <c r="B6884" s="116">
        <f t="shared" si="107"/>
        <v>111</v>
      </c>
    </row>
    <row r="6885" spans="1:2" x14ac:dyDescent="0.2">
      <c r="A6885" s="117">
        <v>41582</v>
      </c>
      <c r="B6885" s="116">
        <f t="shared" si="107"/>
        <v>111</v>
      </c>
    </row>
    <row r="6886" spans="1:2" x14ac:dyDescent="0.2">
      <c r="A6886" s="117">
        <v>41583</v>
      </c>
      <c r="B6886" s="116">
        <f t="shared" si="107"/>
        <v>111</v>
      </c>
    </row>
    <row r="6887" spans="1:2" x14ac:dyDescent="0.2">
      <c r="A6887" s="117">
        <v>41584</v>
      </c>
      <c r="B6887" s="116">
        <f t="shared" si="107"/>
        <v>111</v>
      </c>
    </row>
    <row r="6888" spans="1:2" x14ac:dyDescent="0.2">
      <c r="A6888" s="117">
        <v>41585</v>
      </c>
      <c r="B6888" s="116">
        <f t="shared" si="107"/>
        <v>111</v>
      </c>
    </row>
    <row r="6889" spans="1:2" x14ac:dyDescent="0.2">
      <c r="A6889" s="117">
        <v>41586</v>
      </c>
      <c r="B6889" s="116">
        <f t="shared" si="107"/>
        <v>111</v>
      </c>
    </row>
    <row r="6890" spans="1:2" x14ac:dyDescent="0.2">
      <c r="A6890" s="117">
        <v>41587</v>
      </c>
      <c r="B6890" s="116">
        <f t="shared" si="107"/>
        <v>111</v>
      </c>
    </row>
    <row r="6891" spans="1:2" x14ac:dyDescent="0.2">
      <c r="A6891" s="117">
        <v>41588</v>
      </c>
      <c r="B6891" s="116">
        <f t="shared" si="107"/>
        <v>112</v>
      </c>
    </row>
    <row r="6892" spans="1:2" x14ac:dyDescent="0.2">
      <c r="A6892" s="117">
        <v>41589</v>
      </c>
      <c r="B6892" s="116">
        <f t="shared" si="107"/>
        <v>112</v>
      </c>
    </row>
    <row r="6893" spans="1:2" x14ac:dyDescent="0.2">
      <c r="A6893" s="117">
        <v>41590</v>
      </c>
      <c r="B6893" s="116">
        <f t="shared" si="107"/>
        <v>112</v>
      </c>
    </row>
    <row r="6894" spans="1:2" x14ac:dyDescent="0.2">
      <c r="A6894" s="117">
        <v>41591</v>
      </c>
      <c r="B6894" s="116">
        <f t="shared" si="107"/>
        <v>112</v>
      </c>
    </row>
    <row r="6895" spans="1:2" x14ac:dyDescent="0.2">
      <c r="A6895" s="117">
        <v>41592</v>
      </c>
      <c r="B6895" s="116">
        <f t="shared" si="107"/>
        <v>112</v>
      </c>
    </row>
    <row r="6896" spans="1:2" x14ac:dyDescent="0.2">
      <c r="A6896" s="117">
        <v>41593</v>
      </c>
      <c r="B6896" s="116">
        <f t="shared" si="107"/>
        <v>112</v>
      </c>
    </row>
    <row r="6897" spans="1:2" x14ac:dyDescent="0.2">
      <c r="A6897" s="117">
        <v>41594</v>
      </c>
      <c r="B6897" s="116">
        <f t="shared" si="107"/>
        <v>112</v>
      </c>
    </row>
    <row r="6898" spans="1:2" x14ac:dyDescent="0.2">
      <c r="A6898" s="117">
        <v>41595</v>
      </c>
      <c r="B6898" s="116">
        <f t="shared" si="107"/>
        <v>113</v>
      </c>
    </row>
    <row r="6899" spans="1:2" x14ac:dyDescent="0.2">
      <c r="A6899" s="117">
        <v>41596</v>
      </c>
      <c r="B6899" s="116">
        <f t="shared" si="107"/>
        <v>113</v>
      </c>
    </row>
    <row r="6900" spans="1:2" x14ac:dyDescent="0.2">
      <c r="A6900" s="117">
        <v>41597</v>
      </c>
      <c r="B6900" s="116">
        <f t="shared" si="107"/>
        <v>113</v>
      </c>
    </row>
    <row r="6901" spans="1:2" x14ac:dyDescent="0.2">
      <c r="A6901" s="117">
        <v>41598</v>
      </c>
      <c r="B6901" s="116">
        <f t="shared" si="107"/>
        <v>113</v>
      </c>
    </row>
    <row r="6902" spans="1:2" x14ac:dyDescent="0.2">
      <c r="A6902" s="117">
        <v>41599</v>
      </c>
      <c r="B6902" s="116">
        <f t="shared" si="107"/>
        <v>113</v>
      </c>
    </row>
    <row r="6903" spans="1:2" x14ac:dyDescent="0.2">
      <c r="A6903" s="117">
        <v>41600</v>
      </c>
      <c r="B6903" s="116">
        <f t="shared" si="107"/>
        <v>113</v>
      </c>
    </row>
    <row r="6904" spans="1:2" x14ac:dyDescent="0.2">
      <c r="A6904" s="117">
        <v>41601</v>
      </c>
      <c r="B6904" s="116">
        <f t="shared" si="107"/>
        <v>113</v>
      </c>
    </row>
    <row r="6905" spans="1:2" x14ac:dyDescent="0.2">
      <c r="A6905" s="117">
        <v>41602</v>
      </c>
      <c r="B6905" s="116">
        <f t="shared" si="107"/>
        <v>114</v>
      </c>
    </row>
    <row r="6906" spans="1:2" x14ac:dyDescent="0.2">
      <c r="A6906" s="117">
        <v>41603</v>
      </c>
      <c r="B6906" s="116">
        <f t="shared" si="107"/>
        <v>114</v>
      </c>
    </row>
    <row r="6907" spans="1:2" x14ac:dyDescent="0.2">
      <c r="A6907" s="117">
        <v>41604</v>
      </c>
      <c r="B6907" s="116">
        <f t="shared" si="107"/>
        <v>114</v>
      </c>
    </row>
    <row r="6908" spans="1:2" x14ac:dyDescent="0.2">
      <c r="A6908" s="117">
        <v>41605</v>
      </c>
      <c r="B6908" s="116">
        <f t="shared" si="107"/>
        <v>114</v>
      </c>
    </row>
    <row r="6909" spans="1:2" x14ac:dyDescent="0.2">
      <c r="A6909" s="117">
        <v>41606</v>
      </c>
      <c r="B6909" s="116">
        <f t="shared" si="107"/>
        <v>114</v>
      </c>
    </row>
    <row r="6910" spans="1:2" x14ac:dyDescent="0.2">
      <c r="A6910" s="117">
        <v>41607</v>
      </c>
      <c r="B6910" s="116">
        <f t="shared" si="107"/>
        <v>114</v>
      </c>
    </row>
    <row r="6911" spans="1:2" x14ac:dyDescent="0.2">
      <c r="A6911" s="117">
        <v>41608</v>
      </c>
      <c r="B6911" s="116">
        <f t="shared" si="107"/>
        <v>114</v>
      </c>
    </row>
    <row r="6912" spans="1:2" x14ac:dyDescent="0.2">
      <c r="A6912" s="117">
        <v>41609</v>
      </c>
      <c r="B6912" s="116">
        <f t="shared" si="107"/>
        <v>115</v>
      </c>
    </row>
    <row r="6913" spans="1:2" x14ac:dyDescent="0.2">
      <c r="A6913" s="117">
        <v>41610</v>
      </c>
      <c r="B6913" s="116">
        <f t="shared" si="107"/>
        <v>115</v>
      </c>
    </row>
    <row r="6914" spans="1:2" x14ac:dyDescent="0.2">
      <c r="A6914" s="117">
        <v>41611</v>
      </c>
      <c r="B6914" s="116">
        <f t="shared" si="107"/>
        <v>115</v>
      </c>
    </row>
    <row r="6915" spans="1:2" x14ac:dyDescent="0.2">
      <c r="A6915" s="117">
        <v>41612</v>
      </c>
      <c r="B6915" s="116">
        <f t="shared" si="107"/>
        <v>115</v>
      </c>
    </row>
    <row r="6916" spans="1:2" x14ac:dyDescent="0.2">
      <c r="A6916" s="117">
        <v>41613</v>
      </c>
      <c r="B6916" s="116">
        <f t="shared" ref="B6916:B6943" si="108">VLOOKUP(WEEKNUM(A6916),$D$4:$E$59,2)</f>
        <v>115</v>
      </c>
    </row>
    <row r="6917" spans="1:2" x14ac:dyDescent="0.2">
      <c r="A6917" s="117">
        <v>41614</v>
      </c>
      <c r="B6917" s="116">
        <f t="shared" si="108"/>
        <v>115</v>
      </c>
    </row>
    <row r="6918" spans="1:2" x14ac:dyDescent="0.2">
      <c r="A6918" s="117">
        <v>41615</v>
      </c>
      <c r="B6918" s="116">
        <f t="shared" si="108"/>
        <v>115</v>
      </c>
    </row>
    <row r="6919" spans="1:2" x14ac:dyDescent="0.2">
      <c r="A6919" s="117">
        <v>41616</v>
      </c>
      <c r="B6919" s="116">
        <f t="shared" si="108"/>
        <v>121</v>
      </c>
    </row>
    <row r="6920" spans="1:2" x14ac:dyDescent="0.2">
      <c r="A6920" s="117">
        <v>41617</v>
      </c>
      <c r="B6920" s="116">
        <f t="shared" si="108"/>
        <v>121</v>
      </c>
    </row>
    <row r="6921" spans="1:2" x14ac:dyDescent="0.2">
      <c r="A6921" s="117">
        <v>41618</v>
      </c>
      <c r="B6921" s="116">
        <f t="shared" si="108"/>
        <v>121</v>
      </c>
    </row>
    <row r="6922" spans="1:2" x14ac:dyDescent="0.2">
      <c r="A6922" s="117">
        <v>41619</v>
      </c>
      <c r="B6922" s="116">
        <f t="shared" si="108"/>
        <v>121</v>
      </c>
    </row>
    <row r="6923" spans="1:2" x14ac:dyDescent="0.2">
      <c r="A6923" s="117">
        <v>41620</v>
      </c>
      <c r="B6923" s="116">
        <f t="shared" si="108"/>
        <v>121</v>
      </c>
    </row>
    <row r="6924" spans="1:2" x14ac:dyDescent="0.2">
      <c r="A6924" s="117">
        <v>41621</v>
      </c>
      <c r="B6924" s="116">
        <f t="shared" si="108"/>
        <v>121</v>
      </c>
    </row>
    <row r="6925" spans="1:2" x14ac:dyDescent="0.2">
      <c r="A6925" s="117">
        <v>41622</v>
      </c>
      <c r="B6925" s="116">
        <f t="shared" si="108"/>
        <v>121</v>
      </c>
    </row>
    <row r="6926" spans="1:2" x14ac:dyDescent="0.2">
      <c r="A6926" s="117">
        <v>41623</v>
      </c>
      <c r="B6926" s="116">
        <f t="shared" si="108"/>
        <v>122</v>
      </c>
    </row>
    <row r="6927" spans="1:2" x14ac:dyDescent="0.2">
      <c r="A6927" s="117">
        <v>41624</v>
      </c>
      <c r="B6927" s="116">
        <f t="shared" si="108"/>
        <v>122</v>
      </c>
    </row>
    <row r="6928" spans="1:2" x14ac:dyDescent="0.2">
      <c r="A6928" s="117">
        <v>41625</v>
      </c>
      <c r="B6928" s="116">
        <f t="shared" si="108"/>
        <v>122</v>
      </c>
    </row>
    <row r="6929" spans="1:2" x14ac:dyDescent="0.2">
      <c r="A6929" s="117">
        <v>41626</v>
      </c>
      <c r="B6929" s="116">
        <f t="shared" si="108"/>
        <v>122</v>
      </c>
    </row>
    <row r="6930" spans="1:2" x14ac:dyDescent="0.2">
      <c r="A6930" s="117">
        <v>41627</v>
      </c>
      <c r="B6930" s="116">
        <f t="shared" si="108"/>
        <v>122</v>
      </c>
    </row>
    <row r="6931" spans="1:2" x14ac:dyDescent="0.2">
      <c r="A6931" s="117">
        <v>41628</v>
      </c>
      <c r="B6931" s="116">
        <f t="shared" si="108"/>
        <v>122</v>
      </c>
    </row>
    <row r="6932" spans="1:2" x14ac:dyDescent="0.2">
      <c r="A6932" s="117">
        <v>41629</v>
      </c>
      <c r="B6932" s="116">
        <f t="shared" si="108"/>
        <v>122</v>
      </c>
    </row>
    <row r="6933" spans="1:2" x14ac:dyDescent="0.2">
      <c r="A6933" s="117">
        <v>41630</v>
      </c>
      <c r="B6933" s="116">
        <f t="shared" si="108"/>
        <v>123</v>
      </c>
    </row>
    <row r="6934" spans="1:2" x14ac:dyDescent="0.2">
      <c r="A6934" s="117">
        <v>41631</v>
      </c>
      <c r="B6934" s="116">
        <f t="shared" si="108"/>
        <v>123</v>
      </c>
    </row>
    <row r="6935" spans="1:2" x14ac:dyDescent="0.2">
      <c r="A6935" s="117">
        <v>41632</v>
      </c>
      <c r="B6935" s="116">
        <f t="shared" si="108"/>
        <v>123</v>
      </c>
    </row>
    <row r="6936" spans="1:2" x14ac:dyDescent="0.2">
      <c r="A6936" s="117">
        <v>41633</v>
      </c>
      <c r="B6936" s="116">
        <f t="shared" si="108"/>
        <v>123</v>
      </c>
    </row>
    <row r="6937" spans="1:2" x14ac:dyDescent="0.2">
      <c r="A6937" s="117">
        <v>41634</v>
      </c>
      <c r="B6937" s="116">
        <f t="shared" si="108"/>
        <v>123</v>
      </c>
    </row>
    <row r="6938" spans="1:2" x14ac:dyDescent="0.2">
      <c r="A6938" s="117">
        <v>41635</v>
      </c>
      <c r="B6938" s="116">
        <f t="shared" si="108"/>
        <v>123</v>
      </c>
    </row>
    <row r="6939" spans="1:2" x14ac:dyDescent="0.2">
      <c r="A6939" s="117">
        <v>41636</v>
      </c>
      <c r="B6939" s="116">
        <f t="shared" si="108"/>
        <v>123</v>
      </c>
    </row>
    <row r="6940" spans="1:2" x14ac:dyDescent="0.2">
      <c r="A6940" s="117">
        <v>41637</v>
      </c>
      <c r="B6940" s="116">
        <f t="shared" si="108"/>
        <v>124</v>
      </c>
    </row>
    <row r="6941" spans="1:2" x14ac:dyDescent="0.2">
      <c r="A6941" s="117">
        <v>41638</v>
      </c>
      <c r="B6941" s="116">
        <f t="shared" si="108"/>
        <v>124</v>
      </c>
    </row>
    <row r="6942" spans="1:2" x14ac:dyDescent="0.2">
      <c r="A6942" s="117">
        <v>41639</v>
      </c>
      <c r="B6942" s="116">
        <f t="shared" si="108"/>
        <v>124</v>
      </c>
    </row>
    <row r="6943" spans="1:2" x14ac:dyDescent="0.2">
      <c r="A6943" s="117">
        <v>41640</v>
      </c>
      <c r="B6943" s="116">
        <f t="shared" si="108"/>
        <v>11</v>
      </c>
    </row>
    <row r="6944" spans="1:2" x14ac:dyDescent="0.2">
      <c r="A6944" s="117">
        <v>41641</v>
      </c>
      <c r="B6944" s="116">
        <f t="shared" ref="B6944:B6949" si="109">VLOOKUP(WEEKNUM(A6944),$D$4:$E$59,2)</f>
        <v>11</v>
      </c>
    </row>
    <row r="6945" spans="1:2" x14ac:dyDescent="0.2">
      <c r="A6945" s="117">
        <v>41642</v>
      </c>
      <c r="B6945" s="116">
        <f t="shared" si="109"/>
        <v>11</v>
      </c>
    </row>
    <row r="6946" spans="1:2" x14ac:dyDescent="0.2">
      <c r="A6946" s="117">
        <v>41643</v>
      </c>
      <c r="B6946" s="116">
        <f t="shared" si="109"/>
        <v>11</v>
      </c>
    </row>
    <row r="6947" spans="1:2" x14ac:dyDescent="0.2">
      <c r="A6947" s="117">
        <v>41644</v>
      </c>
      <c r="B6947" s="116">
        <f t="shared" si="109"/>
        <v>12</v>
      </c>
    </row>
    <row r="6948" spans="1:2" x14ac:dyDescent="0.2">
      <c r="A6948" s="117">
        <v>41645</v>
      </c>
      <c r="B6948" s="116">
        <f t="shared" si="109"/>
        <v>12</v>
      </c>
    </row>
    <row r="6949" spans="1:2" x14ac:dyDescent="0.2">
      <c r="A6949" s="117">
        <v>41646</v>
      </c>
      <c r="B6949" s="116">
        <f t="shared" si="109"/>
        <v>12</v>
      </c>
    </row>
    <row r="6950" spans="1:2" x14ac:dyDescent="0.2">
      <c r="A6950" s="117">
        <v>41647</v>
      </c>
      <c r="B6950" s="116">
        <f t="shared" ref="B6950:B7013" si="110">VLOOKUP(WEEKNUM(A6950),$D$4:$E$59,2)</f>
        <v>12</v>
      </c>
    </row>
    <row r="6951" spans="1:2" x14ac:dyDescent="0.2">
      <c r="A6951" s="117">
        <v>41648</v>
      </c>
      <c r="B6951" s="116">
        <f t="shared" si="110"/>
        <v>12</v>
      </c>
    </row>
    <row r="6952" spans="1:2" x14ac:dyDescent="0.2">
      <c r="A6952" s="117">
        <v>41649</v>
      </c>
      <c r="B6952" s="116">
        <f t="shared" si="110"/>
        <v>12</v>
      </c>
    </row>
    <row r="6953" spans="1:2" x14ac:dyDescent="0.2">
      <c r="A6953" s="117">
        <v>41650</v>
      </c>
      <c r="B6953" s="116">
        <f t="shared" si="110"/>
        <v>12</v>
      </c>
    </row>
    <row r="6954" spans="1:2" x14ac:dyDescent="0.2">
      <c r="A6954" s="117">
        <v>41651</v>
      </c>
      <c r="B6954" s="116">
        <f t="shared" si="110"/>
        <v>13</v>
      </c>
    </row>
    <row r="6955" spans="1:2" x14ac:dyDescent="0.2">
      <c r="A6955" s="117">
        <v>41652</v>
      </c>
      <c r="B6955" s="116">
        <f t="shared" si="110"/>
        <v>13</v>
      </c>
    </row>
    <row r="6956" spans="1:2" x14ac:dyDescent="0.2">
      <c r="A6956" s="117">
        <v>41653</v>
      </c>
      <c r="B6956" s="116">
        <f t="shared" si="110"/>
        <v>13</v>
      </c>
    </row>
    <row r="6957" spans="1:2" x14ac:dyDescent="0.2">
      <c r="A6957" s="117">
        <v>41654</v>
      </c>
      <c r="B6957" s="116">
        <f t="shared" si="110"/>
        <v>13</v>
      </c>
    </row>
    <row r="6958" spans="1:2" x14ac:dyDescent="0.2">
      <c r="A6958" s="117">
        <v>41655</v>
      </c>
      <c r="B6958" s="116">
        <f t="shared" si="110"/>
        <v>13</v>
      </c>
    </row>
    <row r="6959" spans="1:2" x14ac:dyDescent="0.2">
      <c r="A6959" s="117">
        <v>41656</v>
      </c>
      <c r="B6959" s="116">
        <f t="shared" si="110"/>
        <v>13</v>
      </c>
    </row>
    <row r="6960" spans="1:2" x14ac:dyDescent="0.2">
      <c r="A6960" s="117">
        <v>41657</v>
      </c>
      <c r="B6960" s="116">
        <f t="shared" si="110"/>
        <v>13</v>
      </c>
    </row>
    <row r="6961" spans="1:2" x14ac:dyDescent="0.2">
      <c r="A6961" s="117">
        <v>41658</v>
      </c>
      <c r="B6961" s="116">
        <f t="shared" si="110"/>
        <v>14</v>
      </c>
    </row>
    <row r="6962" spans="1:2" x14ac:dyDescent="0.2">
      <c r="A6962" s="117">
        <v>41659</v>
      </c>
      <c r="B6962" s="116">
        <f t="shared" si="110"/>
        <v>14</v>
      </c>
    </row>
    <row r="6963" spans="1:2" x14ac:dyDescent="0.2">
      <c r="A6963" s="117">
        <v>41660</v>
      </c>
      <c r="B6963" s="116">
        <f t="shared" si="110"/>
        <v>14</v>
      </c>
    </row>
    <row r="6964" spans="1:2" x14ac:dyDescent="0.2">
      <c r="A6964" s="117">
        <v>41661</v>
      </c>
      <c r="B6964" s="116">
        <f t="shared" si="110"/>
        <v>14</v>
      </c>
    </row>
    <row r="6965" spans="1:2" x14ac:dyDescent="0.2">
      <c r="A6965" s="117">
        <v>41662</v>
      </c>
      <c r="B6965" s="116">
        <f t="shared" si="110"/>
        <v>14</v>
      </c>
    </row>
    <row r="6966" spans="1:2" x14ac:dyDescent="0.2">
      <c r="A6966" s="117">
        <v>41663</v>
      </c>
      <c r="B6966" s="116">
        <f t="shared" si="110"/>
        <v>14</v>
      </c>
    </row>
    <row r="6967" spans="1:2" x14ac:dyDescent="0.2">
      <c r="A6967" s="117">
        <v>41664</v>
      </c>
      <c r="B6967" s="116">
        <f t="shared" si="110"/>
        <v>14</v>
      </c>
    </row>
    <row r="6968" spans="1:2" x14ac:dyDescent="0.2">
      <c r="A6968" s="117">
        <v>41665</v>
      </c>
      <c r="B6968" s="116">
        <f t="shared" si="110"/>
        <v>15</v>
      </c>
    </row>
    <row r="6969" spans="1:2" x14ac:dyDescent="0.2">
      <c r="A6969" s="117">
        <v>41666</v>
      </c>
      <c r="B6969" s="116">
        <f t="shared" si="110"/>
        <v>15</v>
      </c>
    </row>
    <row r="6970" spans="1:2" x14ac:dyDescent="0.2">
      <c r="A6970" s="117">
        <v>41667</v>
      </c>
      <c r="B6970" s="116">
        <f t="shared" si="110"/>
        <v>15</v>
      </c>
    </row>
    <row r="6971" spans="1:2" x14ac:dyDescent="0.2">
      <c r="A6971" s="117">
        <v>41668</v>
      </c>
      <c r="B6971" s="116">
        <f t="shared" si="110"/>
        <v>15</v>
      </c>
    </row>
    <row r="6972" spans="1:2" x14ac:dyDescent="0.2">
      <c r="A6972" s="117">
        <v>41669</v>
      </c>
      <c r="B6972" s="116">
        <f t="shared" si="110"/>
        <v>15</v>
      </c>
    </row>
    <row r="6973" spans="1:2" x14ac:dyDescent="0.2">
      <c r="A6973" s="117">
        <v>41670</v>
      </c>
      <c r="B6973" s="116">
        <f t="shared" si="110"/>
        <v>15</v>
      </c>
    </row>
    <row r="6974" spans="1:2" x14ac:dyDescent="0.2">
      <c r="A6974" s="117">
        <v>41671</v>
      </c>
      <c r="B6974" s="116">
        <f t="shared" si="110"/>
        <v>15</v>
      </c>
    </row>
    <row r="6975" spans="1:2" x14ac:dyDescent="0.2">
      <c r="A6975" s="117">
        <v>41672</v>
      </c>
      <c r="B6975" s="116">
        <f t="shared" si="110"/>
        <v>21</v>
      </c>
    </row>
    <row r="6976" spans="1:2" x14ac:dyDescent="0.2">
      <c r="A6976" s="117">
        <v>41673</v>
      </c>
      <c r="B6976" s="116">
        <f t="shared" si="110"/>
        <v>21</v>
      </c>
    </row>
    <row r="6977" spans="1:2" x14ac:dyDescent="0.2">
      <c r="A6977" s="117">
        <v>41674</v>
      </c>
      <c r="B6977" s="116">
        <f t="shared" si="110"/>
        <v>21</v>
      </c>
    </row>
    <row r="6978" spans="1:2" x14ac:dyDescent="0.2">
      <c r="A6978" s="117">
        <v>41675</v>
      </c>
      <c r="B6978" s="116">
        <f t="shared" si="110"/>
        <v>21</v>
      </c>
    </row>
    <row r="6979" spans="1:2" x14ac:dyDescent="0.2">
      <c r="A6979" s="117">
        <v>41676</v>
      </c>
      <c r="B6979" s="116">
        <f t="shared" si="110"/>
        <v>21</v>
      </c>
    </row>
    <row r="6980" spans="1:2" x14ac:dyDescent="0.2">
      <c r="A6980" s="117">
        <v>41677</v>
      </c>
      <c r="B6980" s="116">
        <f t="shared" si="110"/>
        <v>21</v>
      </c>
    </row>
    <row r="6981" spans="1:2" x14ac:dyDescent="0.2">
      <c r="A6981" s="117">
        <v>41678</v>
      </c>
      <c r="B6981" s="116">
        <f t="shared" si="110"/>
        <v>21</v>
      </c>
    </row>
    <row r="6982" spans="1:2" x14ac:dyDescent="0.2">
      <c r="A6982" s="117">
        <v>41679</v>
      </c>
      <c r="B6982" s="116">
        <f t="shared" si="110"/>
        <v>22</v>
      </c>
    </row>
    <row r="6983" spans="1:2" x14ac:dyDescent="0.2">
      <c r="A6983" s="117">
        <v>41680</v>
      </c>
      <c r="B6983" s="116">
        <f t="shared" si="110"/>
        <v>22</v>
      </c>
    </row>
    <row r="6984" spans="1:2" x14ac:dyDescent="0.2">
      <c r="A6984" s="117">
        <v>41681</v>
      </c>
      <c r="B6984" s="116">
        <f t="shared" si="110"/>
        <v>22</v>
      </c>
    </row>
    <row r="6985" spans="1:2" x14ac:dyDescent="0.2">
      <c r="A6985" s="117">
        <v>41682</v>
      </c>
      <c r="B6985" s="116">
        <f t="shared" si="110"/>
        <v>22</v>
      </c>
    </row>
    <row r="6986" spans="1:2" x14ac:dyDescent="0.2">
      <c r="A6986" s="117">
        <v>41683</v>
      </c>
      <c r="B6986" s="116">
        <f t="shared" si="110"/>
        <v>22</v>
      </c>
    </row>
    <row r="6987" spans="1:2" x14ac:dyDescent="0.2">
      <c r="A6987" s="117">
        <v>41684</v>
      </c>
      <c r="B6987" s="116">
        <f t="shared" si="110"/>
        <v>22</v>
      </c>
    </row>
    <row r="6988" spans="1:2" x14ac:dyDescent="0.2">
      <c r="A6988" s="117">
        <v>41685</v>
      </c>
      <c r="B6988" s="116">
        <f t="shared" si="110"/>
        <v>22</v>
      </c>
    </row>
    <row r="6989" spans="1:2" x14ac:dyDescent="0.2">
      <c r="A6989" s="117">
        <v>41686</v>
      </c>
      <c r="B6989" s="116">
        <f t="shared" si="110"/>
        <v>23</v>
      </c>
    </row>
    <row r="6990" spans="1:2" x14ac:dyDescent="0.2">
      <c r="A6990" s="117">
        <v>41687</v>
      </c>
      <c r="B6990" s="116">
        <f t="shared" si="110"/>
        <v>23</v>
      </c>
    </row>
    <row r="6991" spans="1:2" x14ac:dyDescent="0.2">
      <c r="A6991" s="117">
        <v>41688</v>
      </c>
      <c r="B6991" s="116">
        <f t="shared" si="110"/>
        <v>23</v>
      </c>
    </row>
    <row r="6992" spans="1:2" x14ac:dyDescent="0.2">
      <c r="A6992" s="117">
        <v>41689</v>
      </c>
      <c r="B6992" s="116">
        <f t="shared" si="110"/>
        <v>23</v>
      </c>
    </row>
    <row r="6993" spans="1:2" x14ac:dyDescent="0.2">
      <c r="A6993" s="117">
        <v>41690</v>
      </c>
      <c r="B6993" s="116">
        <f t="shared" si="110"/>
        <v>23</v>
      </c>
    </row>
    <row r="6994" spans="1:2" x14ac:dyDescent="0.2">
      <c r="A6994" s="117">
        <v>41691</v>
      </c>
      <c r="B6994" s="116">
        <f t="shared" si="110"/>
        <v>23</v>
      </c>
    </row>
    <row r="6995" spans="1:2" x14ac:dyDescent="0.2">
      <c r="A6995" s="117">
        <v>41692</v>
      </c>
      <c r="B6995" s="116">
        <f t="shared" si="110"/>
        <v>23</v>
      </c>
    </row>
    <row r="6996" spans="1:2" x14ac:dyDescent="0.2">
      <c r="A6996" s="117">
        <v>41693</v>
      </c>
      <c r="B6996" s="116">
        <f t="shared" si="110"/>
        <v>24</v>
      </c>
    </row>
    <row r="6997" spans="1:2" x14ac:dyDescent="0.2">
      <c r="A6997" s="117">
        <v>41694</v>
      </c>
      <c r="B6997" s="116">
        <f t="shared" si="110"/>
        <v>24</v>
      </c>
    </row>
    <row r="6998" spans="1:2" x14ac:dyDescent="0.2">
      <c r="A6998" s="117">
        <v>41695</v>
      </c>
      <c r="B6998" s="116">
        <f t="shared" si="110"/>
        <v>24</v>
      </c>
    </row>
    <row r="6999" spans="1:2" x14ac:dyDescent="0.2">
      <c r="A6999" s="117">
        <v>41696</v>
      </c>
      <c r="B6999" s="116">
        <f t="shared" si="110"/>
        <v>24</v>
      </c>
    </row>
    <row r="7000" spans="1:2" x14ac:dyDescent="0.2">
      <c r="A7000" s="117">
        <v>41697</v>
      </c>
      <c r="B7000" s="116">
        <f t="shared" si="110"/>
        <v>24</v>
      </c>
    </row>
    <row r="7001" spans="1:2" x14ac:dyDescent="0.2">
      <c r="A7001" s="117">
        <v>41698</v>
      </c>
      <c r="B7001" s="116">
        <f t="shared" si="110"/>
        <v>24</v>
      </c>
    </row>
    <row r="7002" spans="1:2" x14ac:dyDescent="0.2">
      <c r="A7002" s="117">
        <v>41699</v>
      </c>
      <c r="B7002" s="116">
        <f t="shared" si="110"/>
        <v>24</v>
      </c>
    </row>
    <row r="7003" spans="1:2" x14ac:dyDescent="0.2">
      <c r="A7003" s="117">
        <v>41700</v>
      </c>
      <c r="B7003" s="116">
        <f t="shared" si="110"/>
        <v>31</v>
      </c>
    </row>
    <row r="7004" spans="1:2" x14ac:dyDescent="0.2">
      <c r="A7004" s="117">
        <v>41701</v>
      </c>
      <c r="B7004" s="116">
        <f t="shared" si="110"/>
        <v>31</v>
      </c>
    </row>
    <row r="7005" spans="1:2" x14ac:dyDescent="0.2">
      <c r="A7005" s="117">
        <v>41702</v>
      </c>
      <c r="B7005" s="116">
        <f t="shared" si="110"/>
        <v>31</v>
      </c>
    </row>
    <row r="7006" spans="1:2" x14ac:dyDescent="0.2">
      <c r="A7006" s="117">
        <v>41703</v>
      </c>
      <c r="B7006" s="116">
        <f t="shared" si="110"/>
        <v>31</v>
      </c>
    </row>
    <row r="7007" spans="1:2" x14ac:dyDescent="0.2">
      <c r="A7007" s="117">
        <v>41704</v>
      </c>
      <c r="B7007" s="116">
        <f t="shared" si="110"/>
        <v>31</v>
      </c>
    </row>
    <row r="7008" spans="1:2" x14ac:dyDescent="0.2">
      <c r="A7008" s="117">
        <v>41705</v>
      </c>
      <c r="B7008" s="116">
        <f t="shared" si="110"/>
        <v>31</v>
      </c>
    </row>
    <row r="7009" spans="1:2" x14ac:dyDescent="0.2">
      <c r="A7009" s="117">
        <v>41706</v>
      </c>
      <c r="B7009" s="116">
        <f t="shared" si="110"/>
        <v>31</v>
      </c>
    </row>
    <row r="7010" spans="1:2" x14ac:dyDescent="0.2">
      <c r="A7010" s="117">
        <v>41707</v>
      </c>
      <c r="B7010" s="116">
        <f t="shared" si="110"/>
        <v>32</v>
      </c>
    </row>
    <row r="7011" spans="1:2" x14ac:dyDescent="0.2">
      <c r="A7011" s="117">
        <v>41708</v>
      </c>
      <c r="B7011" s="116">
        <f t="shared" si="110"/>
        <v>32</v>
      </c>
    </row>
    <row r="7012" spans="1:2" x14ac:dyDescent="0.2">
      <c r="A7012" s="117">
        <v>41709</v>
      </c>
      <c r="B7012" s="116">
        <f t="shared" si="110"/>
        <v>32</v>
      </c>
    </row>
    <row r="7013" spans="1:2" x14ac:dyDescent="0.2">
      <c r="A7013" s="117">
        <v>41710</v>
      </c>
      <c r="B7013" s="116">
        <f t="shared" si="110"/>
        <v>32</v>
      </c>
    </row>
    <row r="7014" spans="1:2" x14ac:dyDescent="0.2">
      <c r="A7014" s="117">
        <v>41711</v>
      </c>
      <c r="B7014" s="116">
        <f t="shared" ref="B7014:B7077" si="111">VLOOKUP(WEEKNUM(A7014),$D$4:$E$59,2)</f>
        <v>32</v>
      </c>
    </row>
    <row r="7015" spans="1:2" x14ac:dyDescent="0.2">
      <c r="A7015" s="117">
        <v>41712</v>
      </c>
      <c r="B7015" s="116">
        <f t="shared" si="111"/>
        <v>32</v>
      </c>
    </row>
    <row r="7016" spans="1:2" x14ac:dyDescent="0.2">
      <c r="A7016" s="117">
        <v>41713</v>
      </c>
      <c r="B7016" s="116">
        <f t="shared" si="111"/>
        <v>32</v>
      </c>
    </row>
    <row r="7017" spans="1:2" x14ac:dyDescent="0.2">
      <c r="A7017" s="117">
        <v>41714</v>
      </c>
      <c r="B7017" s="116">
        <f t="shared" si="111"/>
        <v>33</v>
      </c>
    </row>
    <row r="7018" spans="1:2" x14ac:dyDescent="0.2">
      <c r="A7018" s="117">
        <v>41715</v>
      </c>
      <c r="B7018" s="116">
        <f t="shared" si="111"/>
        <v>33</v>
      </c>
    </row>
    <row r="7019" spans="1:2" x14ac:dyDescent="0.2">
      <c r="A7019" s="117">
        <v>41716</v>
      </c>
      <c r="B7019" s="116">
        <f t="shared" si="111"/>
        <v>33</v>
      </c>
    </row>
    <row r="7020" spans="1:2" x14ac:dyDescent="0.2">
      <c r="A7020" s="117">
        <v>41717</v>
      </c>
      <c r="B7020" s="116">
        <f t="shared" si="111"/>
        <v>33</v>
      </c>
    </row>
    <row r="7021" spans="1:2" x14ac:dyDescent="0.2">
      <c r="A7021" s="117">
        <v>41718</v>
      </c>
      <c r="B7021" s="116">
        <f t="shared" si="111"/>
        <v>33</v>
      </c>
    </row>
    <row r="7022" spans="1:2" x14ac:dyDescent="0.2">
      <c r="A7022" s="117">
        <v>41719</v>
      </c>
      <c r="B7022" s="116">
        <f t="shared" si="111"/>
        <v>33</v>
      </c>
    </row>
    <row r="7023" spans="1:2" x14ac:dyDescent="0.2">
      <c r="A7023" s="117">
        <v>41720</v>
      </c>
      <c r="B7023" s="116">
        <f t="shared" si="111"/>
        <v>33</v>
      </c>
    </row>
    <row r="7024" spans="1:2" x14ac:dyDescent="0.2">
      <c r="A7024" s="117">
        <v>41721</v>
      </c>
      <c r="B7024" s="116">
        <f t="shared" si="111"/>
        <v>34</v>
      </c>
    </row>
    <row r="7025" spans="1:2" x14ac:dyDescent="0.2">
      <c r="A7025" s="117">
        <v>41722</v>
      </c>
      <c r="B7025" s="116">
        <f t="shared" si="111"/>
        <v>34</v>
      </c>
    </row>
    <row r="7026" spans="1:2" x14ac:dyDescent="0.2">
      <c r="A7026" s="117">
        <v>41723</v>
      </c>
      <c r="B7026" s="116">
        <f t="shared" si="111"/>
        <v>34</v>
      </c>
    </row>
    <row r="7027" spans="1:2" x14ac:dyDescent="0.2">
      <c r="A7027" s="117">
        <v>41724</v>
      </c>
      <c r="B7027" s="116">
        <f t="shared" si="111"/>
        <v>34</v>
      </c>
    </row>
    <row r="7028" spans="1:2" x14ac:dyDescent="0.2">
      <c r="A7028" s="117">
        <v>41725</v>
      </c>
      <c r="B7028" s="116">
        <f t="shared" si="111"/>
        <v>34</v>
      </c>
    </row>
    <row r="7029" spans="1:2" x14ac:dyDescent="0.2">
      <c r="A7029" s="117">
        <v>41726</v>
      </c>
      <c r="B7029" s="116">
        <f t="shared" si="111"/>
        <v>34</v>
      </c>
    </row>
    <row r="7030" spans="1:2" x14ac:dyDescent="0.2">
      <c r="A7030" s="117">
        <v>41727</v>
      </c>
      <c r="B7030" s="116">
        <f t="shared" si="111"/>
        <v>34</v>
      </c>
    </row>
    <row r="7031" spans="1:2" x14ac:dyDescent="0.2">
      <c r="A7031" s="117">
        <v>41728</v>
      </c>
      <c r="B7031" s="116">
        <f t="shared" si="111"/>
        <v>41</v>
      </c>
    </row>
    <row r="7032" spans="1:2" x14ac:dyDescent="0.2">
      <c r="A7032" s="117">
        <v>41729</v>
      </c>
      <c r="B7032" s="116">
        <f t="shared" si="111"/>
        <v>41</v>
      </c>
    </row>
    <row r="7033" spans="1:2" x14ac:dyDescent="0.2">
      <c r="A7033" s="117">
        <v>41730</v>
      </c>
      <c r="B7033" s="116">
        <f t="shared" si="111"/>
        <v>41</v>
      </c>
    </row>
    <row r="7034" spans="1:2" x14ac:dyDescent="0.2">
      <c r="A7034" s="117">
        <v>41731</v>
      </c>
      <c r="B7034" s="116">
        <f t="shared" si="111"/>
        <v>41</v>
      </c>
    </row>
    <row r="7035" spans="1:2" x14ac:dyDescent="0.2">
      <c r="A7035" s="117">
        <v>41732</v>
      </c>
      <c r="B7035" s="116">
        <f t="shared" si="111"/>
        <v>41</v>
      </c>
    </row>
    <row r="7036" spans="1:2" x14ac:dyDescent="0.2">
      <c r="A7036" s="117">
        <v>41733</v>
      </c>
      <c r="B7036" s="116">
        <f t="shared" si="111"/>
        <v>41</v>
      </c>
    </row>
    <row r="7037" spans="1:2" x14ac:dyDescent="0.2">
      <c r="A7037" s="117">
        <v>41734</v>
      </c>
      <c r="B7037" s="116">
        <f t="shared" si="111"/>
        <v>41</v>
      </c>
    </row>
    <row r="7038" spans="1:2" x14ac:dyDescent="0.2">
      <c r="A7038" s="117">
        <v>41735</v>
      </c>
      <c r="B7038" s="116">
        <f t="shared" si="111"/>
        <v>42</v>
      </c>
    </row>
    <row r="7039" spans="1:2" x14ac:dyDescent="0.2">
      <c r="A7039" s="117">
        <v>41736</v>
      </c>
      <c r="B7039" s="116">
        <f t="shared" si="111"/>
        <v>42</v>
      </c>
    </row>
    <row r="7040" spans="1:2" x14ac:dyDescent="0.2">
      <c r="A7040" s="117">
        <v>41737</v>
      </c>
      <c r="B7040" s="116">
        <f t="shared" si="111"/>
        <v>42</v>
      </c>
    </row>
    <row r="7041" spans="1:2" x14ac:dyDescent="0.2">
      <c r="A7041" s="117">
        <v>41738</v>
      </c>
      <c r="B7041" s="116">
        <f t="shared" si="111"/>
        <v>42</v>
      </c>
    </row>
    <row r="7042" spans="1:2" x14ac:dyDescent="0.2">
      <c r="A7042" s="117">
        <v>41739</v>
      </c>
      <c r="B7042" s="116">
        <f t="shared" si="111"/>
        <v>42</v>
      </c>
    </row>
    <row r="7043" spans="1:2" x14ac:dyDescent="0.2">
      <c r="A7043" s="117">
        <v>41740</v>
      </c>
      <c r="B7043" s="116">
        <f t="shared" si="111"/>
        <v>42</v>
      </c>
    </row>
    <row r="7044" spans="1:2" x14ac:dyDescent="0.2">
      <c r="A7044" s="117">
        <v>41741</v>
      </c>
      <c r="B7044" s="116">
        <f t="shared" si="111"/>
        <v>42</v>
      </c>
    </row>
    <row r="7045" spans="1:2" x14ac:dyDescent="0.2">
      <c r="A7045" s="117">
        <v>41742</v>
      </c>
      <c r="B7045" s="116">
        <f t="shared" si="111"/>
        <v>43</v>
      </c>
    </row>
    <row r="7046" spans="1:2" x14ac:dyDescent="0.2">
      <c r="A7046" s="117">
        <v>41743</v>
      </c>
      <c r="B7046" s="116">
        <f t="shared" si="111"/>
        <v>43</v>
      </c>
    </row>
    <row r="7047" spans="1:2" x14ac:dyDescent="0.2">
      <c r="A7047" s="117">
        <v>41744</v>
      </c>
      <c r="B7047" s="116">
        <f t="shared" si="111"/>
        <v>43</v>
      </c>
    </row>
    <row r="7048" spans="1:2" x14ac:dyDescent="0.2">
      <c r="A7048" s="117">
        <v>41745</v>
      </c>
      <c r="B7048" s="116">
        <f t="shared" si="111"/>
        <v>43</v>
      </c>
    </row>
    <row r="7049" spans="1:2" x14ac:dyDescent="0.2">
      <c r="A7049" s="117">
        <v>41746</v>
      </c>
      <c r="B7049" s="116">
        <f t="shared" si="111"/>
        <v>43</v>
      </c>
    </row>
    <row r="7050" spans="1:2" x14ac:dyDescent="0.2">
      <c r="A7050" s="117">
        <v>41747</v>
      </c>
      <c r="B7050" s="116">
        <f t="shared" si="111"/>
        <v>43</v>
      </c>
    </row>
    <row r="7051" spans="1:2" x14ac:dyDescent="0.2">
      <c r="A7051" s="117">
        <v>41748</v>
      </c>
      <c r="B7051" s="116">
        <f t="shared" si="111"/>
        <v>43</v>
      </c>
    </row>
    <row r="7052" spans="1:2" x14ac:dyDescent="0.2">
      <c r="A7052" s="117">
        <v>41749</v>
      </c>
      <c r="B7052" s="116">
        <f t="shared" si="111"/>
        <v>44</v>
      </c>
    </row>
    <row r="7053" spans="1:2" x14ac:dyDescent="0.2">
      <c r="A7053" s="117">
        <v>41750</v>
      </c>
      <c r="B7053" s="116">
        <f t="shared" si="111"/>
        <v>44</v>
      </c>
    </row>
    <row r="7054" spans="1:2" x14ac:dyDescent="0.2">
      <c r="A7054" s="117">
        <v>41751</v>
      </c>
      <c r="B7054" s="116">
        <f t="shared" si="111"/>
        <v>44</v>
      </c>
    </row>
    <row r="7055" spans="1:2" x14ac:dyDescent="0.2">
      <c r="A7055" s="117">
        <v>41752</v>
      </c>
      <c r="B7055" s="116">
        <f t="shared" si="111"/>
        <v>44</v>
      </c>
    </row>
    <row r="7056" spans="1:2" x14ac:dyDescent="0.2">
      <c r="A7056" s="117">
        <v>41753</v>
      </c>
      <c r="B7056" s="116">
        <f t="shared" si="111"/>
        <v>44</v>
      </c>
    </row>
    <row r="7057" spans="1:2" x14ac:dyDescent="0.2">
      <c r="A7057" s="117">
        <v>41754</v>
      </c>
      <c r="B7057" s="116">
        <f t="shared" si="111"/>
        <v>44</v>
      </c>
    </row>
    <row r="7058" spans="1:2" x14ac:dyDescent="0.2">
      <c r="A7058" s="117">
        <v>41755</v>
      </c>
      <c r="B7058" s="116">
        <f t="shared" si="111"/>
        <v>44</v>
      </c>
    </row>
    <row r="7059" spans="1:2" x14ac:dyDescent="0.2">
      <c r="A7059" s="117">
        <v>41756</v>
      </c>
      <c r="B7059" s="116">
        <f t="shared" si="111"/>
        <v>45</v>
      </c>
    </row>
    <row r="7060" spans="1:2" x14ac:dyDescent="0.2">
      <c r="A7060" s="117">
        <v>41757</v>
      </c>
      <c r="B7060" s="116">
        <f t="shared" si="111"/>
        <v>45</v>
      </c>
    </row>
    <row r="7061" spans="1:2" x14ac:dyDescent="0.2">
      <c r="A7061" s="117">
        <v>41758</v>
      </c>
      <c r="B7061" s="116">
        <f t="shared" si="111"/>
        <v>45</v>
      </c>
    </row>
    <row r="7062" spans="1:2" x14ac:dyDescent="0.2">
      <c r="A7062" s="117">
        <v>41759</v>
      </c>
      <c r="B7062" s="116">
        <f t="shared" si="111"/>
        <v>45</v>
      </c>
    </row>
    <row r="7063" spans="1:2" x14ac:dyDescent="0.2">
      <c r="A7063" s="117">
        <v>41760</v>
      </c>
      <c r="B7063" s="116">
        <f t="shared" si="111"/>
        <v>45</v>
      </c>
    </row>
    <row r="7064" spans="1:2" x14ac:dyDescent="0.2">
      <c r="A7064" s="117">
        <v>41761</v>
      </c>
      <c r="B7064" s="116">
        <f t="shared" si="111"/>
        <v>45</v>
      </c>
    </row>
    <row r="7065" spans="1:2" x14ac:dyDescent="0.2">
      <c r="A7065" s="117">
        <v>41762</v>
      </c>
      <c r="B7065" s="116">
        <f t="shared" si="111"/>
        <v>45</v>
      </c>
    </row>
    <row r="7066" spans="1:2" x14ac:dyDescent="0.2">
      <c r="A7066" s="117">
        <v>41763</v>
      </c>
      <c r="B7066" s="116">
        <f t="shared" si="111"/>
        <v>51</v>
      </c>
    </row>
    <row r="7067" spans="1:2" x14ac:dyDescent="0.2">
      <c r="A7067" s="117">
        <v>41764</v>
      </c>
      <c r="B7067" s="116">
        <f t="shared" si="111"/>
        <v>51</v>
      </c>
    </row>
    <row r="7068" spans="1:2" x14ac:dyDescent="0.2">
      <c r="A7068" s="117">
        <v>41765</v>
      </c>
      <c r="B7068" s="116">
        <f t="shared" si="111"/>
        <v>51</v>
      </c>
    </row>
    <row r="7069" spans="1:2" x14ac:dyDescent="0.2">
      <c r="A7069" s="117">
        <v>41766</v>
      </c>
      <c r="B7069" s="116">
        <f t="shared" si="111"/>
        <v>51</v>
      </c>
    </row>
    <row r="7070" spans="1:2" x14ac:dyDescent="0.2">
      <c r="A7070" s="117">
        <v>41767</v>
      </c>
      <c r="B7070" s="116">
        <f t="shared" si="111"/>
        <v>51</v>
      </c>
    </row>
    <row r="7071" spans="1:2" x14ac:dyDescent="0.2">
      <c r="A7071" s="117">
        <v>41768</v>
      </c>
      <c r="B7071" s="116">
        <f t="shared" si="111"/>
        <v>51</v>
      </c>
    </row>
    <row r="7072" spans="1:2" x14ac:dyDescent="0.2">
      <c r="A7072" s="117">
        <v>41769</v>
      </c>
      <c r="B7072" s="116">
        <f t="shared" si="111"/>
        <v>51</v>
      </c>
    </row>
    <row r="7073" spans="1:2" x14ac:dyDescent="0.2">
      <c r="A7073" s="117">
        <v>41770</v>
      </c>
      <c r="B7073" s="116">
        <f t="shared" si="111"/>
        <v>52</v>
      </c>
    </row>
    <row r="7074" spans="1:2" x14ac:dyDescent="0.2">
      <c r="A7074" s="117">
        <v>41771</v>
      </c>
      <c r="B7074" s="116">
        <f t="shared" si="111"/>
        <v>52</v>
      </c>
    </row>
    <row r="7075" spans="1:2" x14ac:dyDescent="0.2">
      <c r="A7075" s="117">
        <v>41772</v>
      </c>
      <c r="B7075" s="116">
        <f t="shared" si="111"/>
        <v>52</v>
      </c>
    </row>
    <row r="7076" spans="1:2" x14ac:dyDescent="0.2">
      <c r="A7076" s="117">
        <v>41773</v>
      </c>
      <c r="B7076" s="116">
        <f t="shared" si="111"/>
        <v>52</v>
      </c>
    </row>
    <row r="7077" spans="1:2" x14ac:dyDescent="0.2">
      <c r="A7077" s="117">
        <v>41774</v>
      </c>
      <c r="B7077" s="116">
        <f t="shared" si="111"/>
        <v>52</v>
      </c>
    </row>
    <row r="7078" spans="1:2" x14ac:dyDescent="0.2">
      <c r="A7078" s="117">
        <v>41775</v>
      </c>
      <c r="B7078" s="116">
        <f t="shared" ref="B7078:B7141" si="112">VLOOKUP(WEEKNUM(A7078),$D$4:$E$59,2)</f>
        <v>52</v>
      </c>
    </row>
    <row r="7079" spans="1:2" x14ac:dyDescent="0.2">
      <c r="A7079" s="117">
        <v>41776</v>
      </c>
      <c r="B7079" s="116">
        <f t="shared" si="112"/>
        <v>52</v>
      </c>
    </row>
    <row r="7080" spans="1:2" x14ac:dyDescent="0.2">
      <c r="A7080" s="117">
        <v>41777</v>
      </c>
      <c r="B7080" s="116">
        <f t="shared" si="112"/>
        <v>53</v>
      </c>
    </row>
    <row r="7081" spans="1:2" x14ac:dyDescent="0.2">
      <c r="A7081" s="117">
        <v>41778</v>
      </c>
      <c r="B7081" s="116">
        <f t="shared" si="112"/>
        <v>53</v>
      </c>
    </row>
    <row r="7082" spans="1:2" x14ac:dyDescent="0.2">
      <c r="A7082" s="117">
        <v>41779</v>
      </c>
      <c r="B7082" s="116">
        <f t="shared" si="112"/>
        <v>53</v>
      </c>
    </row>
    <row r="7083" spans="1:2" x14ac:dyDescent="0.2">
      <c r="A7083" s="117">
        <v>41780</v>
      </c>
      <c r="B7083" s="116">
        <f t="shared" si="112"/>
        <v>53</v>
      </c>
    </row>
    <row r="7084" spans="1:2" x14ac:dyDescent="0.2">
      <c r="A7084" s="117">
        <v>41781</v>
      </c>
      <c r="B7084" s="116">
        <f t="shared" si="112"/>
        <v>53</v>
      </c>
    </row>
    <row r="7085" spans="1:2" x14ac:dyDescent="0.2">
      <c r="A7085" s="117">
        <v>41782</v>
      </c>
      <c r="B7085" s="116">
        <f t="shared" si="112"/>
        <v>53</v>
      </c>
    </row>
    <row r="7086" spans="1:2" x14ac:dyDescent="0.2">
      <c r="A7086" s="117">
        <v>41783</v>
      </c>
      <c r="B7086" s="116">
        <f t="shared" si="112"/>
        <v>53</v>
      </c>
    </row>
    <row r="7087" spans="1:2" x14ac:dyDescent="0.2">
      <c r="A7087" s="117">
        <v>41784</v>
      </c>
      <c r="B7087" s="116">
        <f t="shared" si="112"/>
        <v>54</v>
      </c>
    </row>
    <row r="7088" spans="1:2" x14ac:dyDescent="0.2">
      <c r="A7088" s="117">
        <v>41785</v>
      </c>
      <c r="B7088" s="116">
        <f t="shared" si="112"/>
        <v>54</v>
      </c>
    </row>
    <row r="7089" spans="1:2" x14ac:dyDescent="0.2">
      <c r="A7089" s="117">
        <v>41786</v>
      </c>
      <c r="B7089" s="116">
        <f t="shared" si="112"/>
        <v>54</v>
      </c>
    </row>
    <row r="7090" spans="1:2" x14ac:dyDescent="0.2">
      <c r="A7090" s="117">
        <v>41787</v>
      </c>
      <c r="B7090" s="116">
        <f t="shared" si="112"/>
        <v>54</v>
      </c>
    </row>
    <row r="7091" spans="1:2" x14ac:dyDescent="0.2">
      <c r="A7091" s="117">
        <v>41788</v>
      </c>
      <c r="B7091" s="116">
        <f t="shared" si="112"/>
        <v>54</v>
      </c>
    </row>
    <row r="7092" spans="1:2" x14ac:dyDescent="0.2">
      <c r="A7092" s="117">
        <v>41789</v>
      </c>
      <c r="B7092" s="116">
        <f t="shared" si="112"/>
        <v>54</v>
      </c>
    </row>
    <row r="7093" spans="1:2" x14ac:dyDescent="0.2">
      <c r="A7093" s="117">
        <v>41790</v>
      </c>
      <c r="B7093" s="116">
        <f t="shared" si="112"/>
        <v>54</v>
      </c>
    </row>
    <row r="7094" spans="1:2" x14ac:dyDescent="0.2">
      <c r="A7094" s="117">
        <v>41791</v>
      </c>
      <c r="B7094" s="116">
        <f t="shared" si="112"/>
        <v>61</v>
      </c>
    </row>
    <row r="7095" spans="1:2" x14ac:dyDescent="0.2">
      <c r="A7095" s="117">
        <v>41792</v>
      </c>
      <c r="B7095" s="116">
        <f t="shared" si="112"/>
        <v>61</v>
      </c>
    </row>
    <row r="7096" spans="1:2" x14ac:dyDescent="0.2">
      <c r="A7096" s="117">
        <v>41793</v>
      </c>
      <c r="B7096" s="116">
        <f t="shared" si="112"/>
        <v>61</v>
      </c>
    </row>
    <row r="7097" spans="1:2" x14ac:dyDescent="0.2">
      <c r="A7097" s="117">
        <v>41794</v>
      </c>
      <c r="B7097" s="116">
        <f t="shared" si="112"/>
        <v>61</v>
      </c>
    </row>
    <row r="7098" spans="1:2" x14ac:dyDescent="0.2">
      <c r="A7098" s="117">
        <v>41795</v>
      </c>
      <c r="B7098" s="116">
        <f t="shared" si="112"/>
        <v>61</v>
      </c>
    </row>
    <row r="7099" spans="1:2" x14ac:dyDescent="0.2">
      <c r="A7099" s="117">
        <v>41796</v>
      </c>
      <c r="B7099" s="116">
        <f t="shared" si="112"/>
        <v>61</v>
      </c>
    </row>
    <row r="7100" spans="1:2" x14ac:dyDescent="0.2">
      <c r="A7100" s="117">
        <v>41797</v>
      </c>
      <c r="B7100" s="116">
        <f t="shared" si="112"/>
        <v>61</v>
      </c>
    </row>
    <row r="7101" spans="1:2" x14ac:dyDescent="0.2">
      <c r="A7101" s="117">
        <v>41798</v>
      </c>
      <c r="B7101" s="116">
        <f t="shared" si="112"/>
        <v>62</v>
      </c>
    </row>
    <row r="7102" spans="1:2" x14ac:dyDescent="0.2">
      <c r="A7102" s="117">
        <v>41799</v>
      </c>
      <c r="B7102" s="116">
        <f t="shared" si="112"/>
        <v>62</v>
      </c>
    </row>
    <row r="7103" spans="1:2" x14ac:dyDescent="0.2">
      <c r="A7103" s="117">
        <v>41800</v>
      </c>
      <c r="B7103" s="116">
        <f t="shared" si="112"/>
        <v>62</v>
      </c>
    </row>
    <row r="7104" spans="1:2" x14ac:dyDescent="0.2">
      <c r="A7104" s="117">
        <v>41801</v>
      </c>
      <c r="B7104" s="116">
        <f t="shared" si="112"/>
        <v>62</v>
      </c>
    </row>
    <row r="7105" spans="1:2" x14ac:dyDescent="0.2">
      <c r="A7105" s="117">
        <v>41802</v>
      </c>
      <c r="B7105" s="116">
        <f t="shared" si="112"/>
        <v>62</v>
      </c>
    </row>
    <row r="7106" spans="1:2" x14ac:dyDescent="0.2">
      <c r="A7106" s="117">
        <v>41803</v>
      </c>
      <c r="B7106" s="116">
        <f t="shared" si="112"/>
        <v>62</v>
      </c>
    </row>
    <row r="7107" spans="1:2" x14ac:dyDescent="0.2">
      <c r="A7107" s="117">
        <v>41804</v>
      </c>
      <c r="B7107" s="116">
        <f t="shared" si="112"/>
        <v>62</v>
      </c>
    </row>
    <row r="7108" spans="1:2" x14ac:dyDescent="0.2">
      <c r="A7108" s="117">
        <v>41805</v>
      </c>
      <c r="B7108" s="116">
        <f t="shared" si="112"/>
        <v>63</v>
      </c>
    </row>
    <row r="7109" spans="1:2" x14ac:dyDescent="0.2">
      <c r="A7109" s="117">
        <v>41806</v>
      </c>
      <c r="B7109" s="116">
        <f t="shared" si="112"/>
        <v>63</v>
      </c>
    </row>
    <row r="7110" spans="1:2" x14ac:dyDescent="0.2">
      <c r="A7110" s="117">
        <v>41807</v>
      </c>
      <c r="B7110" s="116">
        <f t="shared" si="112"/>
        <v>63</v>
      </c>
    </row>
    <row r="7111" spans="1:2" x14ac:dyDescent="0.2">
      <c r="A7111" s="117">
        <v>41808</v>
      </c>
      <c r="B7111" s="116">
        <f t="shared" si="112"/>
        <v>63</v>
      </c>
    </row>
    <row r="7112" spans="1:2" x14ac:dyDescent="0.2">
      <c r="A7112" s="117">
        <v>41809</v>
      </c>
      <c r="B7112" s="116">
        <f t="shared" si="112"/>
        <v>63</v>
      </c>
    </row>
    <row r="7113" spans="1:2" x14ac:dyDescent="0.2">
      <c r="A7113" s="117">
        <v>41810</v>
      </c>
      <c r="B7113" s="116">
        <f t="shared" si="112"/>
        <v>63</v>
      </c>
    </row>
    <row r="7114" spans="1:2" x14ac:dyDescent="0.2">
      <c r="A7114" s="117">
        <v>41811</v>
      </c>
      <c r="B7114" s="116">
        <f t="shared" si="112"/>
        <v>63</v>
      </c>
    </row>
    <row r="7115" spans="1:2" x14ac:dyDescent="0.2">
      <c r="A7115" s="117">
        <v>41812</v>
      </c>
      <c r="B7115" s="116">
        <f t="shared" si="112"/>
        <v>64</v>
      </c>
    </row>
    <row r="7116" spans="1:2" x14ac:dyDescent="0.2">
      <c r="A7116" s="117">
        <v>41813</v>
      </c>
      <c r="B7116" s="116">
        <f t="shared" si="112"/>
        <v>64</v>
      </c>
    </row>
    <row r="7117" spans="1:2" x14ac:dyDescent="0.2">
      <c r="A7117" s="117">
        <v>41814</v>
      </c>
      <c r="B7117" s="116">
        <f t="shared" si="112"/>
        <v>64</v>
      </c>
    </row>
    <row r="7118" spans="1:2" x14ac:dyDescent="0.2">
      <c r="A7118" s="117">
        <v>41815</v>
      </c>
      <c r="B7118" s="116">
        <f t="shared" si="112"/>
        <v>64</v>
      </c>
    </row>
    <row r="7119" spans="1:2" x14ac:dyDescent="0.2">
      <c r="A7119" s="117">
        <v>41816</v>
      </c>
      <c r="B7119" s="116">
        <f t="shared" si="112"/>
        <v>64</v>
      </c>
    </row>
    <row r="7120" spans="1:2" x14ac:dyDescent="0.2">
      <c r="A7120" s="117">
        <v>41817</v>
      </c>
      <c r="B7120" s="116">
        <f t="shared" si="112"/>
        <v>64</v>
      </c>
    </row>
    <row r="7121" spans="1:2" x14ac:dyDescent="0.2">
      <c r="A7121" s="117">
        <v>41818</v>
      </c>
      <c r="B7121" s="116">
        <f t="shared" si="112"/>
        <v>64</v>
      </c>
    </row>
    <row r="7122" spans="1:2" x14ac:dyDescent="0.2">
      <c r="A7122" s="117">
        <v>41819</v>
      </c>
      <c r="B7122" s="116">
        <f t="shared" si="112"/>
        <v>71</v>
      </c>
    </row>
    <row r="7123" spans="1:2" x14ac:dyDescent="0.2">
      <c r="A7123" s="117">
        <v>41820</v>
      </c>
      <c r="B7123" s="116">
        <f t="shared" si="112"/>
        <v>71</v>
      </c>
    </row>
    <row r="7124" spans="1:2" x14ac:dyDescent="0.2">
      <c r="A7124" s="117">
        <v>41821</v>
      </c>
      <c r="B7124" s="116">
        <f t="shared" si="112"/>
        <v>71</v>
      </c>
    </row>
    <row r="7125" spans="1:2" x14ac:dyDescent="0.2">
      <c r="A7125" s="117">
        <v>41822</v>
      </c>
      <c r="B7125" s="116">
        <f t="shared" si="112"/>
        <v>71</v>
      </c>
    </row>
    <row r="7126" spans="1:2" x14ac:dyDescent="0.2">
      <c r="A7126" s="117">
        <v>41823</v>
      </c>
      <c r="B7126" s="116">
        <f t="shared" si="112"/>
        <v>71</v>
      </c>
    </row>
    <row r="7127" spans="1:2" x14ac:dyDescent="0.2">
      <c r="A7127" s="117">
        <v>41824</v>
      </c>
      <c r="B7127" s="116">
        <f t="shared" si="112"/>
        <v>71</v>
      </c>
    </row>
    <row r="7128" spans="1:2" x14ac:dyDescent="0.2">
      <c r="A7128" s="117">
        <v>41825</v>
      </c>
      <c r="B7128" s="116">
        <f t="shared" si="112"/>
        <v>71</v>
      </c>
    </row>
    <row r="7129" spans="1:2" x14ac:dyDescent="0.2">
      <c r="A7129" s="117">
        <v>41826</v>
      </c>
      <c r="B7129" s="116">
        <f t="shared" si="112"/>
        <v>72</v>
      </c>
    </row>
    <row r="7130" spans="1:2" x14ac:dyDescent="0.2">
      <c r="A7130" s="117">
        <v>41827</v>
      </c>
      <c r="B7130" s="116">
        <f t="shared" si="112"/>
        <v>72</v>
      </c>
    </row>
    <row r="7131" spans="1:2" x14ac:dyDescent="0.2">
      <c r="A7131" s="117">
        <v>41828</v>
      </c>
      <c r="B7131" s="116">
        <f t="shared" si="112"/>
        <v>72</v>
      </c>
    </row>
    <row r="7132" spans="1:2" x14ac:dyDescent="0.2">
      <c r="A7132" s="117">
        <v>41829</v>
      </c>
      <c r="B7132" s="116">
        <f t="shared" si="112"/>
        <v>72</v>
      </c>
    </row>
    <row r="7133" spans="1:2" x14ac:dyDescent="0.2">
      <c r="A7133" s="117">
        <v>41830</v>
      </c>
      <c r="B7133" s="116">
        <f t="shared" si="112"/>
        <v>72</v>
      </c>
    </row>
    <row r="7134" spans="1:2" x14ac:dyDescent="0.2">
      <c r="A7134" s="117">
        <v>41831</v>
      </c>
      <c r="B7134" s="116">
        <f t="shared" si="112"/>
        <v>72</v>
      </c>
    </row>
    <row r="7135" spans="1:2" x14ac:dyDescent="0.2">
      <c r="A7135" s="117">
        <v>41832</v>
      </c>
      <c r="B7135" s="116">
        <f t="shared" si="112"/>
        <v>72</v>
      </c>
    </row>
    <row r="7136" spans="1:2" x14ac:dyDescent="0.2">
      <c r="A7136" s="117">
        <v>41833</v>
      </c>
      <c r="B7136" s="116">
        <f t="shared" si="112"/>
        <v>73</v>
      </c>
    </row>
    <row r="7137" spans="1:2" x14ac:dyDescent="0.2">
      <c r="A7137" s="117">
        <v>41834</v>
      </c>
      <c r="B7137" s="116">
        <f t="shared" si="112"/>
        <v>73</v>
      </c>
    </row>
    <row r="7138" spans="1:2" x14ac:dyDescent="0.2">
      <c r="A7138" s="117">
        <v>41835</v>
      </c>
      <c r="B7138" s="116">
        <f t="shared" si="112"/>
        <v>73</v>
      </c>
    </row>
    <row r="7139" spans="1:2" x14ac:dyDescent="0.2">
      <c r="A7139" s="117">
        <v>41836</v>
      </c>
      <c r="B7139" s="116">
        <f t="shared" si="112"/>
        <v>73</v>
      </c>
    </row>
    <row r="7140" spans="1:2" x14ac:dyDescent="0.2">
      <c r="A7140" s="117">
        <v>41837</v>
      </c>
      <c r="B7140" s="116">
        <f t="shared" si="112"/>
        <v>73</v>
      </c>
    </row>
    <row r="7141" spans="1:2" x14ac:dyDescent="0.2">
      <c r="A7141" s="117">
        <v>41838</v>
      </c>
      <c r="B7141" s="116">
        <f t="shared" si="112"/>
        <v>73</v>
      </c>
    </row>
    <row r="7142" spans="1:2" x14ac:dyDescent="0.2">
      <c r="A7142" s="117">
        <v>41839</v>
      </c>
      <c r="B7142" s="116">
        <f t="shared" ref="B7142:B7205" si="113">VLOOKUP(WEEKNUM(A7142),$D$4:$E$59,2)</f>
        <v>73</v>
      </c>
    </row>
    <row r="7143" spans="1:2" x14ac:dyDescent="0.2">
      <c r="A7143" s="117">
        <v>41840</v>
      </c>
      <c r="B7143" s="116">
        <f t="shared" si="113"/>
        <v>74</v>
      </c>
    </row>
    <row r="7144" spans="1:2" x14ac:dyDescent="0.2">
      <c r="A7144" s="117">
        <v>41841</v>
      </c>
      <c r="B7144" s="116">
        <f t="shared" si="113"/>
        <v>74</v>
      </c>
    </row>
    <row r="7145" spans="1:2" x14ac:dyDescent="0.2">
      <c r="A7145" s="117">
        <v>41842</v>
      </c>
      <c r="B7145" s="116">
        <f t="shared" si="113"/>
        <v>74</v>
      </c>
    </row>
    <row r="7146" spans="1:2" x14ac:dyDescent="0.2">
      <c r="A7146" s="117">
        <v>41843</v>
      </c>
      <c r="B7146" s="116">
        <f t="shared" si="113"/>
        <v>74</v>
      </c>
    </row>
    <row r="7147" spans="1:2" x14ac:dyDescent="0.2">
      <c r="A7147" s="117">
        <v>41844</v>
      </c>
      <c r="B7147" s="116">
        <f t="shared" si="113"/>
        <v>74</v>
      </c>
    </row>
    <row r="7148" spans="1:2" x14ac:dyDescent="0.2">
      <c r="A7148" s="117">
        <v>41845</v>
      </c>
      <c r="B7148" s="116">
        <f t="shared" si="113"/>
        <v>74</v>
      </c>
    </row>
    <row r="7149" spans="1:2" x14ac:dyDescent="0.2">
      <c r="A7149" s="117">
        <v>41846</v>
      </c>
      <c r="B7149" s="116">
        <f t="shared" si="113"/>
        <v>74</v>
      </c>
    </row>
    <row r="7150" spans="1:2" x14ac:dyDescent="0.2">
      <c r="A7150" s="117">
        <v>41847</v>
      </c>
      <c r="B7150" s="116">
        <f t="shared" si="113"/>
        <v>75</v>
      </c>
    </row>
    <row r="7151" spans="1:2" x14ac:dyDescent="0.2">
      <c r="A7151" s="117">
        <v>41848</v>
      </c>
      <c r="B7151" s="116">
        <f t="shared" si="113"/>
        <v>75</v>
      </c>
    </row>
    <row r="7152" spans="1:2" x14ac:dyDescent="0.2">
      <c r="A7152" s="117">
        <v>41849</v>
      </c>
      <c r="B7152" s="116">
        <f t="shared" si="113"/>
        <v>75</v>
      </c>
    </row>
    <row r="7153" spans="1:2" x14ac:dyDescent="0.2">
      <c r="A7153" s="117">
        <v>41850</v>
      </c>
      <c r="B7153" s="116">
        <f t="shared" si="113"/>
        <v>75</v>
      </c>
    </row>
    <row r="7154" spans="1:2" x14ac:dyDescent="0.2">
      <c r="A7154" s="117">
        <v>41851</v>
      </c>
      <c r="B7154" s="116">
        <f t="shared" si="113"/>
        <v>75</v>
      </c>
    </row>
    <row r="7155" spans="1:2" x14ac:dyDescent="0.2">
      <c r="A7155" s="117">
        <v>41852</v>
      </c>
      <c r="B7155" s="116">
        <f t="shared" si="113"/>
        <v>75</v>
      </c>
    </row>
    <row r="7156" spans="1:2" x14ac:dyDescent="0.2">
      <c r="A7156" s="117">
        <v>41853</v>
      </c>
      <c r="B7156" s="116">
        <f t="shared" si="113"/>
        <v>75</v>
      </c>
    </row>
    <row r="7157" spans="1:2" x14ac:dyDescent="0.2">
      <c r="A7157" s="117">
        <v>41854</v>
      </c>
      <c r="B7157" s="116">
        <f t="shared" si="113"/>
        <v>81</v>
      </c>
    </row>
    <row r="7158" spans="1:2" x14ac:dyDescent="0.2">
      <c r="A7158" s="117">
        <v>41855</v>
      </c>
      <c r="B7158" s="116">
        <f t="shared" si="113"/>
        <v>81</v>
      </c>
    </row>
    <row r="7159" spans="1:2" x14ac:dyDescent="0.2">
      <c r="A7159" s="117">
        <v>41856</v>
      </c>
      <c r="B7159" s="116">
        <f t="shared" si="113"/>
        <v>81</v>
      </c>
    </row>
    <row r="7160" spans="1:2" x14ac:dyDescent="0.2">
      <c r="A7160" s="117">
        <v>41857</v>
      </c>
      <c r="B7160" s="116">
        <f t="shared" si="113"/>
        <v>81</v>
      </c>
    </row>
    <row r="7161" spans="1:2" x14ac:dyDescent="0.2">
      <c r="A7161" s="117">
        <v>41858</v>
      </c>
      <c r="B7161" s="116">
        <f t="shared" si="113"/>
        <v>81</v>
      </c>
    </row>
    <row r="7162" spans="1:2" x14ac:dyDescent="0.2">
      <c r="A7162" s="117">
        <v>41859</v>
      </c>
      <c r="B7162" s="116">
        <f t="shared" si="113"/>
        <v>81</v>
      </c>
    </row>
    <row r="7163" spans="1:2" x14ac:dyDescent="0.2">
      <c r="A7163" s="117">
        <v>41860</v>
      </c>
      <c r="B7163" s="116">
        <f t="shared" si="113"/>
        <v>81</v>
      </c>
    </row>
    <row r="7164" spans="1:2" x14ac:dyDescent="0.2">
      <c r="A7164" s="117">
        <v>41861</v>
      </c>
      <c r="B7164" s="116">
        <f t="shared" si="113"/>
        <v>82</v>
      </c>
    </row>
    <row r="7165" spans="1:2" x14ac:dyDescent="0.2">
      <c r="A7165" s="117">
        <v>41862</v>
      </c>
      <c r="B7165" s="116">
        <f t="shared" si="113"/>
        <v>82</v>
      </c>
    </row>
    <row r="7166" spans="1:2" x14ac:dyDescent="0.2">
      <c r="A7166" s="117">
        <v>41863</v>
      </c>
      <c r="B7166" s="116">
        <f t="shared" si="113"/>
        <v>82</v>
      </c>
    </row>
    <row r="7167" spans="1:2" x14ac:dyDescent="0.2">
      <c r="A7167" s="117">
        <v>41864</v>
      </c>
      <c r="B7167" s="116">
        <f t="shared" si="113"/>
        <v>82</v>
      </c>
    </row>
    <row r="7168" spans="1:2" x14ac:dyDescent="0.2">
      <c r="A7168" s="117">
        <v>41865</v>
      </c>
      <c r="B7168" s="116">
        <f t="shared" si="113"/>
        <v>82</v>
      </c>
    </row>
    <row r="7169" spans="1:2" x14ac:dyDescent="0.2">
      <c r="A7169" s="117">
        <v>41866</v>
      </c>
      <c r="B7169" s="116">
        <f t="shared" si="113"/>
        <v>82</v>
      </c>
    </row>
    <row r="7170" spans="1:2" x14ac:dyDescent="0.2">
      <c r="A7170" s="117">
        <v>41867</v>
      </c>
      <c r="B7170" s="116">
        <f t="shared" si="113"/>
        <v>82</v>
      </c>
    </row>
    <row r="7171" spans="1:2" x14ac:dyDescent="0.2">
      <c r="A7171" s="117">
        <v>41868</v>
      </c>
      <c r="B7171" s="116">
        <f t="shared" si="113"/>
        <v>83</v>
      </c>
    </row>
    <row r="7172" spans="1:2" x14ac:dyDescent="0.2">
      <c r="A7172" s="117">
        <v>41869</v>
      </c>
      <c r="B7172" s="116">
        <f t="shared" si="113"/>
        <v>83</v>
      </c>
    </row>
    <row r="7173" spans="1:2" x14ac:dyDescent="0.2">
      <c r="A7173" s="117">
        <v>41870</v>
      </c>
      <c r="B7173" s="116">
        <f t="shared" si="113"/>
        <v>83</v>
      </c>
    </row>
    <row r="7174" spans="1:2" x14ac:dyDescent="0.2">
      <c r="A7174" s="117">
        <v>41871</v>
      </c>
      <c r="B7174" s="116">
        <f t="shared" si="113"/>
        <v>83</v>
      </c>
    </row>
    <row r="7175" spans="1:2" x14ac:dyDescent="0.2">
      <c r="A7175" s="117">
        <v>41872</v>
      </c>
      <c r="B7175" s="116">
        <f t="shared" si="113"/>
        <v>83</v>
      </c>
    </row>
    <row r="7176" spans="1:2" x14ac:dyDescent="0.2">
      <c r="A7176" s="117">
        <v>41873</v>
      </c>
      <c r="B7176" s="116">
        <f t="shared" si="113"/>
        <v>83</v>
      </c>
    </row>
    <row r="7177" spans="1:2" x14ac:dyDescent="0.2">
      <c r="A7177" s="117">
        <v>41874</v>
      </c>
      <c r="B7177" s="116">
        <f t="shared" si="113"/>
        <v>83</v>
      </c>
    </row>
    <row r="7178" spans="1:2" x14ac:dyDescent="0.2">
      <c r="A7178" s="117">
        <v>41875</v>
      </c>
      <c r="B7178" s="116">
        <f t="shared" si="113"/>
        <v>84</v>
      </c>
    </row>
    <row r="7179" spans="1:2" x14ac:dyDescent="0.2">
      <c r="A7179" s="117">
        <v>41876</v>
      </c>
      <c r="B7179" s="116">
        <f t="shared" si="113"/>
        <v>84</v>
      </c>
    </row>
    <row r="7180" spans="1:2" x14ac:dyDescent="0.2">
      <c r="A7180" s="117">
        <v>41877</v>
      </c>
      <c r="B7180" s="116">
        <f t="shared" si="113"/>
        <v>84</v>
      </c>
    </row>
    <row r="7181" spans="1:2" x14ac:dyDescent="0.2">
      <c r="A7181" s="117">
        <v>41878</v>
      </c>
      <c r="B7181" s="116">
        <f t="shared" si="113"/>
        <v>84</v>
      </c>
    </row>
    <row r="7182" spans="1:2" x14ac:dyDescent="0.2">
      <c r="A7182" s="117">
        <v>41879</v>
      </c>
      <c r="B7182" s="116">
        <f t="shared" si="113"/>
        <v>84</v>
      </c>
    </row>
    <row r="7183" spans="1:2" x14ac:dyDescent="0.2">
      <c r="A7183" s="117">
        <v>41880</v>
      </c>
      <c r="B7183" s="116">
        <f t="shared" si="113"/>
        <v>84</v>
      </c>
    </row>
    <row r="7184" spans="1:2" x14ac:dyDescent="0.2">
      <c r="A7184" s="117">
        <v>41881</v>
      </c>
      <c r="B7184" s="116">
        <f t="shared" si="113"/>
        <v>84</v>
      </c>
    </row>
    <row r="7185" spans="1:2" x14ac:dyDescent="0.2">
      <c r="A7185" s="117">
        <v>41882</v>
      </c>
      <c r="B7185" s="116">
        <f t="shared" si="113"/>
        <v>91</v>
      </c>
    </row>
    <row r="7186" spans="1:2" x14ac:dyDescent="0.2">
      <c r="A7186" s="117">
        <v>41883</v>
      </c>
      <c r="B7186" s="116">
        <f t="shared" si="113"/>
        <v>91</v>
      </c>
    </row>
    <row r="7187" spans="1:2" x14ac:dyDescent="0.2">
      <c r="A7187" s="117">
        <v>41884</v>
      </c>
      <c r="B7187" s="116">
        <f t="shared" si="113"/>
        <v>91</v>
      </c>
    </row>
    <row r="7188" spans="1:2" x14ac:dyDescent="0.2">
      <c r="A7188" s="117">
        <v>41885</v>
      </c>
      <c r="B7188" s="116">
        <f t="shared" si="113"/>
        <v>91</v>
      </c>
    </row>
    <row r="7189" spans="1:2" x14ac:dyDescent="0.2">
      <c r="A7189" s="117">
        <v>41886</v>
      </c>
      <c r="B7189" s="116">
        <f t="shared" si="113"/>
        <v>91</v>
      </c>
    </row>
    <row r="7190" spans="1:2" x14ac:dyDescent="0.2">
      <c r="A7190" s="117">
        <v>41887</v>
      </c>
      <c r="B7190" s="116">
        <f t="shared" si="113"/>
        <v>91</v>
      </c>
    </row>
    <row r="7191" spans="1:2" x14ac:dyDescent="0.2">
      <c r="A7191" s="117">
        <v>41888</v>
      </c>
      <c r="B7191" s="116">
        <f t="shared" si="113"/>
        <v>91</v>
      </c>
    </row>
    <row r="7192" spans="1:2" x14ac:dyDescent="0.2">
      <c r="A7192" s="117">
        <v>41889</v>
      </c>
      <c r="B7192" s="116">
        <f t="shared" si="113"/>
        <v>92</v>
      </c>
    </row>
    <row r="7193" spans="1:2" x14ac:dyDescent="0.2">
      <c r="A7193" s="117">
        <v>41890</v>
      </c>
      <c r="B7193" s="116">
        <f t="shared" si="113"/>
        <v>92</v>
      </c>
    </row>
    <row r="7194" spans="1:2" x14ac:dyDescent="0.2">
      <c r="A7194" s="117">
        <v>41891</v>
      </c>
      <c r="B7194" s="116">
        <f t="shared" si="113"/>
        <v>92</v>
      </c>
    </row>
    <row r="7195" spans="1:2" x14ac:dyDescent="0.2">
      <c r="A7195" s="117">
        <v>41892</v>
      </c>
      <c r="B7195" s="116">
        <f t="shared" si="113"/>
        <v>92</v>
      </c>
    </row>
    <row r="7196" spans="1:2" x14ac:dyDescent="0.2">
      <c r="A7196" s="117">
        <v>41893</v>
      </c>
      <c r="B7196" s="116">
        <f t="shared" si="113"/>
        <v>92</v>
      </c>
    </row>
    <row r="7197" spans="1:2" x14ac:dyDescent="0.2">
      <c r="A7197" s="117">
        <v>41894</v>
      </c>
      <c r="B7197" s="116">
        <f t="shared" si="113"/>
        <v>92</v>
      </c>
    </row>
    <row r="7198" spans="1:2" x14ac:dyDescent="0.2">
      <c r="A7198" s="117">
        <v>41895</v>
      </c>
      <c r="B7198" s="116">
        <f t="shared" si="113"/>
        <v>92</v>
      </c>
    </row>
    <row r="7199" spans="1:2" x14ac:dyDescent="0.2">
      <c r="A7199" s="117">
        <v>41896</v>
      </c>
      <c r="B7199" s="116">
        <f t="shared" si="113"/>
        <v>93</v>
      </c>
    </row>
    <row r="7200" spans="1:2" x14ac:dyDescent="0.2">
      <c r="A7200" s="117">
        <v>41897</v>
      </c>
      <c r="B7200" s="116">
        <f t="shared" si="113"/>
        <v>93</v>
      </c>
    </row>
    <row r="7201" spans="1:2" x14ac:dyDescent="0.2">
      <c r="A7201" s="117">
        <v>41898</v>
      </c>
      <c r="B7201" s="116">
        <f t="shared" si="113"/>
        <v>93</v>
      </c>
    </row>
    <row r="7202" spans="1:2" x14ac:dyDescent="0.2">
      <c r="A7202" s="117">
        <v>41899</v>
      </c>
      <c r="B7202" s="116">
        <f t="shared" si="113"/>
        <v>93</v>
      </c>
    </row>
    <row r="7203" spans="1:2" x14ac:dyDescent="0.2">
      <c r="A7203" s="117">
        <v>41900</v>
      </c>
      <c r="B7203" s="116">
        <f t="shared" si="113"/>
        <v>93</v>
      </c>
    </row>
    <row r="7204" spans="1:2" x14ac:dyDescent="0.2">
      <c r="A7204" s="117">
        <v>41901</v>
      </c>
      <c r="B7204" s="116">
        <f t="shared" si="113"/>
        <v>93</v>
      </c>
    </row>
    <row r="7205" spans="1:2" x14ac:dyDescent="0.2">
      <c r="A7205" s="117">
        <v>41902</v>
      </c>
      <c r="B7205" s="116">
        <f t="shared" si="113"/>
        <v>93</v>
      </c>
    </row>
    <row r="7206" spans="1:2" x14ac:dyDescent="0.2">
      <c r="A7206" s="117">
        <v>41903</v>
      </c>
      <c r="B7206" s="116">
        <f t="shared" ref="B7206:B7269" si="114">VLOOKUP(WEEKNUM(A7206),$D$4:$E$59,2)</f>
        <v>94</v>
      </c>
    </row>
    <row r="7207" spans="1:2" x14ac:dyDescent="0.2">
      <c r="A7207" s="117">
        <v>41904</v>
      </c>
      <c r="B7207" s="116">
        <f t="shared" si="114"/>
        <v>94</v>
      </c>
    </row>
    <row r="7208" spans="1:2" x14ac:dyDescent="0.2">
      <c r="A7208" s="117">
        <v>41905</v>
      </c>
      <c r="B7208" s="116">
        <f t="shared" si="114"/>
        <v>94</v>
      </c>
    </row>
    <row r="7209" spans="1:2" x14ac:dyDescent="0.2">
      <c r="A7209" s="117">
        <v>41906</v>
      </c>
      <c r="B7209" s="116">
        <f t="shared" si="114"/>
        <v>94</v>
      </c>
    </row>
    <row r="7210" spans="1:2" x14ac:dyDescent="0.2">
      <c r="A7210" s="117">
        <v>41907</v>
      </c>
      <c r="B7210" s="116">
        <f t="shared" si="114"/>
        <v>94</v>
      </c>
    </row>
    <row r="7211" spans="1:2" x14ac:dyDescent="0.2">
      <c r="A7211" s="117">
        <v>41908</v>
      </c>
      <c r="B7211" s="116">
        <f t="shared" si="114"/>
        <v>94</v>
      </c>
    </row>
    <row r="7212" spans="1:2" x14ac:dyDescent="0.2">
      <c r="A7212" s="117">
        <v>41909</v>
      </c>
      <c r="B7212" s="116">
        <f t="shared" si="114"/>
        <v>94</v>
      </c>
    </row>
    <row r="7213" spans="1:2" x14ac:dyDescent="0.2">
      <c r="A7213" s="117">
        <v>41910</v>
      </c>
      <c r="B7213" s="116">
        <f t="shared" si="114"/>
        <v>101</v>
      </c>
    </row>
    <row r="7214" spans="1:2" x14ac:dyDescent="0.2">
      <c r="A7214" s="117">
        <v>41911</v>
      </c>
      <c r="B7214" s="116">
        <f t="shared" si="114"/>
        <v>101</v>
      </c>
    </row>
    <row r="7215" spans="1:2" x14ac:dyDescent="0.2">
      <c r="A7215" s="117">
        <v>41912</v>
      </c>
      <c r="B7215" s="116">
        <f t="shared" si="114"/>
        <v>101</v>
      </c>
    </row>
    <row r="7216" spans="1:2" x14ac:dyDescent="0.2">
      <c r="A7216" s="117">
        <v>41913</v>
      </c>
      <c r="B7216" s="116">
        <f t="shared" si="114"/>
        <v>101</v>
      </c>
    </row>
    <row r="7217" spans="1:2" x14ac:dyDescent="0.2">
      <c r="A7217" s="117">
        <v>41914</v>
      </c>
      <c r="B7217" s="116">
        <f t="shared" si="114"/>
        <v>101</v>
      </c>
    </row>
    <row r="7218" spans="1:2" x14ac:dyDescent="0.2">
      <c r="A7218" s="117">
        <v>41915</v>
      </c>
      <c r="B7218" s="116">
        <f t="shared" si="114"/>
        <v>101</v>
      </c>
    </row>
    <row r="7219" spans="1:2" x14ac:dyDescent="0.2">
      <c r="A7219" s="117">
        <v>41916</v>
      </c>
      <c r="B7219" s="116">
        <f t="shared" si="114"/>
        <v>101</v>
      </c>
    </row>
    <row r="7220" spans="1:2" x14ac:dyDescent="0.2">
      <c r="A7220" s="117">
        <v>41917</v>
      </c>
      <c r="B7220" s="116">
        <f t="shared" si="114"/>
        <v>102</v>
      </c>
    </row>
    <row r="7221" spans="1:2" x14ac:dyDescent="0.2">
      <c r="A7221" s="117">
        <v>41918</v>
      </c>
      <c r="B7221" s="116">
        <f t="shared" si="114"/>
        <v>102</v>
      </c>
    </row>
    <row r="7222" spans="1:2" x14ac:dyDescent="0.2">
      <c r="A7222" s="117">
        <v>41919</v>
      </c>
      <c r="B7222" s="116">
        <f t="shared" si="114"/>
        <v>102</v>
      </c>
    </row>
    <row r="7223" spans="1:2" x14ac:dyDescent="0.2">
      <c r="A7223" s="117">
        <v>41920</v>
      </c>
      <c r="B7223" s="116">
        <f t="shared" si="114"/>
        <v>102</v>
      </c>
    </row>
    <row r="7224" spans="1:2" x14ac:dyDescent="0.2">
      <c r="A7224" s="117">
        <v>41921</v>
      </c>
      <c r="B7224" s="116">
        <f t="shared" si="114"/>
        <v>102</v>
      </c>
    </row>
    <row r="7225" spans="1:2" x14ac:dyDescent="0.2">
      <c r="A7225" s="117">
        <v>41922</v>
      </c>
      <c r="B7225" s="116">
        <f t="shared" si="114"/>
        <v>102</v>
      </c>
    </row>
    <row r="7226" spans="1:2" x14ac:dyDescent="0.2">
      <c r="A7226" s="117">
        <v>41923</v>
      </c>
      <c r="B7226" s="116">
        <f t="shared" si="114"/>
        <v>102</v>
      </c>
    </row>
    <row r="7227" spans="1:2" x14ac:dyDescent="0.2">
      <c r="A7227" s="117">
        <v>41924</v>
      </c>
      <c r="B7227" s="116">
        <f t="shared" si="114"/>
        <v>103</v>
      </c>
    </row>
    <row r="7228" spans="1:2" x14ac:dyDescent="0.2">
      <c r="A7228" s="117">
        <v>41925</v>
      </c>
      <c r="B7228" s="116">
        <f t="shared" si="114"/>
        <v>103</v>
      </c>
    </row>
    <row r="7229" spans="1:2" x14ac:dyDescent="0.2">
      <c r="A7229" s="117">
        <v>41926</v>
      </c>
      <c r="B7229" s="116">
        <f t="shared" si="114"/>
        <v>103</v>
      </c>
    </row>
    <row r="7230" spans="1:2" x14ac:dyDescent="0.2">
      <c r="A7230" s="117">
        <v>41927</v>
      </c>
      <c r="B7230" s="116">
        <f t="shared" si="114"/>
        <v>103</v>
      </c>
    </row>
    <row r="7231" spans="1:2" x14ac:dyDescent="0.2">
      <c r="A7231" s="117">
        <v>41928</v>
      </c>
      <c r="B7231" s="116">
        <f t="shared" si="114"/>
        <v>103</v>
      </c>
    </row>
    <row r="7232" spans="1:2" x14ac:dyDescent="0.2">
      <c r="A7232" s="117">
        <v>41929</v>
      </c>
      <c r="B7232" s="116">
        <f t="shared" si="114"/>
        <v>103</v>
      </c>
    </row>
    <row r="7233" spans="1:2" x14ac:dyDescent="0.2">
      <c r="A7233" s="117">
        <v>41930</v>
      </c>
      <c r="B7233" s="116">
        <f t="shared" si="114"/>
        <v>103</v>
      </c>
    </row>
    <row r="7234" spans="1:2" x14ac:dyDescent="0.2">
      <c r="A7234" s="117">
        <v>41931</v>
      </c>
      <c r="B7234" s="116">
        <f t="shared" si="114"/>
        <v>104</v>
      </c>
    </row>
    <row r="7235" spans="1:2" x14ac:dyDescent="0.2">
      <c r="A7235" s="117">
        <v>41932</v>
      </c>
      <c r="B7235" s="116">
        <f t="shared" si="114"/>
        <v>104</v>
      </c>
    </row>
    <row r="7236" spans="1:2" x14ac:dyDescent="0.2">
      <c r="A7236" s="117">
        <v>41933</v>
      </c>
      <c r="B7236" s="116">
        <f t="shared" si="114"/>
        <v>104</v>
      </c>
    </row>
    <row r="7237" spans="1:2" x14ac:dyDescent="0.2">
      <c r="A7237" s="117">
        <v>41934</v>
      </c>
      <c r="B7237" s="116">
        <f t="shared" si="114"/>
        <v>104</v>
      </c>
    </row>
    <row r="7238" spans="1:2" x14ac:dyDescent="0.2">
      <c r="A7238" s="117">
        <v>41935</v>
      </c>
      <c r="B7238" s="116">
        <f t="shared" si="114"/>
        <v>104</v>
      </c>
    </row>
    <row r="7239" spans="1:2" x14ac:dyDescent="0.2">
      <c r="A7239" s="117">
        <v>41936</v>
      </c>
      <c r="B7239" s="116">
        <f t="shared" si="114"/>
        <v>104</v>
      </c>
    </row>
    <row r="7240" spans="1:2" x14ac:dyDescent="0.2">
      <c r="A7240" s="117">
        <v>41937</v>
      </c>
      <c r="B7240" s="116">
        <f t="shared" si="114"/>
        <v>104</v>
      </c>
    </row>
    <row r="7241" spans="1:2" x14ac:dyDescent="0.2">
      <c r="A7241" s="117">
        <v>41938</v>
      </c>
      <c r="B7241" s="116">
        <f t="shared" si="114"/>
        <v>105</v>
      </c>
    </row>
    <row r="7242" spans="1:2" x14ac:dyDescent="0.2">
      <c r="A7242" s="117">
        <v>41939</v>
      </c>
      <c r="B7242" s="116">
        <f t="shared" si="114"/>
        <v>105</v>
      </c>
    </row>
    <row r="7243" spans="1:2" x14ac:dyDescent="0.2">
      <c r="A7243" s="117">
        <v>41940</v>
      </c>
      <c r="B7243" s="116">
        <f t="shared" si="114"/>
        <v>105</v>
      </c>
    </row>
    <row r="7244" spans="1:2" x14ac:dyDescent="0.2">
      <c r="A7244" s="117">
        <v>41941</v>
      </c>
      <c r="B7244" s="116">
        <f t="shared" si="114"/>
        <v>105</v>
      </c>
    </row>
    <row r="7245" spans="1:2" x14ac:dyDescent="0.2">
      <c r="A7245" s="117">
        <v>41942</v>
      </c>
      <c r="B7245" s="116">
        <f t="shared" si="114"/>
        <v>105</v>
      </c>
    </row>
    <row r="7246" spans="1:2" x14ac:dyDescent="0.2">
      <c r="A7246" s="117">
        <v>41943</v>
      </c>
      <c r="B7246" s="116">
        <f t="shared" si="114"/>
        <v>105</v>
      </c>
    </row>
    <row r="7247" spans="1:2" x14ac:dyDescent="0.2">
      <c r="A7247" s="117">
        <v>41944</v>
      </c>
      <c r="B7247" s="116">
        <f t="shared" si="114"/>
        <v>105</v>
      </c>
    </row>
    <row r="7248" spans="1:2" x14ac:dyDescent="0.2">
      <c r="A7248" s="117">
        <v>41945</v>
      </c>
      <c r="B7248" s="116">
        <f t="shared" si="114"/>
        <v>111</v>
      </c>
    </row>
    <row r="7249" spans="1:2" x14ac:dyDescent="0.2">
      <c r="A7249" s="117">
        <v>41946</v>
      </c>
      <c r="B7249" s="116">
        <f t="shared" si="114"/>
        <v>111</v>
      </c>
    </row>
    <row r="7250" spans="1:2" x14ac:dyDescent="0.2">
      <c r="A7250" s="117">
        <v>41947</v>
      </c>
      <c r="B7250" s="116">
        <f t="shared" si="114"/>
        <v>111</v>
      </c>
    </row>
    <row r="7251" spans="1:2" x14ac:dyDescent="0.2">
      <c r="A7251" s="117">
        <v>41948</v>
      </c>
      <c r="B7251" s="116">
        <f t="shared" si="114"/>
        <v>111</v>
      </c>
    </row>
    <row r="7252" spans="1:2" x14ac:dyDescent="0.2">
      <c r="A7252" s="117">
        <v>41949</v>
      </c>
      <c r="B7252" s="116">
        <f t="shared" si="114"/>
        <v>111</v>
      </c>
    </row>
    <row r="7253" spans="1:2" x14ac:dyDescent="0.2">
      <c r="A7253" s="117">
        <v>41950</v>
      </c>
      <c r="B7253" s="116">
        <f t="shared" si="114"/>
        <v>111</v>
      </c>
    </row>
    <row r="7254" spans="1:2" x14ac:dyDescent="0.2">
      <c r="A7254" s="117">
        <v>41951</v>
      </c>
      <c r="B7254" s="116">
        <f t="shared" si="114"/>
        <v>111</v>
      </c>
    </row>
    <row r="7255" spans="1:2" x14ac:dyDescent="0.2">
      <c r="A7255" s="117">
        <v>41952</v>
      </c>
      <c r="B7255" s="116">
        <f t="shared" si="114"/>
        <v>112</v>
      </c>
    </row>
    <row r="7256" spans="1:2" x14ac:dyDescent="0.2">
      <c r="A7256" s="117">
        <v>41953</v>
      </c>
      <c r="B7256" s="116">
        <f t="shared" si="114"/>
        <v>112</v>
      </c>
    </row>
    <row r="7257" spans="1:2" x14ac:dyDescent="0.2">
      <c r="A7257" s="117">
        <v>41954</v>
      </c>
      <c r="B7257" s="116">
        <f t="shared" si="114"/>
        <v>112</v>
      </c>
    </row>
    <row r="7258" spans="1:2" x14ac:dyDescent="0.2">
      <c r="A7258" s="117">
        <v>41955</v>
      </c>
      <c r="B7258" s="116">
        <f t="shared" si="114"/>
        <v>112</v>
      </c>
    </row>
    <row r="7259" spans="1:2" x14ac:dyDescent="0.2">
      <c r="A7259" s="117">
        <v>41956</v>
      </c>
      <c r="B7259" s="116">
        <f t="shared" si="114"/>
        <v>112</v>
      </c>
    </row>
    <row r="7260" spans="1:2" x14ac:dyDescent="0.2">
      <c r="A7260" s="117">
        <v>41957</v>
      </c>
      <c r="B7260" s="116">
        <f t="shared" si="114"/>
        <v>112</v>
      </c>
    </row>
    <row r="7261" spans="1:2" x14ac:dyDescent="0.2">
      <c r="A7261" s="117">
        <v>41958</v>
      </c>
      <c r="B7261" s="116">
        <f t="shared" si="114"/>
        <v>112</v>
      </c>
    </row>
    <row r="7262" spans="1:2" x14ac:dyDescent="0.2">
      <c r="A7262" s="117">
        <v>41959</v>
      </c>
      <c r="B7262" s="116">
        <f t="shared" si="114"/>
        <v>113</v>
      </c>
    </row>
    <row r="7263" spans="1:2" x14ac:dyDescent="0.2">
      <c r="A7263" s="117">
        <v>41960</v>
      </c>
      <c r="B7263" s="116">
        <f t="shared" si="114"/>
        <v>113</v>
      </c>
    </row>
    <row r="7264" spans="1:2" x14ac:dyDescent="0.2">
      <c r="A7264" s="117">
        <v>41961</v>
      </c>
      <c r="B7264" s="116">
        <f t="shared" si="114"/>
        <v>113</v>
      </c>
    </row>
    <row r="7265" spans="1:2" x14ac:dyDescent="0.2">
      <c r="A7265" s="117">
        <v>41962</v>
      </c>
      <c r="B7265" s="116">
        <f t="shared" si="114"/>
        <v>113</v>
      </c>
    </row>
    <row r="7266" spans="1:2" x14ac:dyDescent="0.2">
      <c r="A7266" s="117">
        <v>41963</v>
      </c>
      <c r="B7266" s="116">
        <f t="shared" si="114"/>
        <v>113</v>
      </c>
    </row>
    <row r="7267" spans="1:2" x14ac:dyDescent="0.2">
      <c r="A7267" s="117">
        <v>41964</v>
      </c>
      <c r="B7267" s="116">
        <f t="shared" si="114"/>
        <v>113</v>
      </c>
    </row>
    <row r="7268" spans="1:2" x14ac:dyDescent="0.2">
      <c r="A7268" s="117">
        <v>41965</v>
      </c>
      <c r="B7268" s="116">
        <f t="shared" si="114"/>
        <v>113</v>
      </c>
    </row>
    <row r="7269" spans="1:2" x14ac:dyDescent="0.2">
      <c r="A7269" s="117">
        <v>41966</v>
      </c>
      <c r="B7269" s="116">
        <f t="shared" si="114"/>
        <v>114</v>
      </c>
    </row>
    <row r="7270" spans="1:2" x14ac:dyDescent="0.2">
      <c r="A7270" s="117">
        <v>41967</v>
      </c>
      <c r="B7270" s="116">
        <f t="shared" ref="B7270:B7333" si="115">VLOOKUP(WEEKNUM(A7270),$D$4:$E$59,2)</f>
        <v>114</v>
      </c>
    </row>
    <row r="7271" spans="1:2" x14ac:dyDescent="0.2">
      <c r="A7271" s="117">
        <v>41968</v>
      </c>
      <c r="B7271" s="116">
        <f t="shared" si="115"/>
        <v>114</v>
      </c>
    </row>
    <row r="7272" spans="1:2" x14ac:dyDescent="0.2">
      <c r="A7272" s="117">
        <v>41969</v>
      </c>
      <c r="B7272" s="116">
        <f t="shared" si="115"/>
        <v>114</v>
      </c>
    </row>
    <row r="7273" spans="1:2" x14ac:dyDescent="0.2">
      <c r="A7273" s="117">
        <v>41970</v>
      </c>
      <c r="B7273" s="116">
        <f t="shared" si="115"/>
        <v>114</v>
      </c>
    </row>
    <row r="7274" spans="1:2" x14ac:dyDescent="0.2">
      <c r="A7274" s="117">
        <v>41971</v>
      </c>
      <c r="B7274" s="116">
        <f t="shared" si="115"/>
        <v>114</v>
      </c>
    </row>
    <row r="7275" spans="1:2" x14ac:dyDescent="0.2">
      <c r="A7275" s="117">
        <v>41972</v>
      </c>
      <c r="B7275" s="116">
        <f t="shared" si="115"/>
        <v>114</v>
      </c>
    </row>
    <row r="7276" spans="1:2" x14ac:dyDescent="0.2">
      <c r="A7276" s="117">
        <v>41973</v>
      </c>
      <c r="B7276" s="116">
        <f t="shared" si="115"/>
        <v>115</v>
      </c>
    </row>
    <row r="7277" spans="1:2" x14ac:dyDescent="0.2">
      <c r="A7277" s="117">
        <v>41974</v>
      </c>
      <c r="B7277" s="116">
        <f t="shared" si="115"/>
        <v>115</v>
      </c>
    </row>
    <row r="7278" spans="1:2" x14ac:dyDescent="0.2">
      <c r="A7278" s="117">
        <v>41975</v>
      </c>
      <c r="B7278" s="116">
        <f t="shared" si="115"/>
        <v>115</v>
      </c>
    </row>
    <row r="7279" spans="1:2" x14ac:dyDescent="0.2">
      <c r="A7279" s="117">
        <v>41976</v>
      </c>
      <c r="B7279" s="116">
        <f t="shared" si="115"/>
        <v>115</v>
      </c>
    </row>
    <row r="7280" spans="1:2" x14ac:dyDescent="0.2">
      <c r="A7280" s="117">
        <v>41977</v>
      </c>
      <c r="B7280" s="116">
        <f t="shared" si="115"/>
        <v>115</v>
      </c>
    </row>
    <row r="7281" spans="1:2" x14ac:dyDescent="0.2">
      <c r="A7281" s="117">
        <v>41978</v>
      </c>
      <c r="B7281" s="116">
        <f t="shared" si="115"/>
        <v>115</v>
      </c>
    </row>
    <row r="7282" spans="1:2" x14ac:dyDescent="0.2">
      <c r="A7282" s="117">
        <v>41979</v>
      </c>
      <c r="B7282" s="116">
        <f t="shared" si="115"/>
        <v>115</v>
      </c>
    </row>
    <row r="7283" spans="1:2" x14ac:dyDescent="0.2">
      <c r="A7283" s="117">
        <v>41980</v>
      </c>
      <c r="B7283" s="116">
        <f t="shared" si="115"/>
        <v>121</v>
      </c>
    </row>
    <row r="7284" spans="1:2" x14ac:dyDescent="0.2">
      <c r="A7284" s="117">
        <v>41981</v>
      </c>
      <c r="B7284" s="116">
        <f t="shared" si="115"/>
        <v>121</v>
      </c>
    </row>
    <row r="7285" spans="1:2" x14ac:dyDescent="0.2">
      <c r="A7285" s="117">
        <v>41982</v>
      </c>
      <c r="B7285" s="116">
        <f t="shared" si="115"/>
        <v>121</v>
      </c>
    </row>
    <row r="7286" spans="1:2" x14ac:dyDescent="0.2">
      <c r="A7286" s="117">
        <v>41983</v>
      </c>
      <c r="B7286" s="116">
        <f t="shared" si="115"/>
        <v>121</v>
      </c>
    </row>
    <row r="7287" spans="1:2" x14ac:dyDescent="0.2">
      <c r="A7287" s="117">
        <v>41984</v>
      </c>
      <c r="B7287" s="116">
        <f t="shared" si="115"/>
        <v>121</v>
      </c>
    </row>
    <row r="7288" spans="1:2" x14ac:dyDescent="0.2">
      <c r="A7288" s="117">
        <v>41985</v>
      </c>
      <c r="B7288" s="116">
        <f t="shared" si="115"/>
        <v>121</v>
      </c>
    </row>
    <row r="7289" spans="1:2" x14ac:dyDescent="0.2">
      <c r="A7289" s="117">
        <v>41986</v>
      </c>
      <c r="B7289" s="116">
        <f t="shared" si="115"/>
        <v>121</v>
      </c>
    </row>
    <row r="7290" spans="1:2" x14ac:dyDescent="0.2">
      <c r="A7290" s="117">
        <v>41987</v>
      </c>
      <c r="B7290" s="116">
        <f t="shared" si="115"/>
        <v>122</v>
      </c>
    </row>
    <row r="7291" spans="1:2" x14ac:dyDescent="0.2">
      <c r="A7291" s="117">
        <v>41988</v>
      </c>
      <c r="B7291" s="116">
        <f t="shared" si="115"/>
        <v>122</v>
      </c>
    </row>
    <row r="7292" spans="1:2" x14ac:dyDescent="0.2">
      <c r="A7292" s="117">
        <v>41989</v>
      </c>
      <c r="B7292" s="116">
        <f t="shared" si="115"/>
        <v>122</v>
      </c>
    </row>
    <row r="7293" spans="1:2" x14ac:dyDescent="0.2">
      <c r="A7293" s="117">
        <v>41990</v>
      </c>
      <c r="B7293" s="116">
        <f t="shared" si="115"/>
        <v>122</v>
      </c>
    </row>
    <row r="7294" spans="1:2" x14ac:dyDescent="0.2">
      <c r="A7294" s="117">
        <v>41991</v>
      </c>
      <c r="B7294" s="116">
        <f t="shared" si="115"/>
        <v>122</v>
      </c>
    </row>
    <row r="7295" spans="1:2" x14ac:dyDescent="0.2">
      <c r="A7295" s="117">
        <v>41992</v>
      </c>
      <c r="B7295" s="116">
        <f t="shared" si="115"/>
        <v>122</v>
      </c>
    </row>
    <row r="7296" spans="1:2" x14ac:dyDescent="0.2">
      <c r="A7296" s="117">
        <v>41993</v>
      </c>
      <c r="B7296" s="116">
        <f t="shared" si="115"/>
        <v>122</v>
      </c>
    </row>
    <row r="7297" spans="1:2" x14ac:dyDescent="0.2">
      <c r="A7297" s="117">
        <v>41994</v>
      </c>
      <c r="B7297" s="116">
        <f t="shared" si="115"/>
        <v>123</v>
      </c>
    </row>
    <row r="7298" spans="1:2" x14ac:dyDescent="0.2">
      <c r="A7298" s="117">
        <v>41995</v>
      </c>
      <c r="B7298" s="116">
        <f t="shared" si="115"/>
        <v>123</v>
      </c>
    </row>
    <row r="7299" spans="1:2" x14ac:dyDescent="0.2">
      <c r="A7299" s="117">
        <v>41996</v>
      </c>
      <c r="B7299" s="116">
        <f t="shared" si="115"/>
        <v>123</v>
      </c>
    </row>
    <row r="7300" spans="1:2" x14ac:dyDescent="0.2">
      <c r="A7300" s="117">
        <v>41997</v>
      </c>
      <c r="B7300" s="116">
        <f t="shared" si="115"/>
        <v>123</v>
      </c>
    </row>
    <row r="7301" spans="1:2" x14ac:dyDescent="0.2">
      <c r="A7301" s="117">
        <v>41998</v>
      </c>
      <c r="B7301" s="116">
        <f t="shared" si="115"/>
        <v>123</v>
      </c>
    </row>
    <row r="7302" spans="1:2" x14ac:dyDescent="0.2">
      <c r="A7302" s="117">
        <v>41999</v>
      </c>
      <c r="B7302" s="116">
        <f t="shared" si="115"/>
        <v>123</v>
      </c>
    </row>
    <row r="7303" spans="1:2" x14ac:dyDescent="0.2">
      <c r="A7303" s="117">
        <v>42000</v>
      </c>
      <c r="B7303" s="116">
        <f t="shared" si="115"/>
        <v>123</v>
      </c>
    </row>
    <row r="7304" spans="1:2" x14ac:dyDescent="0.2">
      <c r="A7304" s="117">
        <v>42001</v>
      </c>
      <c r="B7304" s="116">
        <f t="shared" si="115"/>
        <v>124</v>
      </c>
    </row>
    <row r="7305" spans="1:2" x14ac:dyDescent="0.2">
      <c r="A7305" s="117">
        <v>42002</v>
      </c>
      <c r="B7305" s="116">
        <f t="shared" si="115"/>
        <v>124</v>
      </c>
    </row>
    <row r="7306" spans="1:2" x14ac:dyDescent="0.2">
      <c r="A7306" s="117">
        <v>42003</v>
      </c>
      <c r="B7306" s="116">
        <f t="shared" si="115"/>
        <v>124</v>
      </c>
    </row>
    <row r="7307" spans="1:2" x14ac:dyDescent="0.2">
      <c r="A7307" s="117">
        <v>42004</v>
      </c>
      <c r="B7307" s="116">
        <f t="shared" si="115"/>
        <v>124</v>
      </c>
    </row>
    <row r="7308" spans="1:2" x14ac:dyDescent="0.2">
      <c r="A7308" s="117">
        <v>42005</v>
      </c>
      <c r="B7308" s="116">
        <f t="shared" si="115"/>
        <v>11</v>
      </c>
    </row>
    <row r="7309" spans="1:2" x14ac:dyDescent="0.2">
      <c r="A7309" s="117">
        <v>42006</v>
      </c>
      <c r="B7309" s="116">
        <f t="shared" si="115"/>
        <v>11</v>
      </c>
    </row>
    <row r="7310" spans="1:2" x14ac:dyDescent="0.2">
      <c r="A7310" s="117">
        <v>42007</v>
      </c>
      <c r="B7310" s="116">
        <f t="shared" si="115"/>
        <v>11</v>
      </c>
    </row>
    <row r="7311" spans="1:2" x14ac:dyDescent="0.2">
      <c r="A7311" s="117">
        <v>42008</v>
      </c>
      <c r="B7311" s="116">
        <f t="shared" si="115"/>
        <v>12</v>
      </c>
    </row>
    <row r="7312" spans="1:2" x14ac:dyDescent="0.2">
      <c r="A7312" s="117">
        <v>42009</v>
      </c>
      <c r="B7312" s="116">
        <f t="shared" si="115"/>
        <v>12</v>
      </c>
    </row>
    <row r="7313" spans="1:2" x14ac:dyDescent="0.2">
      <c r="A7313" s="117">
        <v>42010</v>
      </c>
      <c r="B7313" s="116">
        <f t="shared" si="115"/>
        <v>12</v>
      </c>
    </row>
    <row r="7314" spans="1:2" x14ac:dyDescent="0.2">
      <c r="A7314" s="117">
        <v>42011</v>
      </c>
      <c r="B7314" s="116">
        <f t="shared" si="115"/>
        <v>12</v>
      </c>
    </row>
    <row r="7315" spans="1:2" x14ac:dyDescent="0.2">
      <c r="A7315" s="117">
        <v>42012</v>
      </c>
      <c r="B7315" s="116">
        <f t="shared" si="115"/>
        <v>12</v>
      </c>
    </row>
    <row r="7316" spans="1:2" x14ac:dyDescent="0.2">
      <c r="A7316" s="117">
        <v>42013</v>
      </c>
      <c r="B7316" s="116">
        <f t="shared" si="115"/>
        <v>12</v>
      </c>
    </row>
    <row r="7317" spans="1:2" x14ac:dyDescent="0.2">
      <c r="A7317" s="117">
        <v>42014</v>
      </c>
      <c r="B7317" s="116">
        <f t="shared" si="115"/>
        <v>12</v>
      </c>
    </row>
    <row r="7318" spans="1:2" x14ac:dyDescent="0.2">
      <c r="A7318" s="117">
        <v>42015</v>
      </c>
      <c r="B7318" s="116">
        <f t="shared" si="115"/>
        <v>13</v>
      </c>
    </row>
    <row r="7319" spans="1:2" x14ac:dyDescent="0.2">
      <c r="A7319" s="117">
        <v>42016</v>
      </c>
      <c r="B7319" s="116">
        <f t="shared" si="115"/>
        <v>13</v>
      </c>
    </row>
    <row r="7320" spans="1:2" x14ac:dyDescent="0.2">
      <c r="A7320" s="117">
        <v>42017</v>
      </c>
      <c r="B7320" s="116">
        <f t="shared" si="115"/>
        <v>13</v>
      </c>
    </row>
    <row r="7321" spans="1:2" x14ac:dyDescent="0.2">
      <c r="A7321" s="117">
        <v>42018</v>
      </c>
      <c r="B7321" s="116">
        <f t="shared" si="115"/>
        <v>13</v>
      </c>
    </row>
    <row r="7322" spans="1:2" x14ac:dyDescent="0.2">
      <c r="A7322" s="117">
        <v>42019</v>
      </c>
      <c r="B7322" s="116">
        <f t="shared" si="115"/>
        <v>13</v>
      </c>
    </row>
    <row r="7323" spans="1:2" x14ac:dyDescent="0.2">
      <c r="A7323" s="117">
        <v>42020</v>
      </c>
      <c r="B7323" s="116">
        <f t="shared" si="115"/>
        <v>13</v>
      </c>
    </row>
    <row r="7324" spans="1:2" x14ac:dyDescent="0.2">
      <c r="A7324" s="117">
        <v>42021</v>
      </c>
      <c r="B7324" s="116">
        <f t="shared" si="115"/>
        <v>13</v>
      </c>
    </row>
    <row r="7325" spans="1:2" x14ac:dyDescent="0.2">
      <c r="A7325" s="117">
        <v>42022</v>
      </c>
      <c r="B7325" s="116">
        <f t="shared" si="115"/>
        <v>14</v>
      </c>
    </row>
    <row r="7326" spans="1:2" x14ac:dyDescent="0.2">
      <c r="A7326" s="117">
        <v>42023</v>
      </c>
      <c r="B7326" s="116">
        <f t="shared" si="115"/>
        <v>14</v>
      </c>
    </row>
    <row r="7327" spans="1:2" x14ac:dyDescent="0.2">
      <c r="A7327" s="117">
        <v>42024</v>
      </c>
      <c r="B7327" s="116">
        <f t="shared" si="115"/>
        <v>14</v>
      </c>
    </row>
    <row r="7328" spans="1:2" x14ac:dyDescent="0.2">
      <c r="A7328" s="117">
        <v>42025</v>
      </c>
      <c r="B7328" s="116">
        <f t="shared" si="115"/>
        <v>14</v>
      </c>
    </row>
    <row r="7329" spans="1:2" x14ac:dyDescent="0.2">
      <c r="A7329" s="117">
        <v>42026</v>
      </c>
      <c r="B7329" s="116">
        <f t="shared" si="115"/>
        <v>14</v>
      </c>
    </row>
    <row r="7330" spans="1:2" x14ac:dyDescent="0.2">
      <c r="A7330" s="117">
        <v>42027</v>
      </c>
      <c r="B7330" s="116">
        <f t="shared" si="115"/>
        <v>14</v>
      </c>
    </row>
    <row r="7331" spans="1:2" x14ac:dyDescent="0.2">
      <c r="A7331" s="117">
        <v>42028</v>
      </c>
      <c r="B7331" s="116">
        <f t="shared" si="115"/>
        <v>14</v>
      </c>
    </row>
    <row r="7332" spans="1:2" x14ac:dyDescent="0.2">
      <c r="A7332" s="117">
        <v>42029</v>
      </c>
      <c r="B7332" s="116">
        <f t="shared" si="115"/>
        <v>15</v>
      </c>
    </row>
    <row r="7333" spans="1:2" x14ac:dyDescent="0.2">
      <c r="A7333" s="117">
        <v>42030</v>
      </c>
      <c r="B7333" s="116">
        <f t="shared" si="115"/>
        <v>15</v>
      </c>
    </row>
    <row r="7334" spans="1:2" x14ac:dyDescent="0.2">
      <c r="A7334" s="117">
        <v>42031</v>
      </c>
      <c r="B7334" s="116">
        <f t="shared" ref="B7334:B7397" si="116">VLOOKUP(WEEKNUM(A7334),$D$4:$E$59,2)</f>
        <v>15</v>
      </c>
    </row>
    <row r="7335" spans="1:2" x14ac:dyDescent="0.2">
      <c r="A7335" s="117">
        <v>42032</v>
      </c>
      <c r="B7335" s="116">
        <f t="shared" si="116"/>
        <v>15</v>
      </c>
    </row>
    <row r="7336" spans="1:2" x14ac:dyDescent="0.2">
      <c r="A7336" s="117">
        <v>42033</v>
      </c>
      <c r="B7336" s="116">
        <f t="shared" si="116"/>
        <v>15</v>
      </c>
    </row>
    <row r="7337" spans="1:2" x14ac:dyDescent="0.2">
      <c r="A7337" s="117">
        <v>42034</v>
      </c>
      <c r="B7337" s="116">
        <f t="shared" si="116"/>
        <v>15</v>
      </c>
    </row>
    <row r="7338" spans="1:2" x14ac:dyDescent="0.2">
      <c r="A7338" s="117">
        <v>42035</v>
      </c>
      <c r="B7338" s="116">
        <f t="shared" si="116"/>
        <v>15</v>
      </c>
    </row>
    <row r="7339" spans="1:2" x14ac:dyDescent="0.2">
      <c r="A7339" s="117">
        <v>42036</v>
      </c>
      <c r="B7339" s="116">
        <f t="shared" si="116"/>
        <v>21</v>
      </c>
    </row>
    <row r="7340" spans="1:2" x14ac:dyDescent="0.2">
      <c r="A7340" s="117">
        <v>42037</v>
      </c>
      <c r="B7340" s="116">
        <f t="shared" si="116"/>
        <v>21</v>
      </c>
    </row>
    <row r="7341" spans="1:2" x14ac:dyDescent="0.2">
      <c r="A7341" s="117">
        <v>42038</v>
      </c>
      <c r="B7341" s="116">
        <f t="shared" si="116"/>
        <v>21</v>
      </c>
    </row>
    <row r="7342" spans="1:2" x14ac:dyDescent="0.2">
      <c r="A7342" s="117">
        <v>42039</v>
      </c>
      <c r="B7342" s="116">
        <f t="shared" si="116"/>
        <v>21</v>
      </c>
    </row>
    <row r="7343" spans="1:2" x14ac:dyDescent="0.2">
      <c r="A7343" s="117">
        <v>42040</v>
      </c>
      <c r="B7343" s="116">
        <f t="shared" si="116"/>
        <v>21</v>
      </c>
    </row>
    <row r="7344" spans="1:2" x14ac:dyDescent="0.2">
      <c r="A7344" s="117">
        <v>42041</v>
      </c>
      <c r="B7344" s="116">
        <f t="shared" si="116"/>
        <v>21</v>
      </c>
    </row>
    <row r="7345" spans="1:2" x14ac:dyDescent="0.2">
      <c r="A7345" s="117">
        <v>42042</v>
      </c>
      <c r="B7345" s="116">
        <f t="shared" si="116"/>
        <v>21</v>
      </c>
    </row>
    <row r="7346" spans="1:2" x14ac:dyDescent="0.2">
      <c r="A7346" s="117">
        <v>42043</v>
      </c>
      <c r="B7346" s="116">
        <f t="shared" si="116"/>
        <v>22</v>
      </c>
    </row>
    <row r="7347" spans="1:2" x14ac:dyDescent="0.2">
      <c r="A7347" s="117">
        <v>42044</v>
      </c>
      <c r="B7347" s="116">
        <f t="shared" si="116"/>
        <v>22</v>
      </c>
    </row>
    <row r="7348" spans="1:2" x14ac:dyDescent="0.2">
      <c r="A7348" s="117">
        <v>42045</v>
      </c>
      <c r="B7348" s="116">
        <f t="shared" si="116"/>
        <v>22</v>
      </c>
    </row>
    <row r="7349" spans="1:2" x14ac:dyDescent="0.2">
      <c r="A7349" s="117">
        <v>42046</v>
      </c>
      <c r="B7349" s="116">
        <f t="shared" si="116"/>
        <v>22</v>
      </c>
    </row>
    <row r="7350" spans="1:2" x14ac:dyDescent="0.2">
      <c r="A7350" s="117">
        <v>42047</v>
      </c>
      <c r="B7350" s="116">
        <f t="shared" si="116"/>
        <v>22</v>
      </c>
    </row>
    <row r="7351" spans="1:2" x14ac:dyDescent="0.2">
      <c r="A7351" s="117">
        <v>42048</v>
      </c>
      <c r="B7351" s="116">
        <f t="shared" si="116"/>
        <v>22</v>
      </c>
    </row>
    <row r="7352" spans="1:2" x14ac:dyDescent="0.2">
      <c r="A7352" s="117">
        <v>42049</v>
      </c>
      <c r="B7352" s="116">
        <f t="shared" si="116"/>
        <v>22</v>
      </c>
    </row>
    <row r="7353" spans="1:2" x14ac:dyDescent="0.2">
      <c r="A7353" s="117">
        <v>42050</v>
      </c>
      <c r="B7353" s="116">
        <f t="shared" si="116"/>
        <v>23</v>
      </c>
    </row>
    <row r="7354" spans="1:2" x14ac:dyDescent="0.2">
      <c r="A7354" s="117">
        <v>42051</v>
      </c>
      <c r="B7354" s="116">
        <f t="shared" si="116"/>
        <v>23</v>
      </c>
    </row>
    <row r="7355" spans="1:2" x14ac:dyDescent="0.2">
      <c r="A7355" s="117">
        <v>42052</v>
      </c>
      <c r="B7355" s="116">
        <f t="shared" si="116"/>
        <v>23</v>
      </c>
    </row>
    <row r="7356" spans="1:2" x14ac:dyDescent="0.2">
      <c r="A7356" s="117">
        <v>42053</v>
      </c>
      <c r="B7356" s="116">
        <f t="shared" si="116"/>
        <v>23</v>
      </c>
    </row>
    <row r="7357" spans="1:2" x14ac:dyDescent="0.2">
      <c r="A7357" s="117">
        <v>42054</v>
      </c>
      <c r="B7357" s="116">
        <f t="shared" si="116"/>
        <v>23</v>
      </c>
    </row>
    <row r="7358" spans="1:2" x14ac:dyDescent="0.2">
      <c r="A7358" s="117">
        <v>42055</v>
      </c>
      <c r="B7358" s="116">
        <f t="shared" si="116"/>
        <v>23</v>
      </c>
    </row>
    <row r="7359" spans="1:2" x14ac:dyDescent="0.2">
      <c r="A7359" s="117">
        <v>42056</v>
      </c>
      <c r="B7359" s="116">
        <f t="shared" si="116"/>
        <v>23</v>
      </c>
    </row>
    <row r="7360" spans="1:2" x14ac:dyDescent="0.2">
      <c r="A7360" s="117">
        <v>42057</v>
      </c>
      <c r="B7360" s="116">
        <f t="shared" si="116"/>
        <v>24</v>
      </c>
    </row>
    <row r="7361" spans="1:2" x14ac:dyDescent="0.2">
      <c r="A7361" s="117">
        <v>42058</v>
      </c>
      <c r="B7361" s="116">
        <f t="shared" si="116"/>
        <v>24</v>
      </c>
    </row>
    <row r="7362" spans="1:2" x14ac:dyDescent="0.2">
      <c r="A7362" s="117">
        <v>42059</v>
      </c>
      <c r="B7362" s="116">
        <f t="shared" si="116"/>
        <v>24</v>
      </c>
    </row>
    <row r="7363" spans="1:2" x14ac:dyDescent="0.2">
      <c r="A7363" s="117">
        <v>42060</v>
      </c>
      <c r="B7363" s="116">
        <f t="shared" si="116"/>
        <v>24</v>
      </c>
    </row>
    <row r="7364" spans="1:2" x14ac:dyDescent="0.2">
      <c r="A7364" s="117">
        <v>42061</v>
      </c>
      <c r="B7364" s="116">
        <f t="shared" si="116"/>
        <v>24</v>
      </c>
    </row>
    <row r="7365" spans="1:2" x14ac:dyDescent="0.2">
      <c r="A7365" s="117">
        <v>42062</v>
      </c>
      <c r="B7365" s="116">
        <f t="shared" si="116"/>
        <v>24</v>
      </c>
    </row>
    <row r="7366" spans="1:2" x14ac:dyDescent="0.2">
      <c r="A7366" s="117">
        <v>42063</v>
      </c>
      <c r="B7366" s="116">
        <f t="shared" si="116"/>
        <v>24</v>
      </c>
    </row>
    <row r="7367" spans="1:2" x14ac:dyDescent="0.2">
      <c r="A7367" s="117">
        <v>42064</v>
      </c>
      <c r="B7367" s="116">
        <f t="shared" si="116"/>
        <v>31</v>
      </c>
    </row>
    <row r="7368" spans="1:2" x14ac:dyDescent="0.2">
      <c r="A7368" s="117">
        <v>42065</v>
      </c>
      <c r="B7368" s="116">
        <f t="shared" si="116"/>
        <v>31</v>
      </c>
    </row>
    <row r="7369" spans="1:2" x14ac:dyDescent="0.2">
      <c r="A7369" s="117">
        <v>42066</v>
      </c>
      <c r="B7369" s="116">
        <f t="shared" si="116"/>
        <v>31</v>
      </c>
    </row>
    <row r="7370" spans="1:2" x14ac:dyDescent="0.2">
      <c r="A7370" s="117">
        <v>42067</v>
      </c>
      <c r="B7370" s="116">
        <f t="shared" si="116"/>
        <v>31</v>
      </c>
    </row>
    <row r="7371" spans="1:2" x14ac:dyDescent="0.2">
      <c r="A7371" s="117">
        <v>42068</v>
      </c>
      <c r="B7371" s="116">
        <f t="shared" si="116"/>
        <v>31</v>
      </c>
    </row>
    <row r="7372" spans="1:2" x14ac:dyDescent="0.2">
      <c r="A7372" s="117">
        <v>42069</v>
      </c>
      <c r="B7372" s="116">
        <f t="shared" si="116"/>
        <v>31</v>
      </c>
    </row>
    <row r="7373" spans="1:2" x14ac:dyDescent="0.2">
      <c r="A7373" s="117">
        <v>42070</v>
      </c>
      <c r="B7373" s="116">
        <f t="shared" si="116"/>
        <v>31</v>
      </c>
    </row>
    <row r="7374" spans="1:2" x14ac:dyDescent="0.2">
      <c r="A7374" s="117">
        <v>42071</v>
      </c>
      <c r="B7374" s="116">
        <f t="shared" si="116"/>
        <v>32</v>
      </c>
    </row>
    <row r="7375" spans="1:2" x14ac:dyDescent="0.2">
      <c r="A7375" s="117">
        <v>42072</v>
      </c>
      <c r="B7375" s="116">
        <f t="shared" si="116"/>
        <v>32</v>
      </c>
    </row>
    <row r="7376" spans="1:2" x14ac:dyDescent="0.2">
      <c r="A7376" s="117">
        <v>42073</v>
      </c>
      <c r="B7376" s="116">
        <f t="shared" si="116"/>
        <v>32</v>
      </c>
    </row>
    <row r="7377" spans="1:2" x14ac:dyDescent="0.2">
      <c r="A7377" s="117">
        <v>42074</v>
      </c>
      <c r="B7377" s="116">
        <f t="shared" si="116"/>
        <v>32</v>
      </c>
    </row>
    <row r="7378" spans="1:2" x14ac:dyDescent="0.2">
      <c r="A7378" s="117">
        <v>42075</v>
      </c>
      <c r="B7378" s="116">
        <f t="shared" si="116"/>
        <v>32</v>
      </c>
    </row>
    <row r="7379" spans="1:2" x14ac:dyDescent="0.2">
      <c r="A7379" s="117">
        <v>42076</v>
      </c>
      <c r="B7379" s="116">
        <f t="shared" si="116"/>
        <v>32</v>
      </c>
    </row>
    <row r="7380" spans="1:2" x14ac:dyDescent="0.2">
      <c r="A7380" s="117">
        <v>42077</v>
      </c>
      <c r="B7380" s="116">
        <f t="shared" si="116"/>
        <v>32</v>
      </c>
    </row>
    <row r="7381" spans="1:2" x14ac:dyDescent="0.2">
      <c r="A7381" s="117">
        <v>42078</v>
      </c>
      <c r="B7381" s="116">
        <f t="shared" si="116"/>
        <v>33</v>
      </c>
    </row>
    <row r="7382" spans="1:2" x14ac:dyDescent="0.2">
      <c r="A7382" s="117">
        <v>42079</v>
      </c>
      <c r="B7382" s="116">
        <f t="shared" si="116"/>
        <v>33</v>
      </c>
    </row>
    <row r="7383" spans="1:2" x14ac:dyDescent="0.2">
      <c r="A7383" s="117">
        <v>42080</v>
      </c>
      <c r="B7383" s="116">
        <f t="shared" si="116"/>
        <v>33</v>
      </c>
    </row>
    <row r="7384" spans="1:2" x14ac:dyDescent="0.2">
      <c r="A7384" s="117">
        <v>42081</v>
      </c>
      <c r="B7384" s="116">
        <f t="shared" si="116"/>
        <v>33</v>
      </c>
    </row>
    <row r="7385" spans="1:2" x14ac:dyDescent="0.2">
      <c r="A7385" s="117">
        <v>42082</v>
      </c>
      <c r="B7385" s="116">
        <f t="shared" si="116"/>
        <v>33</v>
      </c>
    </row>
    <row r="7386" spans="1:2" x14ac:dyDescent="0.2">
      <c r="A7386" s="117">
        <v>42083</v>
      </c>
      <c r="B7386" s="116">
        <f t="shared" si="116"/>
        <v>33</v>
      </c>
    </row>
    <row r="7387" spans="1:2" x14ac:dyDescent="0.2">
      <c r="A7387" s="117">
        <v>42084</v>
      </c>
      <c r="B7387" s="116">
        <f t="shared" si="116"/>
        <v>33</v>
      </c>
    </row>
    <row r="7388" spans="1:2" x14ac:dyDescent="0.2">
      <c r="A7388" s="117">
        <v>42085</v>
      </c>
      <c r="B7388" s="116">
        <f t="shared" si="116"/>
        <v>34</v>
      </c>
    </row>
    <row r="7389" spans="1:2" x14ac:dyDescent="0.2">
      <c r="A7389" s="117">
        <v>42086</v>
      </c>
      <c r="B7389" s="116">
        <f t="shared" si="116"/>
        <v>34</v>
      </c>
    </row>
    <row r="7390" spans="1:2" x14ac:dyDescent="0.2">
      <c r="A7390" s="117">
        <v>42087</v>
      </c>
      <c r="B7390" s="116">
        <f t="shared" si="116"/>
        <v>34</v>
      </c>
    </row>
    <row r="7391" spans="1:2" x14ac:dyDescent="0.2">
      <c r="A7391" s="117">
        <v>42088</v>
      </c>
      <c r="B7391" s="116">
        <f t="shared" si="116"/>
        <v>34</v>
      </c>
    </row>
    <row r="7392" spans="1:2" x14ac:dyDescent="0.2">
      <c r="A7392" s="117">
        <v>42089</v>
      </c>
      <c r="B7392" s="116">
        <f t="shared" si="116"/>
        <v>34</v>
      </c>
    </row>
    <row r="7393" spans="1:2" x14ac:dyDescent="0.2">
      <c r="A7393" s="117">
        <v>42090</v>
      </c>
      <c r="B7393" s="116">
        <f t="shared" si="116"/>
        <v>34</v>
      </c>
    </row>
    <row r="7394" spans="1:2" x14ac:dyDescent="0.2">
      <c r="A7394" s="117">
        <v>42091</v>
      </c>
      <c r="B7394" s="116">
        <f t="shared" si="116"/>
        <v>34</v>
      </c>
    </row>
    <row r="7395" spans="1:2" x14ac:dyDescent="0.2">
      <c r="A7395" s="117">
        <v>42092</v>
      </c>
      <c r="B7395" s="116">
        <f t="shared" si="116"/>
        <v>41</v>
      </c>
    </row>
    <row r="7396" spans="1:2" x14ac:dyDescent="0.2">
      <c r="A7396" s="117">
        <v>42093</v>
      </c>
      <c r="B7396" s="116">
        <f t="shared" si="116"/>
        <v>41</v>
      </c>
    </row>
    <row r="7397" spans="1:2" x14ac:dyDescent="0.2">
      <c r="A7397" s="117">
        <v>42094</v>
      </c>
      <c r="B7397" s="116">
        <f t="shared" si="116"/>
        <v>41</v>
      </c>
    </row>
    <row r="7398" spans="1:2" x14ac:dyDescent="0.2">
      <c r="A7398" s="117">
        <v>42095</v>
      </c>
      <c r="B7398" s="116">
        <f t="shared" ref="B7398:B7461" si="117">VLOOKUP(WEEKNUM(A7398),$D$4:$E$59,2)</f>
        <v>41</v>
      </c>
    </row>
    <row r="7399" spans="1:2" x14ac:dyDescent="0.2">
      <c r="A7399" s="117">
        <v>42096</v>
      </c>
      <c r="B7399" s="116">
        <f t="shared" si="117"/>
        <v>41</v>
      </c>
    </row>
    <row r="7400" spans="1:2" x14ac:dyDescent="0.2">
      <c r="A7400" s="117">
        <v>42097</v>
      </c>
      <c r="B7400" s="116">
        <f t="shared" si="117"/>
        <v>41</v>
      </c>
    </row>
    <row r="7401" spans="1:2" x14ac:dyDescent="0.2">
      <c r="A7401" s="117">
        <v>42098</v>
      </c>
      <c r="B7401" s="116">
        <f t="shared" si="117"/>
        <v>41</v>
      </c>
    </row>
    <row r="7402" spans="1:2" x14ac:dyDescent="0.2">
      <c r="A7402" s="117">
        <v>42099</v>
      </c>
      <c r="B7402" s="116">
        <f t="shared" si="117"/>
        <v>42</v>
      </c>
    </row>
    <row r="7403" spans="1:2" x14ac:dyDescent="0.2">
      <c r="A7403" s="117">
        <v>42100</v>
      </c>
      <c r="B7403" s="116">
        <f t="shared" si="117"/>
        <v>42</v>
      </c>
    </row>
    <row r="7404" spans="1:2" x14ac:dyDescent="0.2">
      <c r="A7404" s="117">
        <v>42101</v>
      </c>
      <c r="B7404" s="116">
        <f t="shared" si="117"/>
        <v>42</v>
      </c>
    </row>
    <row r="7405" spans="1:2" x14ac:dyDescent="0.2">
      <c r="A7405" s="117">
        <v>42102</v>
      </c>
      <c r="B7405" s="116">
        <f t="shared" si="117"/>
        <v>42</v>
      </c>
    </row>
    <row r="7406" spans="1:2" x14ac:dyDescent="0.2">
      <c r="A7406" s="117">
        <v>42103</v>
      </c>
      <c r="B7406" s="116">
        <f t="shared" si="117"/>
        <v>42</v>
      </c>
    </row>
    <row r="7407" spans="1:2" x14ac:dyDescent="0.2">
      <c r="A7407" s="117">
        <v>42104</v>
      </c>
      <c r="B7407" s="116">
        <f t="shared" si="117"/>
        <v>42</v>
      </c>
    </row>
    <row r="7408" spans="1:2" x14ac:dyDescent="0.2">
      <c r="A7408" s="117">
        <v>42105</v>
      </c>
      <c r="B7408" s="116">
        <f t="shared" si="117"/>
        <v>42</v>
      </c>
    </row>
    <row r="7409" spans="1:2" x14ac:dyDescent="0.2">
      <c r="A7409" s="117">
        <v>42106</v>
      </c>
      <c r="B7409" s="116">
        <f t="shared" si="117"/>
        <v>43</v>
      </c>
    </row>
    <row r="7410" spans="1:2" x14ac:dyDescent="0.2">
      <c r="A7410" s="117">
        <v>42107</v>
      </c>
      <c r="B7410" s="116">
        <f t="shared" si="117"/>
        <v>43</v>
      </c>
    </row>
    <row r="7411" spans="1:2" x14ac:dyDescent="0.2">
      <c r="A7411" s="117">
        <v>42108</v>
      </c>
      <c r="B7411" s="116">
        <f t="shared" si="117"/>
        <v>43</v>
      </c>
    </row>
    <row r="7412" spans="1:2" x14ac:dyDescent="0.2">
      <c r="A7412" s="117">
        <v>42109</v>
      </c>
      <c r="B7412" s="116">
        <f t="shared" si="117"/>
        <v>43</v>
      </c>
    </row>
    <row r="7413" spans="1:2" x14ac:dyDescent="0.2">
      <c r="A7413" s="117">
        <v>42110</v>
      </c>
      <c r="B7413" s="116">
        <f t="shared" si="117"/>
        <v>43</v>
      </c>
    </row>
    <row r="7414" spans="1:2" x14ac:dyDescent="0.2">
      <c r="A7414" s="117">
        <v>42111</v>
      </c>
      <c r="B7414" s="116">
        <f t="shared" si="117"/>
        <v>43</v>
      </c>
    </row>
    <row r="7415" spans="1:2" x14ac:dyDescent="0.2">
      <c r="A7415" s="117">
        <v>42112</v>
      </c>
      <c r="B7415" s="116">
        <f t="shared" si="117"/>
        <v>43</v>
      </c>
    </row>
    <row r="7416" spans="1:2" x14ac:dyDescent="0.2">
      <c r="A7416" s="117">
        <v>42113</v>
      </c>
      <c r="B7416" s="116">
        <f t="shared" si="117"/>
        <v>44</v>
      </c>
    </row>
    <row r="7417" spans="1:2" x14ac:dyDescent="0.2">
      <c r="A7417" s="117">
        <v>42114</v>
      </c>
      <c r="B7417" s="116">
        <f t="shared" si="117"/>
        <v>44</v>
      </c>
    </row>
    <row r="7418" spans="1:2" x14ac:dyDescent="0.2">
      <c r="A7418" s="117">
        <v>42115</v>
      </c>
      <c r="B7418" s="116">
        <f t="shared" si="117"/>
        <v>44</v>
      </c>
    </row>
    <row r="7419" spans="1:2" x14ac:dyDescent="0.2">
      <c r="A7419" s="117">
        <v>42116</v>
      </c>
      <c r="B7419" s="116">
        <f t="shared" si="117"/>
        <v>44</v>
      </c>
    </row>
    <row r="7420" spans="1:2" x14ac:dyDescent="0.2">
      <c r="A7420" s="117">
        <v>42117</v>
      </c>
      <c r="B7420" s="116">
        <f t="shared" si="117"/>
        <v>44</v>
      </c>
    </row>
    <row r="7421" spans="1:2" x14ac:dyDescent="0.2">
      <c r="A7421" s="117">
        <v>42118</v>
      </c>
      <c r="B7421" s="116">
        <f t="shared" si="117"/>
        <v>44</v>
      </c>
    </row>
    <row r="7422" spans="1:2" x14ac:dyDescent="0.2">
      <c r="A7422" s="117">
        <v>42119</v>
      </c>
      <c r="B7422" s="116">
        <f t="shared" si="117"/>
        <v>44</v>
      </c>
    </row>
    <row r="7423" spans="1:2" x14ac:dyDescent="0.2">
      <c r="A7423" s="117">
        <v>42120</v>
      </c>
      <c r="B7423" s="116">
        <f t="shared" si="117"/>
        <v>45</v>
      </c>
    </row>
    <row r="7424" spans="1:2" x14ac:dyDescent="0.2">
      <c r="A7424" s="117">
        <v>42121</v>
      </c>
      <c r="B7424" s="116">
        <f t="shared" si="117"/>
        <v>45</v>
      </c>
    </row>
    <row r="7425" spans="1:2" x14ac:dyDescent="0.2">
      <c r="A7425" s="117">
        <v>42122</v>
      </c>
      <c r="B7425" s="116">
        <f t="shared" si="117"/>
        <v>45</v>
      </c>
    </row>
    <row r="7426" spans="1:2" x14ac:dyDescent="0.2">
      <c r="A7426" s="117">
        <v>42123</v>
      </c>
      <c r="B7426" s="116">
        <f t="shared" si="117"/>
        <v>45</v>
      </c>
    </row>
    <row r="7427" spans="1:2" x14ac:dyDescent="0.2">
      <c r="A7427" s="117">
        <v>42124</v>
      </c>
      <c r="B7427" s="116">
        <f t="shared" si="117"/>
        <v>45</v>
      </c>
    </row>
    <row r="7428" spans="1:2" x14ac:dyDescent="0.2">
      <c r="A7428" s="117">
        <v>42125</v>
      </c>
      <c r="B7428" s="116">
        <f t="shared" si="117"/>
        <v>45</v>
      </c>
    </row>
    <row r="7429" spans="1:2" x14ac:dyDescent="0.2">
      <c r="A7429" s="117">
        <v>42126</v>
      </c>
      <c r="B7429" s="116">
        <f t="shared" si="117"/>
        <v>45</v>
      </c>
    </row>
    <row r="7430" spans="1:2" x14ac:dyDescent="0.2">
      <c r="A7430" s="117">
        <v>42127</v>
      </c>
      <c r="B7430" s="116">
        <f t="shared" si="117"/>
        <v>51</v>
      </c>
    </row>
    <row r="7431" spans="1:2" x14ac:dyDescent="0.2">
      <c r="A7431" s="117">
        <v>42128</v>
      </c>
      <c r="B7431" s="116">
        <f t="shared" si="117"/>
        <v>51</v>
      </c>
    </row>
    <row r="7432" spans="1:2" x14ac:dyDescent="0.2">
      <c r="A7432" s="117">
        <v>42129</v>
      </c>
      <c r="B7432" s="116">
        <f t="shared" si="117"/>
        <v>51</v>
      </c>
    </row>
    <row r="7433" spans="1:2" x14ac:dyDescent="0.2">
      <c r="A7433" s="117">
        <v>42130</v>
      </c>
      <c r="B7433" s="116">
        <f t="shared" si="117"/>
        <v>51</v>
      </c>
    </row>
    <row r="7434" spans="1:2" x14ac:dyDescent="0.2">
      <c r="A7434" s="117">
        <v>42131</v>
      </c>
      <c r="B7434" s="116">
        <f t="shared" si="117"/>
        <v>51</v>
      </c>
    </row>
    <row r="7435" spans="1:2" x14ac:dyDescent="0.2">
      <c r="A7435" s="117">
        <v>42132</v>
      </c>
      <c r="B7435" s="116">
        <f t="shared" si="117"/>
        <v>51</v>
      </c>
    </row>
    <row r="7436" spans="1:2" x14ac:dyDescent="0.2">
      <c r="A7436" s="117">
        <v>42133</v>
      </c>
      <c r="B7436" s="116">
        <f t="shared" si="117"/>
        <v>51</v>
      </c>
    </row>
    <row r="7437" spans="1:2" x14ac:dyDescent="0.2">
      <c r="A7437" s="117">
        <v>42134</v>
      </c>
      <c r="B7437" s="116">
        <f t="shared" si="117"/>
        <v>52</v>
      </c>
    </row>
    <row r="7438" spans="1:2" x14ac:dyDescent="0.2">
      <c r="A7438" s="117">
        <v>42135</v>
      </c>
      <c r="B7438" s="116">
        <f t="shared" si="117"/>
        <v>52</v>
      </c>
    </row>
    <row r="7439" spans="1:2" x14ac:dyDescent="0.2">
      <c r="A7439" s="117">
        <v>42136</v>
      </c>
      <c r="B7439" s="116">
        <f t="shared" si="117"/>
        <v>52</v>
      </c>
    </row>
    <row r="7440" spans="1:2" x14ac:dyDescent="0.2">
      <c r="A7440" s="117">
        <v>42137</v>
      </c>
      <c r="B7440" s="116">
        <f t="shared" si="117"/>
        <v>52</v>
      </c>
    </row>
    <row r="7441" spans="1:2" x14ac:dyDescent="0.2">
      <c r="A7441" s="117">
        <v>42138</v>
      </c>
      <c r="B7441" s="116">
        <f t="shared" si="117"/>
        <v>52</v>
      </c>
    </row>
    <row r="7442" spans="1:2" x14ac:dyDescent="0.2">
      <c r="A7442" s="117">
        <v>42139</v>
      </c>
      <c r="B7442" s="116">
        <f t="shared" si="117"/>
        <v>52</v>
      </c>
    </row>
    <row r="7443" spans="1:2" x14ac:dyDescent="0.2">
      <c r="A7443" s="117">
        <v>42140</v>
      </c>
      <c r="B7443" s="116">
        <f t="shared" si="117"/>
        <v>52</v>
      </c>
    </row>
    <row r="7444" spans="1:2" x14ac:dyDescent="0.2">
      <c r="A7444" s="117">
        <v>42141</v>
      </c>
      <c r="B7444" s="116">
        <f t="shared" si="117"/>
        <v>53</v>
      </c>
    </row>
    <row r="7445" spans="1:2" x14ac:dyDescent="0.2">
      <c r="A7445" s="117">
        <v>42142</v>
      </c>
      <c r="B7445" s="116">
        <f t="shared" si="117"/>
        <v>53</v>
      </c>
    </row>
    <row r="7446" spans="1:2" x14ac:dyDescent="0.2">
      <c r="A7446" s="117">
        <v>42143</v>
      </c>
      <c r="B7446" s="116">
        <f t="shared" si="117"/>
        <v>53</v>
      </c>
    </row>
    <row r="7447" spans="1:2" x14ac:dyDescent="0.2">
      <c r="A7447" s="117">
        <v>42144</v>
      </c>
      <c r="B7447" s="116">
        <f t="shared" si="117"/>
        <v>53</v>
      </c>
    </row>
    <row r="7448" spans="1:2" x14ac:dyDescent="0.2">
      <c r="A7448" s="117">
        <v>42145</v>
      </c>
      <c r="B7448" s="116">
        <f t="shared" si="117"/>
        <v>53</v>
      </c>
    </row>
    <row r="7449" spans="1:2" x14ac:dyDescent="0.2">
      <c r="A7449" s="117">
        <v>42146</v>
      </c>
      <c r="B7449" s="116">
        <f t="shared" si="117"/>
        <v>53</v>
      </c>
    </row>
    <row r="7450" spans="1:2" x14ac:dyDescent="0.2">
      <c r="A7450" s="117">
        <v>42147</v>
      </c>
      <c r="B7450" s="116">
        <f t="shared" si="117"/>
        <v>53</v>
      </c>
    </row>
    <row r="7451" spans="1:2" x14ac:dyDescent="0.2">
      <c r="A7451" s="117">
        <v>42148</v>
      </c>
      <c r="B7451" s="116">
        <f t="shared" si="117"/>
        <v>54</v>
      </c>
    </row>
    <row r="7452" spans="1:2" x14ac:dyDescent="0.2">
      <c r="A7452" s="117">
        <v>42149</v>
      </c>
      <c r="B7452" s="116">
        <f t="shared" si="117"/>
        <v>54</v>
      </c>
    </row>
    <row r="7453" spans="1:2" x14ac:dyDescent="0.2">
      <c r="A7453" s="117">
        <v>42150</v>
      </c>
      <c r="B7453" s="116">
        <f t="shared" si="117"/>
        <v>54</v>
      </c>
    </row>
    <row r="7454" spans="1:2" x14ac:dyDescent="0.2">
      <c r="A7454" s="117">
        <v>42151</v>
      </c>
      <c r="B7454" s="116">
        <f t="shared" si="117"/>
        <v>54</v>
      </c>
    </row>
    <row r="7455" spans="1:2" x14ac:dyDescent="0.2">
      <c r="A7455" s="117">
        <v>42152</v>
      </c>
      <c r="B7455" s="116">
        <f t="shared" si="117"/>
        <v>54</v>
      </c>
    </row>
    <row r="7456" spans="1:2" x14ac:dyDescent="0.2">
      <c r="A7456" s="117">
        <v>42153</v>
      </c>
      <c r="B7456" s="116">
        <f t="shared" si="117"/>
        <v>54</v>
      </c>
    </row>
    <row r="7457" spans="1:2" x14ac:dyDescent="0.2">
      <c r="A7457" s="117">
        <v>42154</v>
      </c>
      <c r="B7457" s="116">
        <f t="shared" si="117"/>
        <v>54</v>
      </c>
    </row>
    <row r="7458" spans="1:2" x14ac:dyDescent="0.2">
      <c r="A7458" s="117">
        <v>42155</v>
      </c>
      <c r="B7458" s="116">
        <f t="shared" si="117"/>
        <v>61</v>
      </c>
    </row>
    <row r="7459" spans="1:2" x14ac:dyDescent="0.2">
      <c r="A7459" s="117">
        <v>42156</v>
      </c>
      <c r="B7459" s="116">
        <f t="shared" si="117"/>
        <v>61</v>
      </c>
    </row>
    <row r="7460" spans="1:2" x14ac:dyDescent="0.2">
      <c r="A7460" s="117">
        <v>42157</v>
      </c>
      <c r="B7460" s="116">
        <f t="shared" si="117"/>
        <v>61</v>
      </c>
    </row>
    <row r="7461" spans="1:2" x14ac:dyDescent="0.2">
      <c r="A7461" s="117">
        <v>42158</v>
      </c>
      <c r="B7461" s="116">
        <f t="shared" si="117"/>
        <v>61</v>
      </c>
    </row>
    <row r="7462" spans="1:2" x14ac:dyDescent="0.2">
      <c r="A7462" s="117">
        <v>42159</v>
      </c>
      <c r="B7462" s="116">
        <f t="shared" ref="B7462:B7525" si="118">VLOOKUP(WEEKNUM(A7462),$D$4:$E$59,2)</f>
        <v>61</v>
      </c>
    </row>
    <row r="7463" spans="1:2" x14ac:dyDescent="0.2">
      <c r="A7463" s="117">
        <v>42160</v>
      </c>
      <c r="B7463" s="116">
        <f t="shared" si="118"/>
        <v>61</v>
      </c>
    </row>
    <row r="7464" spans="1:2" x14ac:dyDescent="0.2">
      <c r="A7464" s="117">
        <v>42161</v>
      </c>
      <c r="B7464" s="116">
        <f t="shared" si="118"/>
        <v>61</v>
      </c>
    </row>
    <row r="7465" spans="1:2" x14ac:dyDescent="0.2">
      <c r="A7465" s="117">
        <v>42162</v>
      </c>
      <c r="B7465" s="116">
        <f t="shared" si="118"/>
        <v>62</v>
      </c>
    </row>
    <row r="7466" spans="1:2" x14ac:dyDescent="0.2">
      <c r="A7466" s="117">
        <v>42163</v>
      </c>
      <c r="B7466" s="116">
        <f t="shared" si="118"/>
        <v>62</v>
      </c>
    </row>
    <row r="7467" spans="1:2" x14ac:dyDescent="0.2">
      <c r="A7467" s="117">
        <v>42164</v>
      </c>
      <c r="B7467" s="116">
        <f t="shared" si="118"/>
        <v>62</v>
      </c>
    </row>
    <row r="7468" spans="1:2" x14ac:dyDescent="0.2">
      <c r="A7468" s="117">
        <v>42165</v>
      </c>
      <c r="B7468" s="116">
        <f t="shared" si="118"/>
        <v>62</v>
      </c>
    </row>
    <row r="7469" spans="1:2" x14ac:dyDescent="0.2">
      <c r="A7469" s="117">
        <v>42166</v>
      </c>
      <c r="B7469" s="116">
        <f t="shared" si="118"/>
        <v>62</v>
      </c>
    </row>
    <row r="7470" spans="1:2" x14ac:dyDescent="0.2">
      <c r="A7470" s="117">
        <v>42167</v>
      </c>
      <c r="B7470" s="116">
        <f t="shared" si="118"/>
        <v>62</v>
      </c>
    </row>
    <row r="7471" spans="1:2" x14ac:dyDescent="0.2">
      <c r="A7471" s="117">
        <v>42168</v>
      </c>
      <c r="B7471" s="116">
        <f t="shared" si="118"/>
        <v>62</v>
      </c>
    </row>
    <row r="7472" spans="1:2" x14ac:dyDescent="0.2">
      <c r="A7472" s="117">
        <v>42169</v>
      </c>
      <c r="B7472" s="116">
        <f t="shared" si="118"/>
        <v>63</v>
      </c>
    </row>
    <row r="7473" spans="1:2" x14ac:dyDescent="0.2">
      <c r="A7473" s="117">
        <v>42170</v>
      </c>
      <c r="B7473" s="116">
        <f t="shared" si="118"/>
        <v>63</v>
      </c>
    </row>
    <row r="7474" spans="1:2" x14ac:dyDescent="0.2">
      <c r="A7474" s="117">
        <v>42171</v>
      </c>
      <c r="B7474" s="116">
        <f t="shared" si="118"/>
        <v>63</v>
      </c>
    </row>
    <row r="7475" spans="1:2" x14ac:dyDescent="0.2">
      <c r="A7475" s="117">
        <v>42172</v>
      </c>
      <c r="B7475" s="116">
        <f t="shared" si="118"/>
        <v>63</v>
      </c>
    </row>
    <row r="7476" spans="1:2" x14ac:dyDescent="0.2">
      <c r="A7476" s="117">
        <v>42173</v>
      </c>
      <c r="B7476" s="116">
        <f t="shared" si="118"/>
        <v>63</v>
      </c>
    </row>
    <row r="7477" spans="1:2" x14ac:dyDescent="0.2">
      <c r="A7477" s="117">
        <v>42174</v>
      </c>
      <c r="B7477" s="116">
        <f t="shared" si="118"/>
        <v>63</v>
      </c>
    </row>
    <row r="7478" spans="1:2" x14ac:dyDescent="0.2">
      <c r="A7478" s="117">
        <v>42175</v>
      </c>
      <c r="B7478" s="116">
        <f t="shared" si="118"/>
        <v>63</v>
      </c>
    </row>
    <row r="7479" spans="1:2" x14ac:dyDescent="0.2">
      <c r="A7479" s="117">
        <v>42176</v>
      </c>
      <c r="B7479" s="116">
        <f t="shared" si="118"/>
        <v>64</v>
      </c>
    </row>
    <row r="7480" spans="1:2" x14ac:dyDescent="0.2">
      <c r="A7480" s="117">
        <v>42177</v>
      </c>
      <c r="B7480" s="116">
        <f t="shared" si="118"/>
        <v>64</v>
      </c>
    </row>
    <row r="7481" spans="1:2" x14ac:dyDescent="0.2">
      <c r="A7481" s="117">
        <v>42178</v>
      </c>
      <c r="B7481" s="116">
        <f t="shared" si="118"/>
        <v>64</v>
      </c>
    </row>
    <row r="7482" spans="1:2" x14ac:dyDescent="0.2">
      <c r="A7482" s="117">
        <v>42179</v>
      </c>
      <c r="B7482" s="116">
        <f t="shared" si="118"/>
        <v>64</v>
      </c>
    </row>
    <row r="7483" spans="1:2" x14ac:dyDescent="0.2">
      <c r="A7483" s="117">
        <v>42180</v>
      </c>
      <c r="B7483" s="116">
        <f t="shared" si="118"/>
        <v>64</v>
      </c>
    </row>
    <row r="7484" spans="1:2" x14ac:dyDescent="0.2">
      <c r="A7484" s="117">
        <v>42181</v>
      </c>
      <c r="B7484" s="116">
        <f t="shared" si="118"/>
        <v>64</v>
      </c>
    </row>
    <row r="7485" spans="1:2" x14ac:dyDescent="0.2">
      <c r="A7485" s="117">
        <v>42182</v>
      </c>
      <c r="B7485" s="116">
        <f t="shared" si="118"/>
        <v>64</v>
      </c>
    </row>
    <row r="7486" spans="1:2" x14ac:dyDescent="0.2">
      <c r="A7486" s="117">
        <v>42183</v>
      </c>
      <c r="B7486" s="116">
        <f t="shared" si="118"/>
        <v>71</v>
      </c>
    </row>
    <row r="7487" spans="1:2" x14ac:dyDescent="0.2">
      <c r="A7487" s="117">
        <v>42184</v>
      </c>
      <c r="B7487" s="116">
        <f t="shared" si="118"/>
        <v>71</v>
      </c>
    </row>
    <row r="7488" spans="1:2" x14ac:dyDescent="0.2">
      <c r="A7488" s="117">
        <v>42185</v>
      </c>
      <c r="B7488" s="116">
        <f t="shared" si="118"/>
        <v>71</v>
      </c>
    </row>
    <row r="7489" spans="1:2" x14ac:dyDescent="0.2">
      <c r="A7489" s="117">
        <v>42186</v>
      </c>
      <c r="B7489" s="116">
        <f t="shared" si="118"/>
        <v>71</v>
      </c>
    </row>
    <row r="7490" spans="1:2" x14ac:dyDescent="0.2">
      <c r="A7490" s="117">
        <v>42187</v>
      </c>
      <c r="B7490" s="116">
        <f t="shared" si="118"/>
        <v>71</v>
      </c>
    </row>
    <row r="7491" spans="1:2" x14ac:dyDescent="0.2">
      <c r="A7491" s="117">
        <v>42188</v>
      </c>
      <c r="B7491" s="116">
        <f t="shared" si="118"/>
        <v>71</v>
      </c>
    </row>
    <row r="7492" spans="1:2" x14ac:dyDescent="0.2">
      <c r="A7492" s="117">
        <v>42189</v>
      </c>
      <c r="B7492" s="116">
        <f t="shared" si="118"/>
        <v>71</v>
      </c>
    </row>
    <row r="7493" spans="1:2" x14ac:dyDescent="0.2">
      <c r="A7493" s="117">
        <v>42190</v>
      </c>
      <c r="B7493" s="116">
        <f t="shared" si="118"/>
        <v>72</v>
      </c>
    </row>
    <row r="7494" spans="1:2" x14ac:dyDescent="0.2">
      <c r="A7494" s="117">
        <v>42191</v>
      </c>
      <c r="B7494" s="116">
        <f t="shared" si="118"/>
        <v>72</v>
      </c>
    </row>
    <row r="7495" spans="1:2" x14ac:dyDescent="0.2">
      <c r="A7495" s="117">
        <v>42192</v>
      </c>
      <c r="B7495" s="116">
        <f t="shared" si="118"/>
        <v>72</v>
      </c>
    </row>
    <row r="7496" spans="1:2" x14ac:dyDescent="0.2">
      <c r="A7496" s="117">
        <v>42193</v>
      </c>
      <c r="B7496" s="116">
        <f t="shared" si="118"/>
        <v>72</v>
      </c>
    </row>
    <row r="7497" spans="1:2" x14ac:dyDescent="0.2">
      <c r="A7497" s="117">
        <v>42194</v>
      </c>
      <c r="B7497" s="116">
        <f t="shared" si="118"/>
        <v>72</v>
      </c>
    </row>
    <row r="7498" spans="1:2" x14ac:dyDescent="0.2">
      <c r="A7498" s="117">
        <v>42195</v>
      </c>
      <c r="B7498" s="116">
        <f t="shared" si="118"/>
        <v>72</v>
      </c>
    </row>
    <row r="7499" spans="1:2" x14ac:dyDescent="0.2">
      <c r="A7499" s="117">
        <v>42196</v>
      </c>
      <c r="B7499" s="116">
        <f t="shared" si="118"/>
        <v>72</v>
      </c>
    </row>
    <row r="7500" spans="1:2" x14ac:dyDescent="0.2">
      <c r="A7500" s="117">
        <v>42197</v>
      </c>
      <c r="B7500" s="116">
        <f t="shared" si="118"/>
        <v>73</v>
      </c>
    </row>
    <row r="7501" spans="1:2" x14ac:dyDescent="0.2">
      <c r="A7501" s="117">
        <v>42198</v>
      </c>
      <c r="B7501" s="116">
        <f t="shared" si="118"/>
        <v>73</v>
      </c>
    </row>
    <row r="7502" spans="1:2" x14ac:dyDescent="0.2">
      <c r="A7502" s="117">
        <v>42199</v>
      </c>
      <c r="B7502" s="116">
        <f t="shared" si="118"/>
        <v>73</v>
      </c>
    </row>
    <row r="7503" spans="1:2" x14ac:dyDescent="0.2">
      <c r="A7503" s="117">
        <v>42200</v>
      </c>
      <c r="B7503" s="116">
        <f t="shared" si="118"/>
        <v>73</v>
      </c>
    </row>
    <row r="7504" spans="1:2" x14ac:dyDescent="0.2">
      <c r="A7504" s="117">
        <v>42201</v>
      </c>
      <c r="B7504" s="116">
        <f t="shared" si="118"/>
        <v>73</v>
      </c>
    </row>
    <row r="7505" spans="1:2" x14ac:dyDescent="0.2">
      <c r="A7505" s="117">
        <v>42202</v>
      </c>
      <c r="B7505" s="116">
        <f t="shared" si="118"/>
        <v>73</v>
      </c>
    </row>
    <row r="7506" spans="1:2" x14ac:dyDescent="0.2">
      <c r="A7506" s="117">
        <v>42203</v>
      </c>
      <c r="B7506" s="116">
        <f t="shared" si="118"/>
        <v>73</v>
      </c>
    </row>
    <row r="7507" spans="1:2" x14ac:dyDescent="0.2">
      <c r="A7507" s="117">
        <v>42204</v>
      </c>
      <c r="B7507" s="116">
        <f t="shared" si="118"/>
        <v>74</v>
      </c>
    </row>
    <row r="7508" spans="1:2" x14ac:dyDescent="0.2">
      <c r="A7508" s="117">
        <v>42205</v>
      </c>
      <c r="B7508" s="116">
        <f t="shared" si="118"/>
        <v>74</v>
      </c>
    </row>
    <row r="7509" spans="1:2" x14ac:dyDescent="0.2">
      <c r="A7509" s="117">
        <v>42206</v>
      </c>
      <c r="B7509" s="116">
        <f t="shared" si="118"/>
        <v>74</v>
      </c>
    </row>
    <row r="7510" spans="1:2" x14ac:dyDescent="0.2">
      <c r="A7510" s="117">
        <v>42207</v>
      </c>
      <c r="B7510" s="116">
        <f t="shared" si="118"/>
        <v>74</v>
      </c>
    </row>
    <row r="7511" spans="1:2" x14ac:dyDescent="0.2">
      <c r="A7511" s="117">
        <v>42208</v>
      </c>
      <c r="B7511" s="116">
        <f t="shared" si="118"/>
        <v>74</v>
      </c>
    </row>
    <row r="7512" spans="1:2" x14ac:dyDescent="0.2">
      <c r="A7512" s="117">
        <v>42209</v>
      </c>
      <c r="B7512" s="116">
        <f t="shared" si="118"/>
        <v>74</v>
      </c>
    </row>
    <row r="7513" spans="1:2" x14ac:dyDescent="0.2">
      <c r="A7513" s="117">
        <v>42210</v>
      </c>
      <c r="B7513" s="116">
        <f t="shared" si="118"/>
        <v>74</v>
      </c>
    </row>
    <row r="7514" spans="1:2" x14ac:dyDescent="0.2">
      <c r="A7514" s="117">
        <v>42211</v>
      </c>
      <c r="B7514" s="116">
        <f t="shared" si="118"/>
        <v>75</v>
      </c>
    </row>
    <row r="7515" spans="1:2" x14ac:dyDescent="0.2">
      <c r="A7515" s="117">
        <v>42212</v>
      </c>
      <c r="B7515" s="116">
        <f t="shared" si="118"/>
        <v>75</v>
      </c>
    </row>
    <row r="7516" spans="1:2" x14ac:dyDescent="0.2">
      <c r="A7516" s="117">
        <v>42213</v>
      </c>
      <c r="B7516" s="116">
        <f t="shared" si="118"/>
        <v>75</v>
      </c>
    </row>
    <row r="7517" spans="1:2" x14ac:dyDescent="0.2">
      <c r="A7517" s="117">
        <v>42214</v>
      </c>
      <c r="B7517" s="116">
        <f t="shared" si="118"/>
        <v>75</v>
      </c>
    </row>
    <row r="7518" spans="1:2" x14ac:dyDescent="0.2">
      <c r="A7518" s="117">
        <v>42215</v>
      </c>
      <c r="B7518" s="116">
        <f t="shared" si="118"/>
        <v>75</v>
      </c>
    </row>
    <row r="7519" spans="1:2" x14ac:dyDescent="0.2">
      <c r="A7519" s="117">
        <v>42216</v>
      </c>
      <c r="B7519" s="116">
        <f t="shared" si="118"/>
        <v>75</v>
      </c>
    </row>
    <row r="7520" spans="1:2" x14ac:dyDescent="0.2">
      <c r="A7520" s="117">
        <v>42217</v>
      </c>
      <c r="B7520" s="116">
        <f t="shared" si="118"/>
        <v>75</v>
      </c>
    </row>
    <row r="7521" spans="1:2" x14ac:dyDescent="0.2">
      <c r="A7521" s="117">
        <v>42218</v>
      </c>
      <c r="B7521" s="116">
        <f t="shared" si="118"/>
        <v>81</v>
      </c>
    </row>
    <row r="7522" spans="1:2" x14ac:dyDescent="0.2">
      <c r="A7522" s="117">
        <v>42219</v>
      </c>
      <c r="B7522" s="116">
        <f t="shared" si="118"/>
        <v>81</v>
      </c>
    </row>
    <row r="7523" spans="1:2" x14ac:dyDescent="0.2">
      <c r="A7523" s="117">
        <v>42220</v>
      </c>
      <c r="B7523" s="116">
        <f t="shared" si="118"/>
        <v>81</v>
      </c>
    </row>
    <row r="7524" spans="1:2" x14ac:dyDescent="0.2">
      <c r="A7524" s="117">
        <v>42221</v>
      </c>
      <c r="B7524" s="116">
        <f t="shared" si="118"/>
        <v>81</v>
      </c>
    </row>
    <row r="7525" spans="1:2" x14ac:dyDescent="0.2">
      <c r="A7525" s="117">
        <v>42222</v>
      </c>
      <c r="B7525" s="116">
        <f t="shared" si="118"/>
        <v>81</v>
      </c>
    </row>
    <row r="7526" spans="1:2" x14ac:dyDescent="0.2">
      <c r="A7526" s="117">
        <v>42223</v>
      </c>
      <c r="B7526" s="116">
        <f t="shared" ref="B7526:B7589" si="119">VLOOKUP(WEEKNUM(A7526),$D$4:$E$59,2)</f>
        <v>81</v>
      </c>
    </row>
    <row r="7527" spans="1:2" x14ac:dyDescent="0.2">
      <c r="A7527" s="117">
        <v>42224</v>
      </c>
      <c r="B7527" s="116">
        <f t="shared" si="119"/>
        <v>81</v>
      </c>
    </row>
    <row r="7528" spans="1:2" x14ac:dyDescent="0.2">
      <c r="A7528" s="117">
        <v>42225</v>
      </c>
      <c r="B7528" s="116">
        <f t="shared" si="119"/>
        <v>82</v>
      </c>
    </row>
    <row r="7529" spans="1:2" x14ac:dyDescent="0.2">
      <c r="A7529" s="117">
        <v>42226</v>
      </c>
      <c r="B7529" s="116">
        <f t="shared" si="119"/>
        <v>82</v>
      </c>
    </row>
    <row r="7530" spans="1:2" x14ac:dyDescent="0.2">
      <c r="A7530" s="117">
        <v>42227</v>
      </c>
      <c r="B7530" s="116">
        <f t="shared" si="119"/>
        <v>82</v>
      </c>
    </row>
    <row r="7531" spans="1:2" x14ac:dyDescent="0.2">
      <c r="A7531" s="117">
        <v>42228</v>
      </c>
      <c r="B7531" s="116">
        <f t="shared" si="119"/>
        <v>82</v>
      </c>
    </row>
    <row r="7532" spans="1:2" x14ac:dyDescent="0.2">
      <c r="A7532" s="117">
        <v>42229</v>
      </c>
      <c r="B7532" s="116">
        <f t="shared" si="119"/>
        <v>82</v>
      </c>
    </row>
    <row r="7533" spans="1:2" x14ac:dyDescent="0.2">
      <c r="A7533" s="117">
        <v>42230</v>
      </c>
      <c r="B7533" s="116">
        <f t="shared" si="119"/>
        <v>82</v>
      </c>
    </row>
    <row r="7534" spans="1:2" x14ac:dyDescent="0.2">
      <c r="A7534" s="117">
        <v>42231</v>
      </c>
      <c r="B7534" s="116">
        <f t="shared" si="119"/>
        <v>82</v>
      </c>
    </row>
    <row r="7535" spans="1:2" x14ac:dyDescent="0.2">
      <c r="A7535" s="117">
        <v>42232</v>
      </c>
      <c r="B7535" s="116">
        <f t="shared" si="119"/>
        <v>83</v>
      </c>
    </row>
    <row r="7536" spans="1:2" x14ac:dyDescent="0.2">
      <c r="A7536" s="117">
        <v>42233</v>
      </c>
      <c r="B7536" s="116">
        <f t="shared" si="119"/>
        <v>83</v>
      </c>
    </row>
    <row r="7537" spans="1:2" x14ac:dyDescent="0.2">
      <c r="A7537" s="117">
        <v>42234</v>
      </c>
      <c r="B7537" s="116">
        <f t="shared" si="119"/>
        <v>83</v>
      </c>
    </row>
    <row r="7538" spans="1:2" x14ac:dyDescent="0.2">
      <c r="A7538" s="117">
        <v>42235</v>
      </c>
      <c r="B7538" s="116">
        <f t="shared" si="119"/>
        <v>83</v>
      </c>
    </row>
    <row r="7539" spans="1:2" x14ac:dyDescent="0.2">
      <c r="A7539" s="117">
        <v>42236</v>
      </c>
      <c r="B7539" s="116">
        <f t="shared" si="119"/>
        <v>83</v>
      </c>
    </row>
    <row r="7540" spans="1:2" x14ac:dyDescent="0.2">
      <c r="A7540" s="117">
        <v>42237</v>
      </c>
      <c r="B7540" s="116">
        <f t="shared" si="119"/>
        <v>83</v>
      </c>
    </row>
    <row r="7541" spans="1:2" x14ac:dyDescent="0.2">
      <c r="A7541" s="117">
        <v>42238</v>
      </c>
      <c r="B7541" s="116">
        <f t="shared" si="119"/>
        <v>83</v>
      </c>
    </row>
    <row r="7542" spans="1:2" x14ac:dyDescent="0.2">
      <c r="A7542" s="117">
        <v>42239</v>
      </c>
      <c r="B7542" s="116">
        <f t="shared" si="119"/>
        <v>84</v>
      </c>
    </row>
    <row r="7543" spans="1:2" x14ac:dyDescent="0.2">
      <c r="A7543" s="117">
        <v>42240</v>
      </c>
      <c r="B7543" s="116">
        <f t="shared" si="119"/>
        <v>84</v>
      </c>
    </row>
    <row r="7544" spans="1:2" x14ac:dyDescent="0.2">
      <c r="A7544" s="117">
        <v>42241</v>
      </c>
      <c r="B7544" s="116">
        <f t="shared" si="119"/>
        <v>84</v>
      </c>
    </row>
    <row r="7545" spans="1:2" x14ac:dyDescent="0.2">
      <c r="A7545" s="117">
        <v>42242</v>
      </c>
      <c r="B7545" s="116">
        <f t="shared" si="119"/>
        <v>84</v>
      </c>
    </row>
    <row r="7546" spans="1:2" x14ac:dyDescent="0.2">
      <c r="A7546" s="117">
        <v>42243</v>
      </c>
      <c r="B7546" s="116">
        <f t="shared" si="119"/>
        <v>84</v>
      </c>
    </row>
    <row r="7547" spans="1:2" x14ac:dyDescent="0.2">
      <c r="A7547" s="117">
        <v>42244</v>
      </c>
      <c r="B7547" s="116">
        <f t="shared" si="119"/>
        <v>84</v>
      </c>
    </row>
    <row r="7548" spans="1:2" x14ac:dyDescent="0.2">
      <c r="A7548" s="117">
        <v>42245</v>
      </c>
      <c r="B7548" s="116">
        <f t="shared" si="119"/>
        <v>84</v>
      </c>
    </row>
    <row r="7549" spans="1:2" x14ac:dyDescent="0.2">
      <c r="A7549" s="117">
        <v>42246</v>
      </c>
      <c r="B7549" s="116">
        <f t="shared" si="119"/>
        <v>91</v>
      </c>
    </row>
    <row r="7550" spans="1:2" x14ac:dyDescent="0.2">
      <c r="A7550" s="117">
        <v>42247</v>
      </c>
      <c r="B7550" s="116">
        <f t="shared" si="119"/>
        <v>91</v>
      </c>
    </row>
    <row r="7551" spans="1:2" x14ac:dyDescent="0.2">
      <c r="A7551" s="117">
        <v>42248</v>
      </c>
      <c r="B7551" s="116">
        <f t="shared" si="119"/>
        <v>91</v>
      </c>
    </row>
    <row r="7552" spans="1:2" x14ac:dyDescent="0.2">
      <c r="A7552" s="117">
        <v>42249</v>
      </c>
      <c r="B7552" s="116">
        <f t="shared" si="119"/>
        <v>91</v>
      </c>
    </row>
    <row r="7553" spans="1:2" x14ac:dyDescent="0.2">
      <c r="A7553" s="117">
        <v>42250</v>
      </c>
      <c r="B7553" s="116">
        <f t="shared" si="119"/>
        <v>91</v>
      </c>
    </row>
    <row r="7554" spans="1:2" x14ac:dyDescent="0.2">
      <c r="A7554" s="117">
        <v>42251</v>
      </c>
      <c r="B7554" s="116">
        <f t="shared" si="119"/>
        <v>91</v>
      </c>
    </row>
    <row r="7555" spans="1:2" x14ac:dyDescent="0.2">
      <c r="A7555" s="117">
        <v>42252</v>
      </c>
      <c r="B7555" s="116">
        <f t="shared" si="119"/>
        <v>91</v>
      </c>
    </row>
    <row r="7556" spans="1:2" x14ac:dyDescent="0.2">
      <c r="A7556" s="117">
        <v>42253</v>
      </c>
      <c r="B7556" s="116">
        <f t="shared" si="119"/>
        <v>92</v>
      </c>
    </row>
    <row r="7557" spans="1:2" x14ac:dyDescent="0.2">
      <c r="A7557" s="117">
        <v>42254</v>
      </c>
      <c r="B7557" s="116">
        <f t="shared" si="119"/>
        <v>92</v>
      </c>
    </row>
    <row r="7558" spans="1:2" x14ac:dyDescent="0.2">
      <c r="A7558" s="117">
        <v>42255</v>
      </c>
      <c r="B7558" s="116">
        <f t="shared" si="119"/>
        <v>92</v>
      </c>
    </row>
    <row r="7559" spans="1:2" x14ac:dyDescent="0.2">
      <c r="A7559" s="117">
        <v>42256</v>
      </c>
      <c r="B7559" s="116">
        <f t="shared" si="119"/>
        <v>92</v>
      </c>
    </row>
    <row r="7560" spans="1:2" x14ac:dyDescent="0.2">
      <c r="A7560" s="117">
        <v>42257</v>
      </c>
      <c r="B7560" s="116">
        <f t="shared" si="119"/>
        <v>92</v>
      </c>
    </row>
    <row r="7561" spans="1:2" x14ac:dyDescent="0.2">
      <c r="A7561" s="117">
        <v>42258</v>
      </c>
      <c r="B7561" s="116">
        <f t="shared" si="119"/>
        <v>92</v>
      </c>
    </row>
    <row r="7562" spans="1:2" x14ac:dyDescent="0.2">
      <c r="A7562" s="117">
        <v>42259</v>
      </c>
      <c r="B7562" s="116">
        <f t="shared" si="119"/>
        <v>92</v>
      </c>
    </row>
    <row r="7563" spans="1:2" x14ac:dyDescent="0.2">
      <c r="A7563" s="117">
        <v>42260</v>
      </c>
      <c r="B7563" s="116">
        <f t="shared" si="119"/>
        <v>93</v>
      </c>
    </row>
    <row r="7564" spans="1:2" x14ac:dyDescent="0.2">
      <c r="A7564" s="117">
        <v>42261</v>
      </c>
      <c r="B7564" s="116">
        <f t="shared" si="119"/>
        <v>93</v>
      </c>
    </row>
    <row r="7565" spans="1:2" x14ac:dyDescent="0.2">
      <c r="A7565" s="117">
        <v>42262</v>
      </c>
      <c r="B7565" s="116">
        <f t="shared" si="119"/>
        <v>93</v>
      </c>
    </row>
    <row r="7566" spans="1:2" x14ac:dyDescent="0.2">
      <c r="A7566" s="117">
        <v>42263</v>
      </c>
      <c r="B7566" s="116">
        <f t="shared" si="119"/>
        <v>93</v>
      </c>
    </row>
    <row r="7567" spans="1:2" x14ac:dyDescent="0.2">
      <c r="A7567" s="117">
        <v>42264</v>
      </c>
      <c r="B7567" s="116">
        <f t="shared" si="119"/>
        <v>93</v>
      </c>
    </row>
    <row r="7568" spans="1:2" x14ac:dyDescent="0.2">
      <c r="A7568" s="117">
        <v>42265</v>
      </c>
      <c r="B7568" s="116">
        <f t="shared" si="119"/>
        <v>93</v>
      </c>
    </row>
    <row r="7569" spans="1:2" x14ac:dyDescent="0.2">
      <c r="A7569" s="117">
        <v>42266</v>
      </c>
      <c r="B7569" s="116">
        <f t="shared" si="119"/>
        <v>93</v>
      </c>
    </row>
    <row r="7570" spans="1:2" x14ac:dyDescent="0.2">
      <c r="A7570" s="117">
        <v>42267</v>
      </c>
      <c r="B7570" s="116">
        <f t="shared" si="119"/>
        <v>94</v>
      </c>
    </row>
    <row r="7571" spans="1:2" x14ac:dyDescent="0.2">
      <c r="A7571" s="117">
        <v>42268</v>
      </c>
      <c r="B7571" s="116">
        <f t="shared" si="119"/>
        <v>94</v>
      </c>
    </row>
    <row r="7572" spans="1:2" x14ac:dyDescent="0.2">
      <c r="A7572" s="117">
        <v>42269</v>
      </c>
      <c r="B7572" s="116">
        <f t="shared" si="119"/>
        <v>94</v>
      </c>
    </row>
    <row r="7573" spans="1:2" x14ac:dyDescent="0.2">
      <c r="A7573" s="117">
        <v>42270</v>
      </c>
      <c r="B7573" s="116">
        <f t="shared" si="119"/>
        <v>94</v>
      </c>
    </row>
    <row r="7574" spans="1:2" x14ac:dyDescent="0.2">
      <c r="A7574" s="117">
        <v>42271</v>
      </c>
      <c r="B7574" s="116">
        <f t="shared" si="119"/>
        <v>94</v>
      </c>
    </row>
    <row r="7575" spans="1:2" x14ac:dyDescent="0.2">
      <c r="A7575" s="117">
        <v>42272</v>
      </c>
      <c r="B7575" s="116">
        <f t="shared" si="119"/>
        <v>94</v>
      </c>
    </row>
    <row r="7576" spans="1:2" x14ac:dyDescent="0.2">
      <c r="A7576" s="117">
        <v>42273</v>
      </c>
      <c r="B7576" s="116">
        <f t="shared" si="119"/>
        <v>94</v>
      </c>
    </row>
    <row r="7577" spans="1:2" x14ac:dyDescent="0.2">
      <c r="A7577" s="117">
        <v>42274</v>
      </c>
      <c r="B7577" s="116">
        <f t="shared" si="119"/>
        <v>101</v>
      </c>
    </row>
    <row r="7578" spans="1:2" x14ac:dyDescent="0.2">
      <c r="A7578" s="117">
        <v>42275</v>
      </c>
      <c r="B7578" s="116">
        <f t="shared" si="119"/>
        <v>101</v>
      </c>
    </row>
    <row r="7579" spans="1:2" x14ac:dyDescent="0.2">
      <c r="A7579" s="117">
        <v>42276</v>
      </c>
      <c r="B7579" s="116">
        <f t="shared" si="119"/>
        <v>101</v>
      </c>
    </row>
    <row r="7580" spans="1:2" x14ac:dyDescent="0.2">
      <c r="A7580" s="117">
        <v>42277</v>
      </c>
      <c r="B7580" s="116">
        <f t="shared" si="119"/>
        <v>101</v>
      </c>
    </row>
    <row r="7581" spans="1:2" x14ac:dyDescent="0.2">
      <c r="A7581" s="117">
        <v>42278</v>
      </c>
      <c r="B7581" s="116">
        <f t="shared" si="119"/>
        <v>101</v>
      </c>
    </row>
    <row r="7582" spans="1:2" x14ac:dyDescent="0.2">
      <c r="A7582" s="117">
        <v>42279</v>
      </c>
      <c r="B7582" s="116">
        <f t="shared" si="119"/>
        <v>101</v>
      </c>
    </row>
    <row r="7583" spans="1:2" x14ac:dyDescent="0.2">
      <c r="A7583" s="117">
        <v>42280</v>
      </c>
      <c r="B7583" s="116">
        <f t="shared" si="119"/>
        <v>101</v>
      </c>
    </row>
    <row r="7584" spans="1:2" x14ac:dyDescent="0.2">
      <c r="A7584" s="117">
        <v>42281</v>
      </c>
      <c r="B7584" s="116">
        <f t="shared" si="119"/>
        <v>102</v>
      </c>
    </row>
    <row r="7585" spans="1:2" x14ac:dyDescent="0.2">
      <c r="A7585" s="117">
        <v>42282</v>
      </c>
      <c r="B7585" s="116">
        <f t="shared" si="119"/>
        <v>102</v>
      </c>
    </row>
    <row r="7586" spans="1:2" x14ac:dyDescent="0.2">
      <c r="A7586" s="117">
        <v>42283</v>
      </c>
      <c r="B7586" s="116">
        <f t="shared" si="119"/>
        <v>102</v>
      </c>
    </row>
    <row r="7587" spans="1:2" x14ac:dyDescent="0.2">
      <c r="A7587" s="117">
        <v>42284</v>
      </c>
      <c r="B7587" s="116">
        <f t="shared" si="119"/>
        <v>102</v>
      </c>
    </row>
    <row r="7588" spans="1:2" x14ac:dyDescent="0.2">
      <c r="A7588" s="117">
        <v>42285</v>
      </c>
      <c r="B7588" s="116">
        <f t="shared" si="119"/>
        <v>102</v>
      </c>
    </row>
    <row r="7589" spans="1:2" x14ac:dyDescent="0.2">
      <c r="A7589" s="117">
        <v>42286</v>
      </c>
      <c r="B7589" s="116">
        <f t="shared" si="119"/>
        <v>102</v>
      </c>
    </row>
    <row r="7590" spans="1:2" x14ac:dyDescent="0.2">
      <c r="A7590" s="117">
        <v>42287</v>
      </c>
      <c r="B7590" s="116">
        <f t="shared" ref="B7590:B7653" si="120">VLOOKUP(WEEKNUM(A7590),$D$4:$E$59,2)</f>
        <v>102</v>
      </c>
    </row>
    <row r="7591" spans="1:2" x14ac:dyDescent="0.2">
      <c r="A7591" s="117">
        <v>42288</v>
      </c>
      <c r="B7591" s="116">
        <f t="shared" si="120"/>
        <v>103</v>
      </c>
    </row>
    <row r="7592" spans="1:2" x14ac:dyDescent="0.2">
      <c r="A7592" s="117">
        <v>42289</v>
      </c>
      <c r="B7592" s="116">
        <f t="shared" si="120"/>
        <v>103</v>
      </c>
    </row>
    <row r="7593" spans="1:2" x14ac:dyDescent="0.2">
      <c r="A7593" s="117">
        <v>42290</v>
      </c>
      <c r="B7593" s="116">
        <f t="shared" si="120"/>
        <v>103</v>
      </c>
    </row>
    <row r="7594" spans="1:2" x14ac:dyDescent="0.2">
      <c r="A7594" s="117">
        <v>42291</v>
      </c>
      <c r="B7594" s="116">
        <f t="shared" si="120"/>
        <v>103</v>
      </c>
    </row>
    <row r="7595" spans="1:2" x14ac:dyDescent="0.2">
      <c r="A7595" s="117">
        <v>42292</v>
      </c>
      <c r="B7595" s="116">
        <f t="shared" si="120"/>
        <v>103</v>
      </c>
    </row>
    <row r="7596" spans="1:2" x14ac:dyDescent="0.2">
      <c r="A7596" s="117">
        <v>42293</v>
      </c>
      <c r="B7596" s="116">
        <f t="shared" si="120"/>
        <v>103</v>
      </c>
    </row>
    <row r="7597" spans="1:2" x14ac:dyDescent="0.2">
      <c r="A7597" s="117">
        <v>42294</v>
      </c>
      <c r="B7597" s="116">
        <f t="shared" si="120"/>
        <v>103</v>
      </c>
    </row>
    <row r="7598" spans="1:2" x14ac:dyDescent="0.2">
      <c r="A7598" s="117">
        <v>42295</v>
      </c>
      <c r="B7598" s="116">
        <f t="shared" si="120"/>
        <v>104</v>
      </c>
    </row>
    <row r="7599" spans="1:2" x14ac:dyDescent="0.2">
      <c r="A7599" s="117">
        <v>42296</v>
      </c>
      <c r="B7599" s="116">
        <f t="shared" si="120"/>
        <v>104</v>
      </c>
    </row>
    <row r="7600" spans="1:2" x14ac:dyDescent="0.2">
      <c r="A7600" s="117">
        <v>42297</v>
      </c>
      <c r="B7600" s="116">
        <f t="shared" si="120"/>
        <v>104</v>
      </c>
    </row>
    <row r="7601" spans="1:2" x14ac:dyDescent="0.2">
      <c r="A7601" s="117">
        <v>42298</v>
      </c>
      <c r="B7601" s="116">
        <f t="shared" si="120"/>
        <v>104</v>
      </c>
    </row>
    <row r="7602" spans="1:2" x14ac:dyDescent="0.2">
      <c r="A7602" s="117">
        <v>42299</v>
      </c>
      <c r="B7602" s="116">
        <f t="shared" si="120"/>
        <v>104</v>
      </c>
    </row>
    <row r="7603" spans="1:2" x14ac:dyDescent="0.2">
      <c r="A7603" s="117">
        <v>42300</v>
      </c>
      <c r="B7603" s="116">
        <f t="shared" si="120"/>
        <v>104</v>
      </c>
    </row>
    <row r="7604" spans="1:2" x14ac:dyDescent="0.2">
      <c r="A7604" s="117">
        <v>42301</v>
      </c>
      <c r="B7604" s="116">
        <f t="shared" si="120"/>
        <v>104</v>
      </c>
    </row>
    <row r="7605" spans="1:2" x14ac:dyDescent="0.2">
      <c r="A7605" s="117">
        <v>42302</v>
      </c>
      <c r="B7605" s="116">
        <f t="shared" si="120"/>
        <v>105</v>
      </c>
    </row>
    <row r="7606" spans="1:2" x14ac:dyDescent="0.2">
      <c r="A7606" s="117">
        <v>42303</v>
      </c>
      <c r="B7606" s="116">
        <f t="shared" si="120"/>
        <v>105</v>
      </c>
    </row>
    <row r="7607" spans="1:2" x14ac:dyDescent="0.2">
      <c r="A7607" s="117">
        <v>42304</v>
      </c>
      <c r="B7607" s="116">
        <f t="shared" si="120"/>
        <v>105</v>
      </c>
    </row>
    <row r="7608" spans="1:2" x14ac:dyDescent="0.2">
      <c r="A7608" s="117">
        <v>42305</v>
      </c>
      <c r="B7608" s="116">
        <f t="shared" si="120"/>
        <v>105</v>
      </c>
    </row>
    <row r="7609" spans="1:2" x14ac:dyDescent="0.2">
      <c r="A7609" s="117">
        <v>42306</v>
      </c>
      <c r="B7609" s="116">
        <f t="shared" si="120"/>
        <v>105</v>
      </c>
    </row>
    <row r="7610" spans="1:2" x14ac:dyDescent="0.2">
      <c r="A7610" s="117">
        <v>42307</v>
      </c>
      <c r="B7610" s="116">
        <f t="shared" si="120"/>
        <v>105</v>
      </c>
    </row>
    <row r="7611" spans="1:2" x14ac:dyDescent="0.2">
      <c r="A7611" s="117">
        <v>42308</v>
      </c>
      <c r="B7611" s="116">
        <f t="shared" si="120"/>
        <v>105</v>
      </c>
    </row>
    <row r="7612" spans="1:2" x14ac:dyDescent="0.2">
      <c r="A7612" s="117">
        <v>42309</v>
      </c>
      <c r="B7612" s="116">
        <f t="shared" si="120"/>
        <v>111</v>
      </c>
    </row>
    <row r="7613" spans="1:2" x14ac:dyDescent="0.2">
      <c r="A7613" s="117">
        <v>42310</v>
      </c>
      <c r="B7613" s="116">
        <f t="shared" si="120"/>
        <v>111</v>
      </c>
    </row>
    <row r="7614" spans="1:2" x14ac:dyDescent="0.2">
      <c r="A7614" s="117">
        <v>42311</v>
      </c>
      <c r="B7614" s="116">
        <f t="shared" si="120"/>
        <v>111</v>
      </c>
    </row>
    <row r="7615" spans="1:2" x14ac:dyDescent="0.2">
      <c r="A7615" s="117">
        <v>42312</v>
      </c>
      <c r="B7615" s="116">
        <f t="shared" si="120"/>
        <v>111</v>
      </c>
    </row>
    <row r="7616" spans="1:2" x14ac:dyDescent="0.2">
      <c r="A7616" s="117">
        <v>42313</v>
      </c>
      <c r="B7616" s="116">
        <f t="shared" si="120"/>
        <v>111</v>
      </c>
    </row>
    <row r="7617" spans="1:2" x14ac:dyDescent="0.2">
      <c r="A7617" s="117">
        <v>42314</v>
      </c>
      <c r="B7617" s="116">
        <f t="shared" si="120"/>
        <v>111</v>
      </c>
    </row>
    <row r="7618" spans="1:2" x14ac:dyDescent="0.2">
      <c r="A7618" s="117">
        <v>42315</v>
      </c>
      <c r="B7618" s="116">
        <f t="shared" si="120"/>
        <v>111</v>
      </c>
    </row>
    <row r="7619" spans="1:2" x14ac:dyDescent="0.2">
      <c r="A7619" s="117">
        <v>42316</v>
      </c>
      <c r="B7619" s="116">
        <f t="shared" si="120"/>
        <v>112</v>
      </c>
    </row>
    <row r="7620" spans="1:2" x14ac:dyDescent="0.2">
      <c r="A7620" s="117">
        <v>42317</v>
      </c>
      <c r="B7620" s="116">
        <f t="shared" si="120"/>
        <v>112</v>
      </c>
    </row>
    <row r="7621" spans="1:2" x14ac:dyDescent="0.2">
      <c r="A7621" s="117">
        <v>42318</v>
      </c>
      <c r="B7621" s="116">
        <f t="shared" si="120"/>
        <v>112</v>
      </c>
    </row>
    <row r="7622" spans="1:2" x14ac:dyDescent="0.2">
      <c r="A7622" s="117">
        <v>42319</v>
      </c>
      <c r="B7622" s="116">
        <f t="shared" si="120"/>
        <v>112</v>
      </c>
    </row>
    <row r="7623" spans="1:2" x14ac:dyDescent="0.2">
      <c r="A7623" s="117">
        <v>42320</v>
      </c>
      <c r="B7623" s="116">
        <f t="shared" si="120"/>
        <v>112</v>
      </c>
    </row>
    <row r="7624" spans="1:2" x14ac:dyDescent="0.2">
      <c r="A7624" s="117">
        <v>42321</v>
      </c>
      <c r="B7624" s="116">
        <f t="shared" si="120"/>
        <v>112</v>
      </c>
    </row>
    <row r="7625" spans="1:2" x14ac:dyDescent="0.2">
      <c r="A7625" s="117">
        <v>42322</v>
      </c>
      <c r="B7625" s="116">
        <f t="shared" si="120"/>
        <v>112</v>
      </c>
    </row>
    <row r="7626" spans="1:2" x14ac:dyDescent="0.2">
      <c r="A7626" s="117">
        <v>42323</v>
      </c>
      <c r="B7626" s="116">
        <f t="shared" si="120"/>
        <v>113</v>
      </c>
    </row>
    <row r="7627" spans="1:2" x14ac:dyDescent="0.2">
      <c r="A7627" s="117">
        <v>42324</v>
      </c>
      <c r="B7627" s="116">
        <f t="shared" si="120"/>
        <v>113</v>
      </c>
    </row>
    <row r="7628" spans="1:2" x14ac:dyDescent="0.2">
      <c r="A7628" s="117">
        <v>42325</v>
      </c>
      <c r="B7628" s="116">
        <f t="shared" si="120"/>
        <v>113</v>
      </c>
    </row>
    <row r="7629" spans="1:2" x14ac:dyDescent="0.2">
      <c r="A7629" s="117">
        <v>42326</v>
      </c>
      <c r="B7629" s="116">
        <f t="shared" si="120"/>
        <v>113</v>
      </c>
    </row>
    <row r="7630" spans="1:2" x14ac:dyDescent="0.2">
      <c r="A7630" s="117">
        <v>42327</v>
      </c>
      <c r="B7630" s="116">
        <f t="shared" si="120"/>
        <v>113</v>
      </c>
    </row>
    <row r="7631" spans="1:2" x14ac:dyDescent="0.2">
      <c r="A7631" s="117">
        <v>42328</v>
      </c>
      <c r="B7631" s="116">
        <f t="shared" si="120"/>
        <v>113</v>
      </c>
    </row>
    <row r="7632" spans="1:2" x14ac:dyDescent="0.2">
      <c r="A7632" s="117">
        <v>42329</v>
      </c>
      <c r="B7632" s="116">
        <f t="shared" si="120"/>
        <v>113</v>
      </c>
    </row>
    <row r="7633" spans="1:2" x14ac:dyDescent="0.2">
      <c r="A7633" s="117">
        <v>42330</v>
      </c>
      <c r="B7633" s="116">
        <f t="shared" si="120"/>
        <v>114</v>
      </c>
    </row>
    <row r="7634" spans="1:2" x14ac:dyDescent="0.2">
      <c r="A7634" s="117">
        <v>42331</v>
      </c>
      <c r="B7634" s="116">
        <f t="shared" si="120"/>
        <v>114</v>
      </c>
    </row>
    <row r="7635" spans="1:2" x14ac:dyDescent="0.2">
      <c r="A7635" s="117">
        <v>42332</v>
      </c>
      <c r="B7635" s="116">
        <f t="shared" si="120"/>
        <v>114</v>
      </c>
    </row>
    <row r="7636" spans="1:2" x14ac:dyDescent="0.2">
      <c r="A7636" s="117">
        <v>42333</v>
      </c>
      <c r="B7636" s="116">
        <f t="shared" si="120"/>
        <v>114</v>
      </c>
    </row>
    <row r="7637" spans="1:2" x14ac:dyDescent="0.2">
      <c r="A7637" s="117">
        <v>42334</v>
      </c>
      <c r="B7637" s="116">
        <f t="shared" si="120"/>
        <v>114</v>
      </c>
    </row>
    <row r="7638" spans="1:2" x14ac:dyDescent="0.2">
      <c r="A7638" s="117">
        <v>42335</v>
      </c>
      <c r="B7638" s="116">
        <f t="shared" si="120"/>
        <v>114</v>
      </c>
    </row>
    <row r="7639" spans="1:2" x14ac:dyDescent="0.2">
      <c r="A7639" s="117">
        <v>42336</v>
      </c>
      <c r="B7639" s="116">
        <f t="shared" si="120"/>
        <v>114</v>
      </c>
    </row>
    <row r="7640" spans="1:2" x14ac:dyDescent="0.2">
      <c r="A7640" s="117">
        <v>42337</v>
      </c>
      <c r="B7640" s="116">
        <f t="shared" si="120"/>
        <v>115</v>
      </c>
    </row>
    <row r="7641" spans="1:2" x14ac:dyDescent="0.2">
      <c r="A7641" s="117">
        <v>42338</v>
      </c>
      <c r="B7641" s="116">
        <f t="shared" si="120"/>
        <v>115</v>
      </c>
    </row>
    <row r="7642" spans="1:2" x14ac:dyDescent="0.2">
      <c r="A7642" s="117">
        <v>42339</v>
      </c>
      <c r="B7642" s="116">
        <f t="shared" si="120"/>
        <v>115</v>
      </c>
    </row>
    <row r="7643" spans="1:2" x14ac:dyDescent="0.2">
      <c r="A7643" s="117">
        <v>42340</v>
      </c>
      <c r="B7643" s="116">
        <f t="shared" si="120"/>
        <v>115</v>
      </c>
    </row>
    <row r="7644" spans="1:2" x14ac:dyDescent="0.2">
      <c r="A7644" s="117">
        <v>42341</v>
      </c>
      <c r="B7644" s="116">
        <f t="shared" si="120"/>
        <v>115</v>
      </c>
    </row>
    <row r="7645" spans="1:2" x14ac:dyDescent="0.2">
      <c r="A7645" s="117">
        <v>42342</v>
      </c>
      <c r="B7645" s="116">
        <f t="shared" si="120"/>
        <v>115</v>
      </c>
    </row>
    <row r="7646" spans="1:2" x14ac:dyDescent="0.2">
      <c r="A7646" s="117">
        <v>42343</v>
      </c>
      <c r="B7646" s="116">
        <f t="shared" si="120"/>
        <v>115</v>
      </c>
    </row>
    <row r="7647" spans="1:2" x14ac:dyDescent="0.2">
      <c r="A7647" s="117">
        <v>42344</v>
      </c>
      <c r="B7647" s="116">
        <f t="shared" si="120"/>
        <v>121</v>
      </c>
    </row>
    <row r="7648" spans="1:2" x14ac:dyDescent="0.2">
      <c r="A7648" s="117">
        <v>42345</v>
      </c>
      <c r="B7648" s="116">
        <f t="shared" si="120"/>
        <v>121</v>
      </c>
    </row>
    <row r="7649" spans="1:2" x14ac:dyDescent="0.2">
      <c r="A7649" s="117">
        <v>42346</v>
      </c>
      <c r="B7649" s="116">
        <f t="shared" si="120"/>
        <v>121</v>
      </c>
    </row>
    <row r="7650" spans="1:2" x14ac:dyDescent="0.2">
      <c r="A7650" s="117">
        <v>42347</v>
      </c>
      <c r="B7650" s="116">
        <f t="shared" si="120"/>
        <v>121</v>
      </c>
    </row>
    <row r="7651" spans="1:2" x14ac:dyDescent="0.2">
      <c r="A7651" s="117">
        <v>42348</v>
      </c>
      <c r="B7651" s="116">
        <f t="shared" si="120"/>
        <v>121</v>
      </c>
    </row>
    <row r="7652" spans="1:2" x14ac:dyDescent="0.2">
      <c r="A7652" s="117">
        <v>42349</v>
      </c>
      <c r="B7652" s="116">
        <f t="shared" si="120"/>
        <v>121</v>
      </c>
    </row>
    <row r="7653" spans="1:2" x14ac:dyDescent="0.2">
      <c r="A7653" s="117">
        <v>42350</v>
      </c>
      <c r="B7653" s="116">
        <f t="shared" si="120"/>
        <v>121</v>
      </c>
    </row>
    <row r="7654" spans="1:2" x14ac:dyDescent="0.2">
      <c r="A7654" s="117">
        <v>42351</v>
      </c>
      <c r="B7654" s="116">
        <f t="shared" ref="B7654:B7717" si="121">VLOOKUP(WEEKNUM(A7654),$D$4:$E$59,2)</f>
        <v>122</v>
      </c>
    </row>
    <row r="7655" spans="1:2" x14ac:dyDescent="0.2">
      <c r="A7655" s="117">
        <v>42352</v>
      </c>
      <c r="B7655" s="116">
        <f t="shared" si="121"/>
        <v>122</v>
      </c>
    </row>
    <row r="7656" spans="1:2" x14ac:dyDescent="0.2">
      <c r="A7656" s="117">
        <v>42353</v>
      </c>
      <c r="B7656" s="116">
        <f t="shared" si="121"/>
        <v>122</v>
      </c>
    </row>
    <row r="7657" spans="1:2" x14ac:dyDescent="0.2">
      <c r="A7657" s="117">
        <v>42354</v>
      </c>
      <c r="B7657" s="116">
        <f t="shared" si="121"/>
        <v>122</v>
      </c>
    </row>
    <row r="7658" spans="1:2" x14ac:dyDescent="0.2">
      <c r="A7658" s="117">
        <v>42355</v>
      </c>
      <c r="B7658" s="116">
        <f t="shared" si="121"/>
        <v>122</v>
      </c>
    </row>
    <row r="7659" spans="1:2" x14ac:dyDescent="0.2">
      <c r="A7659" s="117">
        <v>42356</v>
      </c>
      <c r="B7659" s="116">
        <f t="shared" si="121"/>
        <v>122</v>
      </c>
    </row>
    <row r="7660" spans="1:2" x14ac:dyDescent="0.2">
      <c r="A7660" s="117">
        <v>42357</v>
      </c>
      <c r="B7660" s="116">
        <f t="shared" si="121"/>
        <v>122</v>
      </c>
    </row>
    <row r="7661" spans="1:2" x14ac:dyDescent="0.2">
      <c r="A7661" s="117">
        <v>42358</v>
      </c>
      <c r="B7661" s="116">
        <f t="shared" si="121"/>
        <v>123</v>
      </c>
    </row>
    <row r="7662" spans="1:2" x14ac:dyDescent="0.2">
      <c r="A7662" s="117">
        <v>42359</v>
      </c>
      <c r="B7662" s="116">
        <f t="shared" si="121"/>
        <v>123</v>
      </c>
    </row>
    <row r="7663" spans="1:2" x14ac:dyDescent="0.2">
      <c r="A7663" s="117">
        <v>42360</v>
      </c>
      <c r="B7663" s="116">
        <f t="shared" si="121"/>
        <v>123</v>
      </c>
    </row>
    <row r="7664" spans="1:2" x14ac:dyDescent="0.2">
      <c r="A7664" s="117">
        <v>42361</v>
      </c>
      <c r="B7664" s="116">
        <f t="shared" si="121"/>
        <v>123</v>
      </c>
    </row>
    <row r="7665" spans="1:2" x14ac:dyDescent="0.2">
      <c r="A7665" s="117">
        <v>42362</v>
      </c>
      <c r="B7665" s="116">
        <f t="shared" si="121"/>
        <v>123</v>
      </c>
    </row>
    <row r="7666" spans="1:2" x14ac:dyDescent="0.2">
      <c r="A7666" s="117">
        <v>42363</v>
      </c>
      <c r="B7666" s="116">
        <f t="shared" si="121"/>
        <v>123</v>
      </c>
    </row>
    <row r="7667" spans="1:2" x14ac:dyDescent="0.2">
      <c r="A7667" s="117">
        <v>42364</v>
      </c>
      <c r="B7667" s="116">
        <f t="shared" si="121"/>
        <v>123</v>
      </c>
    </row>
    <row r="7668" spans="1:2" x14ac:dyDescent="0.2">
      <c r="A7668" s="117">
        <v>42365</v>
      </c>
      <c r="B7668" s="116">
        <f t="shared" si="121"/>
        <v>124</v>
      </c>
    </row>
    <row r="7669" spans="1:2" x14ac:dyDescent="0.2">
      <c r="A7669" s="117">
        <v>42366</v>
      </c>
      <c r="B7669" s="116">
        <f t="shared" si="121"/>
        <v>124</v>
      </c>
    </row>
    <row r="7670" spans="1:2" x14ac:dyDescent="0.2">
      <c r="A7670" s="117">
        <v>42367</v>
      </c>
      <c r="B7670" s="116">
        <f t="shared" si="121"/>
        <v>124</v>
      </c>
    </row>
    <row r="7671" spans="1:2" x14ac:dyDescent="0.2">
      <c r="A7671" s="117">
        <v>42368</v>
      </c>
      <c r="B7671" s="116">
        <f t="shared" si="121"/>
        <v>124</v>
      </c>
    </row>
    <row r="7672" spans="1:2" x14ac:dyDescent="0.2">
      <c r="A7672" s="117">
        <v>42369</v>
      </c>
      <c r="B7672" s="116">
        <f t="shared" si="121"/>
        <v>124</v>
      </c>
    </row>
    <row r="7673" spans="1:2" x14ac:dyDescent="0.2">
      <c r="A7673" s="117">
        <v>42370</v>
      </c>
      <c r="B7673" s="116">
        <f t="shared" si="121"/>
        <v>11</v>
      </c>
    </row>
    <row r="7674" spans="1:2" x14ac:dyDescent="0.2">
      <c r="A7674" s="117">
        <v>42371</v>
      </c>
      <c r="B7674" s="116">
        <f t="shared" si="121"/>
        <v>11</v>
      </c>
    </row>
    <row r="7675" spans="1:2" x14ac:dyDescent="0.2">
      <c r="A7675" s="117">
        <v>42372</v>
      </c>
      <c r="B7675" s="116">
        <f t="shared" si="121"/>
        <v>12</v>
      </c>
    </row>
    <row r="7676" spans="1:2" x14ac:dyDescent="0.2">
      <c r="A7676" s="117">
        <v>42373</v>
      </c>
      <c r="B7676" s="116">
        <f t="shared" si="121"/>
        <v>12</v>
      </c>
    </row>
    <row r="7677" spans="1:2" x14ac:dyDescent="0.2">
      <c r="A7677" s="117">
        <v>42374</v>
      </c>
      <c r="B7677" s="116">
        <f t="shared" si="121"/>
        <v>12</v>
      </c>
    </row>
    <row r="7678" spans="1:2" x14ac:dyDescent="0.2">
      <c r="A7678" s="117">
        <v>42375</v>
      </c>
      <c r="B7678" s="116">
        <f t="shared" si="121"/>
        <v>12</v>
      </c>
    </row>
    <row r="7679" spans="1:2" x14ac:dyDescent="0.2">
      <c r="A7679" s="117">
        <v>42376</v>
      </c>
      <c r="B7679" s="116">
        <f t="shared" si="121"/>
        <v>12</v>
      </c>
    </row>
    <row r="7680" spans="1:2" x14ac:dyDescent="0.2">
      <c r="A7680" s="117">
        <v>42377</v>
      </c>
      <c r="B7680" s="116">
        <f t="shared" si="121"/>
        <v>12</v>
      </c>
    </row>
    <row r="7681" spans="1:2" x14ac:dyDescent="0.2">
      <c r="A7681" s="117">
        <v>42378</v>
      </c>
      <c r="B7681" s="116">
        <f t="shared" si="121"/>
        <v>12</v>
      </c>
    </row>
    <row r="7682" spans="1:2" x14ac:dyDescent="0.2">
      <c r="A7682" s="117">
        <v>42379</v>
      </c>
      <c r="B7682" s="116">
        <f t="shared" si="121"/>
        <v>13</v>
      </c>
    </row>
    <row r="7683" spans="1:2" x14ac:dyDescent="0.2">
      <c r="A7683" s="117">
        <v>42380</v>
      </c>
      <c r="B7683" s="116">
        <f t="shared" si="121"/>
        <v>13</v>
      </c>
    </row>
    <row r="7684" spans="1:2" x14ac:dyDescent="0.2">
      <c r="A7684" s="117">
        <v>42381</v>
      </c>
      <c r="B7684" s="116">
        <f t="shared" si="121"/>
        <v>13</v>
      </c>
    </row>
    <row r="7685" spans="1:2" x14ac:dyDescent="0.2">
      <c r="A7685" s="117">
        <v>42382</v>
      </c>
      <c r="B7685" s="116">
        <f t="shared" si="121"/>
        <v>13</v>
      </c>
    </row>
    <row r="7686" spans="1:2" x14ac:dyDescent="0.2">
      <c r="A7686" s="117">
        <v>42383</v>
      </c>
      <c r="B7686" s="116">
        <f t="shared" si="121"/>
        <v>13</v>
      </c>
    </row>
    <row r="7687" spans="1:2" x14ac:dyDescent="0.2">
      <c r="A7687" s="117">
        <v>42384</v>
      </c>
      <c r="B7687" s="116">
        <f t="shared" si="121"/>
        <v>13</v>
      </c>
    </row>
    <row r="7688" spans="1:2" x14ac:dyDescent="0.2">
      <c r="A7688" s="117">
        <v>42385</v>
      </c>
      <c r="B7688" s="116">
        <f t="shared" si="121"/>
        <v>13</v>
      </c>
    </row>
    <row r="7689" spans="1:2" x14ac:dyDescent="0.2">
      <c r="A7689" s="117">
        <v>42386</v>
      </c>
      <c r="B7689" s="116">
        <f t="shared" si="121"/>
        <v>14</v>
      </c>
    </row>
    <row r="7690" spans="1:2" x14ac:dyDescent="0.2">
      <c r="A7690" s="117">
        <v>42387</v>
      </c>
      <c r="B7690" s="116">
        <f t="shared" si="121"/>
        <v>14</v>
      </c>
    </row>
    <row r="7691" spans="1:2" x14ac:dyDescent="0.2">
      <c r="A7691" s="117">
        <v>42388</v>
      </c>
      <c r="B7691" s="116">
        <f t="shared" si="121"/>
        <v>14</v>
      </c>
    </row>
    <row r="7692" spans="1:2" x14ac:dyDescent="0.2">
      <c r="A7692" s="117">
        <v>42389</v>
      </c>
      <c r="B7692" s="116">
        <f t="shared" si="121"/>
        <v>14</v>
      </c>
    </row>
    <row r="7693" spans="1:2" x14ac:dyDescent="0.2">
      <c r="A7693" s="117">
        <v>42390</v>
      </c>
      <c r="B7693" s="116">
        <f t="shared" si="121"/>
        <v>14</v>
      </c>
    </row>
    <row r="7694" spans="1:2" x14ac:dyDescent="0.2">
      <c r="A7694" s="117">
        <v>42391</v>
      </c>
      <c r="B7694" s="116">
        <f t="shared" si="121"/>
        <v>14</v>
      </c>
    </row>
    <row r="7695" spans="1:2" x14ac:dyDescent="0.2">
      <c r="A7695" s="117">
        <v>42392</v>
      </c>
      <c r="B7695" s="116">
        <f t="shared" si="121"/>
        <v>14</v>
      </c>
    </row>
    <row r="7696" spans="1:2" x14ac:dyDescent="0.2">
      <c r="A7696" s="117">
        <v>42393</v>
      </c>
      <c r="B7696" s="116">
        <f t="shared" si="121"/>
        <v>15</v>
      </c>
    </row>
    <row r="7697" spans="1:2" x14ac:dyDescent="0.2">
      <c r="A7697" s="117">
        <v>42394</v>
      </c>
      <c r="B7697" s="116">
        <f t="shared" si="121"/>
        <v>15</v>
      </c>
    </row>
    <row r="7698" spans="1:2" x14ac:dyDescent="0.2">
      <c r="A7698" s="117">
        <v>42395</v>
      </c>
      <c r="B7698" s="116">
        <f t="shared" si="121"/>
        <v>15</v>
      </c>
    </row>
    <row r="7699" spans="1:2" x14ac:dyDescent="0.2">
      <c r="A7699" s="117">
        <v>42396</v>
      </c>
      <c r="B7699" s="116">
        <f t="shared" si="121"/>
        <v>15</v>
      </c>
    </row>
    <row r="7700" spans="1:2" x14ac:dyDescent="0.2">
      <c r="A7700" s="117">
        <v>42397</v>
      </c>
      <c r="B7700" s="116">
        <f t="shared" si="121"/>
        <v>15</v>
      </c>
    </row>
    <row r="7701" spans="1:2" x14ac:dyDescent="0.2">
      <c r="A7701" s="117">
        <v>42398</v>
      </c>
      <c r="B7701" s="116">
        <f t="shared" si="121"/>
        <v>15</v>
      </c>
    </row>
    <row r="7702" spans="1:2" x14ac:dyDescent="0.2">
      <c r="A7702" s="117">
        <v>42399</v>
      </c>
      <c r="B7702" s="116">
        <f t="shared" si="121"/>
        <v>15</v>
      </c>
    </row>
    <row r="7703" spans="1:2" x14ac:dyDescent="0.2">
      <c r="A7703" s="117">
        <v>42400</v>
      </c>
      <c r="B7703" s="116">
        <f t="shared" si="121"/>
        <v>21</v>
      </c>
    </row>
    <row r="7704" spans="1:2" x14ac:dyDescent="0.2">
      <c r="A7704" s="117">
        <v>42401</v>
      </c>
      <c r="B7704" s="116">
        <f t="shared" si="121"/>
        <v>21</v>
      </c>
    </row>
    <row r="7705" spans="1:2" x14ac:dyDescent="0.2">
      <c r="A7705" s="117">
        <v>42402</v>
      </c>
      <c r="B7705" s="116">
        <f t="shared" si="121"/>
        <v>21</v>
      </c>
    </row>
    <row r="7706" spans="1:2" x14ac:dyDescent="0.2">
      <c r="A7706" s="117">
        <v>42403</v>
      </c>
      <c r="B7706" s="116">
        <f t="shared" si="121"/>
        <v>21</v>
      </c>
    </row>
    <row r="7707" spans="1:2" x14ac:dyDescent="0.2">
      <c r="A7707" s="117">
        <v>42404</v>
      </c>
      <c r="B7707" s="116">
        <f t="shared" si="121"/>
        <v>21</v>
      </c>
    </row>
    <row r="7708" spans="1:2" x14ac:dyDescent="0.2">
      <c r="A7708" s="117">
        <v>42405</v>
      </c>
      <c r="B7708" s="116">
        <f t="shared" si="121"/>
        <v>21</v>
      </c>
    </row>
    <row r="7709" spans="1:2" x14ac:dyDescent="0.2">
      <c r="A7709" s="117">
        <v>42406</v>
      </c>
      <c r="B7709" s="116">
        <f t="shared" si="121"/>
        <v>21</v>
      </c>
    </row>
    <row r="7710" spans="1:2" x14ac:dyDescent="0.2">
      <c r="A7710" s="117">
        <v>42407</v>
      </c>
      <c r="B7710" s="116">
        <f t="shared" si="121"/>
        <v>22</v>
      </c>
    </row>
    <row r="7711" spans="1:2" x14ac:dyDescent="0.2">
      <c r="A7711" s="117">
        <v>42408</v>
      </c>
      <c r="B7711" s="116">
        <f t="shared" si="121"/>
        <v>22</v>
      </c>
    </row>
    <row r="7712" spans="1:2" x14ac:dyDescent="0.2">
      <c r="A7712" s="117">
        <v>42409</v>
      </c>
      <c r="B7712" s="116">
        <f t="shared" si="121"/>
        <v>22</v>
      </c>
    </row>
    <row r="7713" spans="1:2" x14ac:dyDescent="0.2">
      <c r="A7713" s="117">
        <v>42410</v>
      </c>
      <c r="B7713" s="116">
        <f t="shared" si="121"/>
        <v>22</v>
      </c>
    </row>
    <row r="7714" spans="1:2" x14ac:dyDescent="0.2">
      <c r="A7714" s="117">
        <v>42411</v>
      </c>
      <c r="B7714" s="116">
        <f t="shared" si="121"/>
        <v>22</v>
      </c>
    </row>
    <row r="7715" spans="1:2" x14ac:dyDescent="0.2">
      <c r="A7715" s="117">
        <v>42412</v>
      </c>
      <c r="B7715" s="116">
        <f t="shared" si="121"/>
        <v>22</v>
      </c>
    </row>
    <row r="7716" spans="1:2" x14ac:dyDescent="0.2">
      <c r="A7716" s="117">
        <v>42413</v>
      </c>
      <c r="B7716" s="116">
        <f t="shared" si="121"/>
        <v>22</v>
      </c>
    </row>
    <row r="7717" spans="1:2" x14ac:dyDescent="0.2">
      <c r="A7717" s="117">
        <v>42414</v>
      </c>
      <c r="B7717" s="116">
        <f t="shared" si="121"/>
        <v>23</v>
      </c>
    </row>
    <row r="7718" spans="1:2" x14ac:dyDescent="0.2">
      <c r="A7718" s="117">
        <v>42415</v>
      </c>
      <c r="B7718" s="116">
        <f t="shared" ref="B7718:B7781" si="122">VLOOKUP(WEEKNUM(A7718),$D$4:$E$59,2)</f>
        <v>23</v>
      </c>
    </row>
    <row r="7719" spans="1:2" x14ac:dyDescent="0.2">
      <c r="A7719" s="117">
        <v>42416</v>
      </c>
      <c r="B7719" s="116">
        <f t="shared" si="122"/>
        <v>23</v>
      </c>
    </row>
    <row r="7720" spans="1:2" x14ac:dyDescent="0.2">
      <c r="A7720" s="117">
        <v>42417</v>
      </c>
      <c r="B7720" s="116">
        <f t="shared" si="122"/>
        <v>23</v>
      </c>
    </row>
    <row r="7721" spans="1:2" x14ac:dyDescent="0.2">
      <c r="A7721" s="117">
        <v>42418</v>
      </c>
      <c r="B7721" s="116">
        <f t="shared" si="122"/>
        <v>23</v>
      </c>
    </row>
    <row r="7722" spans="1:2" x14ac:dyDescent="0.2">
      <c r="A7722" s="117">
        <v>42419</v>
      </c>
      <c r="B7722" s="116">
        <f t="shared" si="122"/>
        <v>23</v>
      </c>
    </row>
    <row r="7723" spans="1:2" x14ac:dyDescent="0.2">
      <c r="A7723" s="117">
        <v>42420</v>
      </c>
      <c r="B7723" s="116">
        <f t="shared" si="122"/>
        <v>23</v>
      </c>
    </row>
    <row r="7724" spans="1:2" x14ac:dyDescent="0.2">
      <c r="A7724" s="117">
        <v>42421</v>
      </c>
      <c r="B7724" s="116">
        <f t="shared" si="122"/>
        <v>24</v>
      </c>
    </row>
    <row r="7725" spans="1:2" x14ac:dyDescent="0.2">
      <c r="A7725" s="117">
        <v>42422</v>
      </c>
      <c r="B7725" s="116">
        <f t="shared" si="122"/>
        <v>24</v>
      </c>
    </row>
    <row r="7726" spans="1:2" x14ac:dyDescent="0.2">
      <c r="A7726" s="117">
        <v>42423</v>
      </c>
      <c r="B7726" s="116">
        <f t="shared" si="122"/>
        <v>24</v>
      </c>
    </row>
    <row r="7727" spans="1:2" x14ac:dyDescent="0.2">
      <c r="A7727" s="117">
        <v>42424</v>
      </c>
      <c r="B7727" s="116">
        <f t="shared" si="122"/>
        <v>24</v>
      </c>
    </row>
    <row r="7728" spans="1:2" x14ac:dyDescent="0.2">
      <c r="A7728" s="117">
        <v>42425</v>
      </c>
      <c r="B7728" s="116">
        <f t="shared" si="122"/>
        <v>24</v>
      </c>
    </row>
    <row r="7729" spans="1:2" x14ac:dyDescent="0.2">
      <c r="A7729" s="117">
        <v>42426</v>
      </c>
      <c r="B7729" s="116">
        <f t="shared" si="122"/>
        <v>24</v>
      </c>
    </row>
    <row r="7730" spans="1:2" x14ac:dyDescent="0.2">
      <c r="A7730" s="117">
        <v>42427</v>
      </c>
      <c r="B7730" s="116">
        <f t="shared" si="122"/>
        <v>24</v>
      </c>
    </row>
    <row r="7731" spans="1:2" x14ac:dyDescent="0.2">
      <c r="A7731" s="117">
        <v>42428</v>
      </c>
      <c r="B7731" s="116">
        <f t="shared" si="122"/>
        <v>31</v>
      </c>
    </row>
    <row r="7732" spans="1:2" x14ac:dyDescent="0.2">
      <c r="A7732" s="117">
        <v>42429</v>
      </c>
      <c r="B7732" s="116">
        <f t="shared" si="122"/>
        <v>31</v>
      </c>
    </row>
    <row r="7733" spans="1:2" x14ac:dyDescent="0.2">
      <c r="A7733" s="117">
        <v>42430</v>
      </c>
      <c r="B7733" s="116">
        <f t="shared" si="122"/>
        <v>31</v>
      </c>
    </row>
    <row r="7734" spans="1:2" x14ac:dyDescent="0.2">
      <c r="A7734" s="117">
        <v>42431</v>
      </c>
      <c r="B7734" s="116">
        <f t="shared" si="122"/>
        <v>31</v>
      </c>
    </row>
    <row r="7735" spans="1:2" x14ac:dyDescent="0.2">
      <c r="A7735" s="117">
        <v>42432</v>
      </c>
      <c r="B7735" s="116">
        <f t="shared" si="122"/>
        <v>31</v>
      </c>
    </row>
    <row r="7736" spans="1:2" x14ac:dyDescent="0.2">
      <c r="A7736" s="117">
        <v>42433</v>
      </c>
      <c r="B7736" s="116">
        <f t="shared" si="122"/>
        <v>31</v>
      </c>
    </row>
    <row r="7737" spans="1:2" x14ac:dyDescent="0.2">
      <c r="A7737" s="117">
        <v>42434</v>
      </c>
      <c r="B7737" s="116">
        <f t="shared" si="122"/>
        <v>31</v>
      </c>
    </row>
    <row r="7738" spans="1:2" x14ac:dyDescent="0.2">
      <c r="A7738" s="117">
        <v>42435</v>
      </c>
      <c r="B7738" s="116">
        <f t="shared" si="122"/>
        <v>32</v>
      </c>
    </row>
    <row r="7739" spans="1:2" x14ac:dyDescent="0.2">
      <c r="A7739" s="117">
        <v>42436</v>
      </c>
      <c r="B7739" s="116">
        <f t="shared" si="122"/>
        <v>32</v>
      </c>
    </row>
    <row r="7740" spans="1:2" x14ac:dyDescent="0.2">
      <c r="A7740" s="117">
        <v>42437</v>
      </c>
      <c r="B7740" s="116">
        <f t="shared" si="122"/>
        <v>32</v>
      </c>
    </row>
    <row r="7741" spans="1:2" x14ac:dyDescent="0.2">
      <c r="A7741" s="117">
        <v>42438</v>
      </c>
      <c r="B7741" s="116">
        <f t="shared" si="122"/>
        <v>32</v>
      </c>
    </row>
    <row r="7742" spans="1:2" x14ac:dyDescent="0.2">
      <c r="A7742" s="117">
        <v>42439</v>
      </c>
      <c r="B7742" s="116">
        <f t="shared" si="122"/>
        <v>32</v>
      </c>
    </row>
    <row r="7743" spans="1:2" x14ac:dyDescent="0.2">
      <c r="A7743" s="117">
        <v>42440</v>
      </c>
      <c r="B7743" s="116">
        <f t="shared" si="122"/>
        <v>32</v>
      </c>
    </row>
    <row r="7744" spans="1:2" x14ac:dyDescent="0.2">
      <c r="A7744" s="117">
        <v>42441</v>
      </c>
      <c r="B7744" s="116">
        <f t="shared" si="122"/>
        <v>32</v>
      </c>
    </row>
    <row r="7745" spans="1:2" x14ac:dyDescent="0.2">
      <c r="A7745" s="117">
        <v>42442</v>
      </c>
      <c r="B7745" s="116">
        <f t="shared" si="122"/>
        <v>33</v>
      </c>
    </row>
    <row r="7746" spans="1:2" x14ac:dyDescent="0.2">
      <c r="A7746" s="117">
        <v>42443</v>
      </c>
      <c r="B7746" s="116">
        <f t="shared" si="122"/>
        <v>33</v>
      </c>
    </row>
    <row r="7747" spans="1:2" x14ac:dyDescent="0.2">
      <c r="A7747" s="117">
        <v>42444</v>
      </c>
      <c r="B7747" s="116">
        <f t="shared" si="122"/>
        <v>33</v>
      </c>
    </row>
    <row r="7748" spans="1:2" x14ac:dyDescent="0.2">
      <c r="A7748" s="117">
        <v>42445</v>
      </c>
      <c r="B7748" s="116">
        <f t="shared" si="122"/>
        <v>33</v>
      </c>
    </row>
    <row r="7749" spans="1:2" x14ac:dyDescent="0.2">
      <c r="A7749" s="117">
        <v>42446</v>
      </c>
      <c r="B7749" s="116">
        <f t="shared" si="122"/>
        <v>33</v>
      </c>
    </row>
    <row r="7750" spans="1:2" x14ac:dyDescent="0.2">
      <c r="A7750" s="117">
        <v>42447</v>
      </c>
      <c r="B7750" s="116">
        <f t="shared" si="122"/>
        <v>33</v>
      </c>
    </row>
    <row r="7751" spans="1:2" x14ac:dyDescent="0.2">
      <c r="A7751" s="117">
        <v>42448</v>
      </c>
      <c r="B7751" s="116">
        <f t="shared" si="122"/>
        <v>33</v>
      </c>
    </row>
    <row r="7752" spans="1:2" x14ac:dyDescent="0.2">
      <c r="A7752" s="117">
        <v>42449</v>
      </c>
      <c r="B7752" s="116">
        <f t="shared" si="122"/>
        <v>34</v>
      </c>
    </row>
    <row r="7753" spans="1:2" x14ac:dyDescent="0.2">
      <c r="A7753" s="117">
        <v>42450</v>
      </c>
      <c r="B7753" s="116">
        <f t="shared" si="122"/>
        <v>34</v>
      </c>
    </row>
    <row r="7754" spans="1:2" x14ac:dyDescent="0.2">
      <c r="A7754" s="117">
        <v>42451</v>
      </c>
      <c r="B7754" s="116">
        <f t="shared" si="122"/>
        <v>34</v>
      </c>
    </row>
    <row r="7755" spans="1:2" x14ac:dyDescent="0.2">
      <c r="A7755" s="117">
        <v>42452</v>
      </c>
      <c r="B7755" s="116">
        <f t="shared" si="122"/>
        <v>34</v>
      </c>
    </row>
    <row r="7756" spans="1:2" x14ac:dyDescent="0.2">
      <c r="A7756" s="117">
        <v>42453</v>
      </c>
      <c r="B7756" s="116">
        <f t="shared" si="122"/>
        <v>34</v>
      </c>
    </row>
    <row r="7757" spans="1:2" x14ac:dyDescent="0.2">
      <c r="A7757" s="117">
        <v>42454</v>
      </c>
      <c r="B7757" s="116">
        <f t="shared" si="122"/>
        <v>34</v>
      </c>
    </row>
    <row r="7758" spans="1:2" x14ac:dyDescent="0.2">
      <c r="A7758" s="117">
        <v>42455</v>
      </c>
      <c r="B7758" s="116">
        <f t="shared" si="122"/>
        <v>34</v>
      </c>
    </row>
    <row r="7759" spans="1:2" x14ac:dyDescent="0.2">
      <c r="A7759" s="117">
        <v>42456</v>
      </c>
      <c r="B7759" s="116">
        <f t="shared" si="122"/>
        <v>41</v>
      </c>
    </row>
    <row r="7760" spans="1:2" x14ac:dyDescent="0.2">
      <c r="A7760" s="117">
        <v>42457</v>
      </c>
      <c r="B7760" s="116">
        <f t="shared" si="122"/>
        <v>41</v>
      </c>
    </row>
    <row r="7761" spans="1:2" x14ac:dyDescent="0.2">
      <c r="A7761" s="117">
        <v>42458</v>
      </c>
      <c r="B7761" s="116">
        <f t="shared" si="122"/>
        <v>41</v>
      </c>
    </row>
    <row r="7762" spans="1:2" x14ac:dyDescent="0.2">
      <c r="A7762" s="117">
        <v>42459</v>
      </c>
      <c r="B7762" s="116">
        <f t="shared" si="122"/>
        <v>41</v>
      </c>
    </row>
    <row r="7763" spans="1:2" x14ac:dyDescent="0.2">
      <c r="A7763" s="117">
        <v>42460</v>
      </c>
      <c r="B7763" s="116">
        <f t="shared" si="122"/>
        <v>41</v>
      </c>
    </row>
    <row r="7764" spans="1:2" x14ac:dyDescent="0.2">
      <c r="A7764" s="117">
        <v>42461</v>
      </c>
      <c r="B7764" s="116">
        <f t="shared" si="122"/>
        <v>41</v>
      </c>
    </row>
    <row r="7765" spans="1:2" x14ac:dyDescent="0.2">
      <c r="A7765" s="117">
        <v>42462</v>
      </c>
      <c r="B7765" s="116">
        <f t="shared" si="122"/>
        <v>41</v>
      </c>
    </row>
    <row r="7766" spans="1:2" x14ac:dyDescent="0.2">
      <c r="A7766" s="117">
        <v>42463</v>
      </c>
      <c r="B7766" s="116">
        <f t="shared" si="122"/>
        <v>42</v>
      </c>
    </row>
    <row r="7767" spans="1:2" x14ac:dyDescent="0.2">
      <c r="A7767" s="117">
        <v>42464</v>
      </c>
      <c r="B7767" s="116">
        <f t="shared" si="122"/>
        <v>42</v>
      </c>
    </row>
    <row r="7768" spans="1:2" x14ac:dyDescent="0.2">
      <c r="A7768" s="117">
        <v>42465</v>
      </c>
      <c r="B7768" s="116">
        <f t="shared" si="122"/>
        <v>42</v>
      </c>
    </row>
    <row r="7769" spans="1:2" x14ac:dyDescent="0.2">
      <c r="A7769" s="117">
        <v>42466</v>
      </c>
      <c r="B7769" s="116">
        <f t="shared" si="122"/>
        <v>42</v>
      </c>
    </row>
    <row r="7770" spans="1:2" x14ac:dyDescent="0.2">
      <c r="A7770" s="117">
        <v>42467</v>
      </c>
      <c r="B7770" s="116">
        <f t="shared" si="122"/>
        <v>42</v>
      </c>
    </row>
    <row r="7771" spans="1:2" x14ac:dyDescent="0.2">
      <c r="A7771" s="117">
        <v>42468</v>
      </c>
      <c r="B7771" s="116">
        <f t="shared" si="122"/>
        <v>42</v>
      </c>
    </row>
    <row r="7772" spans="1:2" x14ac:dyDescent="0.2">
      <c r="A7772" s="117">
        <v>42469</v>
      </c>
      <c r="B7772" s="116">
        <f t="shared" si="122"/>
        <v>42</v>
      </c>
    </row>
    <row r="7773" spans="1:2" x14ac:dyDescent="0.2">
      <c r="A7773" s="117">
        <v>42470</v>
      </c>
      <c r="B7773" s="116">
        <f t="shared" si="122"/>
        <v>43</v>
      </c>
    </row>
    <row r="7774" spans="1:2" x14ac:dyDescent="0.2">
      <c r="A7774" s="117">
        <v>42471</v>
      </c>
      <c r="B7774" s="116">
        <f t="shared" si="122"/>
        <v>43</v>
      </c>
    </row>
    <row r="7775" spans="1:2" x14ac:dyDescent="0.2">
      <c r="A7775" s="117">
        <v>42472</v>
      </c>
      <c r="B7775" s="116">
        <f t="shared" si="122"/>
        <v>43</v>
      </c>
    </row>
    <row r="7776" spans="1:2" x14ac:dyDescent="0.2">
      <c r="A7776" s="117">
        <v>42473</v>
      </c>
      <c r="B7776" s="116">
        <f t="shared" si="122"/>
        <v>43</v>
      </c>
    </row>
    <row r="7777" spans="1:2" x14ac:dyDescent="0.2">
      <c r="A7777" s="117">
        <v>42474</v>
      </c>
      <c r="B7777" s="116">
        <f t="shared" si="122"/>
        <v>43</v>
      </c>
    </row>
    <row r="7778" spans="1:2" x14ac:dyDescent="0.2">
      <c r="A7778" s="117">
        <v>42475</v>
      </c>
      <c r="B7778" s="116">
        <f t="shared" si="122"/>
        <v>43</v>
      </c>
    </row>
    <row r="7779" spans="1:2" x14ac:dyDescent="0.2">
      <c r="A7779" s="117">
        <v>42476</v>
      </c>
      <c r="B7779" s="116">
        <f t="shared" si="122"/>
        <v>43</v>
      </c>
    </row>
    <row r="7780" spans="1:2" x14ac:dyDescent="0.2">
      <c r="A7780" s="117">
        <v>42477</v>
      </c>
      <c r="B7780" s="116">
        <f t="shared" si="122"/>
        <v>44</v>
      </c>
    </row>
    <row r="7781" spans="1:2" x14ac:dyDescent="0.2">
      <c r="A7781" s="117">
        <v>42478</v>
      </c>
      <c r="B7781" s="116">
        <f t="shared" si="122"/>
        <v>44</v>
      </c>
    </row>
    <row r="7782" spans="1:2" x14ac:dyDescent="0.2">
      <c r="A7782" s="117">
        <v>42479</v>
      </c>
      <c r="B7782" s="116">
        <f t="shared" ref="B7782:B7845" si="123">VLOOKUP(WEEKNUM(A7782),$D$4:$E$59,2)</f>
        <v>44</v>
      </c>
    </row>
    <row r="7783" spans="1:2" x14ac:dyDescent="0.2">
      <c r="A7783" s="117">
        <v>42480</v>
      </c>
      <c r="B7783" s="116">
        <f t="shared" si="123"/>
        <v>44</v>
      </c>
    </row>
    <row r="7784" spans="1:2" x14ac:dyDescent="0.2">
      <c r="A7784" s="117">
        <v>42481</v>
      </c>
      <c r="B7784" s="116">
        <f t="shared" si="123"/>
        <v>44</v>
      </c>
    </row>
    <row r="7785" spans="1:2" x14ac:dyDescent="0.2">
      <c r="A7785" s="117">
        <v>42482</v>
      </c>
      <c r="B7785" s="116">
        <f t="shared" si="123"/>
        <v>44</v>
      </c>
    </row>
    <row r="7786" spans="1:2" x14ac:dyDescent="0.2">
      <c r="A7786" s="117">
        <v>42483</v>
      </c>
      <c r="B7786" s="116">
        <f t="shared" si="123"/>
        <v>44</v>
      </c>
    </row>
    <row r="7787" spans="1:2" x14ac:dyDescent="0.2">
      <c r="A7787" s="117">
        <v>42484</v>
      </c>
      <c r="B7787" s="116">
        <f t="shared" si="123"/>
        <v>45</v>
      </c>
    </row>
    <row r="7788" spans="1:2" x14ac:dyDescent="0.2">
      <c r="A7788" s="117">
        <v>42485</v>
      </c>
      <c r="B7788" s="116">
        <f t="shared" si="123"/>
        <v>45</v>
      </c>
    </row>
    <row r="7789" spans="1:2" x14ac:dyDescent="0.2">
      <c r="A7789" s="117">
        <v>42486</v>
      </c>
      <c r="B7789" s="116">
        <f t="shared" si="123"/>
        <v>45</v>
      </c>
    </row>
    <row r="7790" spans="1:2" x14ac:dyDescent="0.2">
      <c r="A7790" s="117">
        <v>42487</v>
      </c>
      <c r="B7790" s="116">
        <f t="shared" si="123"/>
        <v>45</v>
      </c>
    </row>
    <row r="7791" spans="1:2" x14ac:dyDescent="0.2">
      <c r="A7791" s="117">
        <v>42488</v>
      </c>
      <c r="B7791" s="116">
        <f t="shared" si="123"/>
        <v>45</v>
      </c>
    </row>
    <row r="7792" spans="1:2" x14ac:dyDescent="0.2">
      <c r="A7792" s="117">
        <v>42489</v>
      </c>
      <c r="B7792" s="116">
        <f t="shared" si="123"/>
        <v>45</v>
      </c>
    </row>
    <row r="7793" spans="1:2" x14ac:dyDescent="0.2">
      <c r="A7793" s="117">
        <v>42490</v>
      </c>
      <c r="B7793" s="116">
        <f t="shared" si="123"/>
        <v>45</v>
      </c>
    </row>
    <row r="7794" spans="1:2" x14ac:dyDescent="0.2">
      <c r="A7794" s="117">
        <v>42491</v>
      </c>
      <c r="B7794" s="116">
        <f t="shared" si="123"/>
        <v>51</v>
      </c>
    </row>
    <row r="7795" spans="1:2" x14ac:dyDescent="0.2">
      <c r="A7795" s="117">
        <v>42492</v>
      </c>
      <c r="B7795" s="116">
        <f t="shared" si="123"/>
        <v>51</v>
      </c>
    </row>
    <row r="7796" spans="1:2" x14ac:dyDescent="0.2">
      <c r="A7796" s="117">
        <v>42493</v>
      </c>
      <c r="B7796" s="116">
        <f t="shared" si="123"/>
        <v>51</v>
      </c>
    </row>
    <row r="7797" spans="1:2" x14ac:dyDescent="0.2">
      <c r="A7797" s="117">
        <v>42494</v>
      </c>
      <c r="B7797" s="116">
        <f t="shared" si="123"/>
        <v>51</v>
      </c>
    </row>
    <row r="7798" spans="1:2" x14ac:dyDescent="0.2">
      <c r="A7798" s="117">
        <v>42495</v>
      </c>
      <c r="B7798" s="116">
        <f t="shared" si="123"/>
        <v>51</v>
      </c>
    </row>
    <row r="7799" spans="1:2" x14ac:dyDescent="0.2">
      <c r="A7799" s="117">
        <v>42496</v>
      </c>
      <c r="B7799" s="116">
        <f t="shared" si="123"/>
        <v>51</v>
      </c>
    </row>
    <row r="7800" spans="1:2" x14ac:dyDescent="0.2">
      <c r="A7800" s="117">
        <v>42497</v>
      </c>
      <c r="B7800" s="116">
        <f t="shared" si="123"/>
        <v>51</v>
      </c>
    </row>
    <row r="7801" spans="1:2" x14ac:dyDescent="0.2">
      <c r="A7801" s="117">
        <v>42498</v>
      </c>
      <c r="B7801" s="116">
        <f t="shared" si="123"/>
        <v>52</v>
      </c>
    </row>
    <row r="7802" spans="1:2" x14ac:dyDescent="0.2">
      <c r="A7802" s="117">
        <v>42499</v>
      </c>
      <c r="B7802" s="116">
        <f t="shared" si="123"/>
        <v>52</v>
      </c>
    </row>
    <row r="7803" spans="1:2" x14ac:dyDescent="0.2">
      <c r="A7803" s="117">
        <v>42500</v>
      </c>
      <c r="B7803" s="116">
        <f t="shared" si="123"/>
        <v>52</v>
      </c>
    </row>
    <row r="7804" spans="1:2" x14ac:dyDescent="0.2">
      <c r="A7804" s="117">
        <v>42501</v>
      </c>
      <c r="B7804" s="116">
        <f t="shared" si="123"/>
        <v>52</v>
      </c>
    </row>
    <row r="7805" spans="1:2" x14ac:dyDescent="0.2">
      <c r="A7805" s="117">
        <v>42502</v>
      </c>
      <c r="B7805" s="116">
        <f t="shared" si="123"/>
        <v>52</v>
      </c>
    </row>
    <row r="7806" spans="1:2" x14ac:dyDescent="0.2">
      <c r="A7806" s="117">
        <v>42503</v>
      </c>
      <c r="B7806" s="116">
        <f t="shared" si="123"/>
        <v>52</v>
      </c>
    </row>
    <row r="7807" spans="1:2" x14ac:dyDescent="0.2">
      <c r="A7807" s="117">
        <v>42504</v>
      </c>
      <c r="B7807" s="116">
        <f t="shared" si="123"/>
        <v>52</v>
      </c>
    </row>
    <row r="7808" spans="1:2" x14ac:dyDescent="0.2">
      <c r="A7808" s="117">
        <v>42505</v>
      </c>
      <c r="B7808" s="116">
        <f t="shared" si="123"/>
        <v>53</v>
      </c>
    </row>
    <row r="7809" spans="1:2" x14ac:dyDescent="0.2">
      <c r="A7809" s="117">
        <v>42506</v>
      </c>
      <c r="B7809" s="116">
        <f t="shared" si="123"/>
        <v>53</v>
      </c>
    </row>
    <row r="7810" spans="1:2" x14ac:dyDescent="0.2">
      <c r="A7810" s="117">
        <v>42507</v>
      </c>
      <c r="B7810" s="116">
        <f t="shared" si="123"/>
        <v>53</v>
      </c>
    </row>
    <row r="7811" spans="1:2" x14ac:dyDescent="0.2">
      <c r="A7811" s="117">
        <v>42508</v>
      </c>
      <c r="B7811" s="116">
        <f t="shared" si="123"/>
        <v>53</v>
      </c>
    </row>
    <row r="7812" spans="1:2" x14ac:dyDescent="0.2">
      <c r="A7812" s="117">
        <v>42509</v>
      </c>
      <c r="B7812" s="116">
        <f t="shared" si="123"/>
        <v>53</v>
      </c>
    </row>
    <row r="7813" spans="1:2" x14ac:dyDescent="0.2">
      <c r="A7813" s="117">
        <v>42510</v>
      </c>
      <c r="B7813" s="116">
        <f t="shared" si="123"/>
        <v>53</v>
      </c>
    </row>
    <row r="7814" spans="1:2" x14ac:dyDescent="0.2">
      <c r="A7814" s="117">
        <v>42511</v>
      </c>
      <c r="B7814" s="116">
        <f t="shared" si="123"/>
        <v>53</v>
      </c>
    </row>
    <row r="7815" spans="1:2" x14ac:dyDescent="0.2">
      <c r="A7815" s="117">
        <v>42512</v>
      </c>
      <c r="B7815" s="116">
        <f t="shared" si="123"/>
        <v>54</v>
      </c>
    </row>
    <row r="7816" spans="1:2" x14ac:dyDescent="0.2">
      <c r="A7816" s="117">
        <v>42513</v>
      </c>
      <c r="B7816" s="116">
        <f t="shared" si="123"/>
        <v>54</v>
      </c>
    </row>
    <row r="7817" spans="1:2" x14ac:dyDescent="0.2">
      <c r="A7817" s="117">
        <v>42514</v>
      </c>
      <c r="B7817" s="116">
        <f t="shared" si="123"/>
        <v>54</v>
      </c>
    </row>
    <row r="7818" spans="1:2" x14ac:dyDescent="0.2">
      <c r="A7818" s="117">
        <v>42515</v>
      </c>
      <c r="B7818" s="116">
        <f t="shared" si="123"/>
        <v>54</v>
      </c>
    </row>
    <row r="7819" spans="1:2" x14ac:dyDescent="0.2">
      <c r="A7819" s="117">
        <v>42516</v>
      </c>
      <c r="B7819" s="116">
        <f t="shared" si="123"/>
        <v>54</v>
      </c>
    </row>
    <row r="7820" spans="1:2" x14ac:dyDescent="0.2">
      <c r="A7820" s="117">
        <v>42517</v>
      </c>
      <c r="B7820" s="116">
        <f t="shared" si="123"/>
        <v>54</v>
      </c>
    </row>
    <row r="7821" spans="1:2" x14ac:dyDescent="0.2">
      <c r="A7821" s="117">
        <v>42518</v>
      </c>
      <c r="B7821" s="116">
        <f t="shared" si="123"/>
        <v>54</v>
      </c>
    </row>
    <row r="7822" spans="1:2" x14ac:dyDescent="0.2">
      <c r="A7822" s="117">
        <v>42519</v>
      </c>
      <c r="B7822" s="116">
        <f t="shared" si="123"/>
        <v>61</v>
      </c>
    </row>
    <row r="7823" spans="1:2" x14ac:dyDescent="0.2">
      <c r="A7823" s="117">
        <v>42520</v>
      </c>
      <c r="B7823" s="116">
        <f t="shared" si="123"/>
        <v>61</v>
      </c>
    </row>
    <row r="7824" spans="1:2" x14ac:dyDescent="0.2">
      <c r="A7824" s="117">
        <v>42521</v>
      </c>
      <c r="B7824" s="116">
        <f t="shared" si="123"/>
        <v>61</v>
      </c>
    </row>
    <row r="7825" spans="1:2" x14ac:dyDescent="0.2">
      <c r="A7825" s="117">
        <v>42522</v>
      </c>
      <c r="B7825" s="116">
        <f t="shared" si="123"/>
        <v>61</v>
      </c>
    </row>
    <row r="7826" spans="1:2" x14ac:dyDescent="0.2">
      <c r="A7826" s="117">
        <v>42523</v>
      </c>
      <c r="B7826" s="116">
        <f t="shared" si="123"/>
        <v>61</v>
      </c>
    </row>
    <row r="7827" spans="1:2" x14ac:dyDescent="0.2">
      <c r="A7827" s="117">
        <v>42524</v>
      </c>
      <c r="B7827" s="116">
        <f t="shared" si="123"/>
        <v>61</v>
      </c>
    </row>
    <row r="7828" spans="1:2" x14ac:dyDescent="0.2">
      <c r="A7828" s="117">
        <v>42525</v>
      </c>
      <c r="B7828" s="116">
        <f t="shared" si="123"/>
        <v>61</v>
      </c>
    </row>
    <row r="7829" spans="1:2" x14ac:dyDescent="0.2">
      <c r="A7829" s="117">
        <v>42526</v>
      </c>
      <c r="B7829" s="116">
        <f t="shared" si="123"/>
        <v>62</v>
      </c>
    </row>
    <row r="7830" spans="1:2" x14ac:dyDescent="0.2">
      <c r="A7830" s="117">
        <v>42527</v>
      </c>
      <c r="B7830" s="116">
        <f t="shared" si="123"/>
        <v>62</v>
      </c>
    </row>
    <row r="7831" spans="1:2" x14ac:dyDescent="0.2">
      <c r="A7831" s="117">
        <v>42528</v>
      </c>
      <c r="B7831" s="116">
        <f t="shared" si="123"/>
        <v>62</v>
      </c>
    </row>
    <row r="7832" spans="1:2" x14ac:dyDescent="0.2">
      <c r="A7832" s="117">
        <v>42529</v>
      </c>
      <c r="B7832" s="116">
        <f t="shared" si="123"/>
        <v>62</v>
      </c>
    </row>
    <row r="7833" spans="1:2" x14ac:dyDescent="0.2">
      <c r="A7833" s="117">
        <v>42530</v>
      </c>
      <c r="B7833" s="116">
        <f t="shared" si="123"/>
        <v>62</v>
      </c>
    </row>
    <row r="7834" spans="1:2" x14ac:dyDescent="0.2">
      <c r="A7834" s="117">
        <v>42531</v>
      </c>
      <c r="B7834" s="116">
        <f t="shared" si="123"/>
        <v>62</v>
      </c>
    </row>
    <row r="7835" spans="1:2" x14ac:dyDescent="0.2">
      <c r="A7835" s="117">
        <v>42532</v>
      </c>
      <c r="B7835" s="116">
        <f t="shared" si="123"/>
        <v>62</v>
      </c>
    </row>
    <row r="7836" spans="1:2" x14ac:dyDescent="0.2">
      <c r="A7836" s="117">
        <v>42533</v>
      </c>
      <c r="B7836" s="116">
        <f t="shared" si="123"/>
        <v>63</v>
      </c>
    </row>
    <row r="7837" spans="1:2" x14ac:dyDescent="0.2">
      <c r="A7837" s="117">
        <v>42534</v>
      </c>
      <c r="B7837" s="116">
        <f t="shared" si="123"/>
        <v>63</v>
      </c>
    </row>
    <row r="7838" spans="1:2" x14ac:dyDescent="0.2">
      <c r="A7838" s="117">
        <v>42535</v>
      </c>
      <c r="B7838" s="116">
        <f t="shared" si="123"/>
        <v>63</v>
      </c>
    </row>
    <row r="7839" spans="1:2" x14ac:dyDescent="0.2">
      <c r="A7839" s="117">
        <v>42536</v>
      </c>
      <c r="B7839" s="116">
        <f t="shared" si="123"/>
        <v>63</v>
      </c>
    </row>
    <row r="7840" spans="1:2" x14ac:dyDescent="0.2">
      <c r="A7840" s="117">
        <v>42537</v>
      </c>
      <c r="B7840" s="116">
        <f t="shared" si="123"/>
        <v>63</v>
      </c>
    </row>
    <row r="7841" spans="1:2" x14ac:dyDescent="0.2">
      <c r="A7841" s="117">
        <v>42538</v>
      </c>
      <c r="B7841" s="116">
        <f t="shared" si="123"/>
        <v>63</v>
      </c>
    </row>
    <row r="7842" spans="1:2" x14ac:dyDescent="0.2">
      <c r="A7842" s="117">
        <v>42539</v>
      </c>
      <c r="B7842" s="116">
        <f t="shared" si="123"/>
        <v>63</v>
      </c>
    </row>
    <row r="7843" spans="1:2" x14ac:dyDescent="0.2">
      <c r="A7843" s="117">
        <v>42540</v>
      </c>
      <c r="B7843" s="116">
        <f t="shared" si="123"/>
        <v>64</v>
      </c>
    </row>
    <row r="7844" spans="1:2" x14ac:dyDescent="0.2">
      <c r="A7844" s="117">
        <v>42541</v>
      </c>
      <c r="B7844" s="116">
        <f t="shared" si="123"/>
        <v>64</v>
      </c>
    </row>
    <row r="7845" spans="1:2" x14ac:dyDescent="0.2">
      <c r="A7845" s="117">
        <v>42542</v>
      </c>
      <c r="B7845" s="116">
        <f t="shared" si="123"/>
        <v>64</v>
      </c>
    </row>
    <row r="7846" spans="1:2" x14ac:dyDescent="0.2">
      <c r="A7846" s="117">
        <v>42543</v>
      </c>
      <c r="B7846" s="116">
        <f t="shared" ref="B7846:B7909" si="124">VLOOKUP(WEEKNUM(A7846),$D$4:$E$59,2)</f>
        <v>64</v>
      </c>
    </row>
    <row r="7847" spans="1:2" x14ac:dyDescent="0.2">
      <c r="A7847" s="117">
        <v>42544</v>
      </c>
      <c r="B7847" s="116">
        <f t="shared" si="124"/>
        <v>64</v>
      </c>
    </row>
    <row r="7848" spans="1:2" x14ac:dyDescent="0.2">
      <c r="A7848" s="117">
        <v>42545</v>
      </c>
      <c r="B7848" s="116">
        <f t="shared" si="124"/>
        <v>64</v>
      </c>
    </row>
    <row r="7849" spans="1:2" x14ac:dyDescent="0.2">
      <c r="A7849" s="117">
        <v>42546</v>
      </c>
      <c r="B7849" s="116">
        <f t="shared" si="124"/>
        <v>64</v>
      </c>
    </row>
    <row r="7850" spans="1:2" x14ac:dyDescent="0.2">
      <c r="A7850" s="117">
        <v>42547</v>
      </c>
      <c r="B7850" s="116">
        <f t="shared" si="124"/>
        <v>71</v>
      </c>
    </row>
    <row r="7851" spans="1:2" x14ac:dyDescent="0.2">
      <c r="A7851" s="117">
        <v>42548</v>
      </c>
      <c r="B7851" s="116">
        <f t="shared" si="124"/>
        <v>71</v>
      </c>
    </row>
    <row r="7852" spans="1:2" x14ac:dyDescent="0.2">
      <c r="A7852" s="117">
        <v>42549</v>
      </c>
      <c r="B7852" s="116">
        <f t="shared" si="124"/>
        <v>71</v>
      </c>
    </row>
    <row r="7853" spans="1:2" x14ac:dyDescent="0.2">
      <c r="A7853" s="117">
        <v>42550</v>
      </c>
      <c r="B7853" s="116">
        <f t="shared" si="124"/>
        <v>71</v>
      </c>
    </row>
    <row r="7854" spans="1:2" x14ac:dyDescent="0.2">
      <c r="A7854" s="117">
        <v>42551</v>
      </c>
      <c r="B7854" s="116">
        <f t="shared" si="124"/>
        <v>71</v>
      </c>
    </row>
    <row r="7855" spans="1:2" x14ac:dyDescent="0.2">
      <c r="A7855" s="117">
        <v>42552</v>
      </c>
      <c r="B7855" s="116">
        <f t="shared" si="124"/>
        <v>71</v>
      </c>
    </row>
    <row r="7856" spans="1:2" x14ac:dyDescent="0.2">
      <c r="A7856" s="117">
        <v>42553</v>
      </c>
      <c r="B7856" s="116">
        <f t="shared" si="124"/>
        <v>71</v>
      </c>
    </row>
    <row r="7857" spans="1:2" x14ac:dyDescent="0.2">
      <c r="A7857" s="117">
        <v>42554</v>
      </c>
      <c r="B7857" s="116">
        <f t="shared" si="124"/>
        <v>72</v>
      </c>
    </row>
    <row r="7858" spans="1:2" x14ac:dyDescent="0.2">
      <c r="A7858" s="117">
        <v>42555</v>
      </c>
      <c r="B7858" s="116">
        <f t="shared" si="124"/>
        <v>72</v>
      </c>
    </row>
    <row r="7859" spans="1:2" x14ac:dyDescent="0.2">
      <c r="A7859" s="117">
        <v>42556</v>
      </c>
      <c r="B7859" s="116">
        <f t="shared" si="124"/>
        <v>72</v>
      </c>
    </row>
    <row r="7860" spans="1:2" x14ac:dyDescent="0.2">
      <c r="A7860" s="117">
        <v>42557</v>
      </c>
      <c r="B7860" s="116">
        <f t="shared" si="124"/>
        <v>72</v>
      </c>
    </row>
    <row r="7861" spans="1:2" x14ac:dyDescent="0.2">
      <c r="A7861" s="117">
        <v>42558</v>
      </c>
      <c r="B7861" s="116">
        <f t="shared" si="124"/>
        <v>72</v>
      </c>
    </row>
    <row r="7862" spans="1:2" x14ac:dyDescent="0.2">
      <c r="A7862" s="117">
        <v>42559</v>
      </c>
      <c r="B7862" s="116">
        <f t="shared" si="124"/>
        <v>72</v>
      </c>
    </row>
    <row r="7863" spans="1:2" x14ac:dyDescent="0.2">
      <c r="A7863" s="117">
        <v>42560</v>
      </c>
      <c r="B7863" s="116">
        <f t="shared" si="124"/>
        <v>72</v>
      </c>
    </row>
    <row r="7864" spans="1:2" x14ac:dyDescent="0.2">
      <c r="A7864" s="117">
        <v>42561</v>
      </c>
      <c r="B7864" s="116">
        <f t="shared" si="124"/>
        <v>73</v>
      </c>
    </row>
    <row r="7865" spans="1:2" x14ac:dyDescent="0.2">
      <c r="A7865" s="117">
        <v>42562</v>
      </c>
      <c r="B7865" s="116">
        <f t="shared" si="124"/>
        <v>73</v>
      </c>
    </row>
    <row r="7866" spans="1:2" x14ac:dyDescent="0.2">
      <c r="A7866" s="117">
        <v>42563</v>
      </c>
      <c r="B7866" s="116">
        <f t="shared" si="124"/>
        <v>73</v>
      </c>
    </row>
    <row r="7867" spans="1:2" x14ac:dyDescent="0.2">
      <c r="A7867" s="117">
        <v>42564</v>
      </c>
      <c r="B7867" s="116">
        <f t="shared" si="124"/>
        <v>73</v>
      </c>
    </row>
    <row r="7868" spans="1:2" x14ac:dyDescent="0.2">
      <c r="A7868" s="117">
        <v>42565</v>
      </c>
      <c r="B7868" s="116">
        <f t="shared" si="124"/>
        <v>73</v>
      </c>
    </row>
    <row r="7869" spans="1:2" x14ac:dyDescent="0.2">
      <c r="A7869" s="117">
        <v>42566</v>
      </c>
      <c r="B7869" s="116">
        <f t="shared" si="124"/>
        <v>73</v>
      </c>
    </row>
    <row r="7870" spans="1:2" x14ac:dyDescent="0.2">
      <c r="A7870" s="117">
        <v>42567</v>
      </c>
      <c r="B7870" s="116">
        <f t="shared" si="124"/>
        <v>73</v>
      </c>
    </row>
    <row r="7871" spans="1:2" x14ac:dyDescent="0.2">
      <c r="A7871" s="117">
        <v>42568</v>
      </c>
      <c r="B7871" s="116">
        <f t="shared" si="124"/>
        <v>74</v>
      </c>
    </row>
    <row r="7872" spans="1:2" x14ac:dyDescent="0.2">
      <c r="A7872" s="117">
        <v>42569</v>
      </c>
      <c r="B7872" s="116">
        <f t="shared" si="124"/>
        <v>74</v>
      </c>
    </row>
    <row r="7873" spans="1:2" x14ac:dyDescent="0.2">
      <c r="A7873" s="117">
        <v>42570</v>
      </c>
      <c r="B7873" s="116">
        <f t="shared" si="124"/>
        <v>74</v>
      </c>
    </row>
    <row r="7874" spans="1:2" x14ac:dyDescent="0.2">
      <c r="A7874" s="117">
        <v>42571</v>
      </c>
      <c r="B7874" s="116">
        <f t="shared" si="124"/>
        <v>74</v>
      </c>
    </row>
    <row r="7875" spans="1:2" x14ac:dyDescent="0.2">
      <c r="A7875" s="117">
        <v>42572</v>
      </c>
      <c r="B7875" s="116">
        <f t="shared" si="124"/>
        <v>74</v>
      </c>
    </row>
    <row r="7876" spans="1:2" x14ac:dyDescent="0.2">
      <c r="A7876" s="117">
        <v>42573</v>
      </c>
      <c r="B7876" s="116">
        <f t="shared" si="124"/>
        <v>74</v>
      </c>
    </row>
    <row r="7877" spans="1:2" x14ac:dyDescent="0.2">
      <c r="A7877" s="117">
        <v>42574</v>
      </c>
      <c r="B7877" s="116">
        <f t="shared" si="124"/>
        <v>74</v>
      </c>
    </row>
    <row r="7878" spans="1:2" x14ac:dyDescent="0.2">
      <c r="A7878" s="117">
        <v>42575</v>
      </c>
      <c r="B7878" s="116">
        <f t="shared" si="124"/>
        <v>75</v>
      </c>
    </row>
    <row r="7879" spans="1:2" x14ac:dyDescent="0.2">
      <c r="A7879" s="117">
        <v>42576</v>
      </c>
      <c r="B7879" s="116">
        <f t="shared" si="124"/>
        <v>75</v>
      </c>
    </row>
    <row r="7880" spans="1:2" x14ac:dyDescent="0.2">
      <c r="A7880" s="117">
        <v>42577</v>
      </c>
      <c r="B7880" s="116">
        <f t="shared" si="124"/>
        <v>75</v>
      </c>
    </row>
    <row r="7881" spans="1:2" x14ac:dyDescent="0.2">
      <c r="A7881" s="117">
        <v>42578</v>
      </c>
      <c r="B7881" s="116">
        <f t="shared" si="124"/>
        <v>75</v>
      </c>
    </row>
    <row r="7882" spans="1:2" x14ac:dyDescent="0.2">
      <c r="A7882" s="117">
        <v>42579</v>
      </c>
      <c r="B7882" s="116">
        <f t="shared" si="124"/>
        <v>75</v>
      </c>
    </row>
    <row r="7883" spans="1:2" x14ac:dyDescent="0.2">
      <c r="A7883" s="117">
        <v>42580</v>
      </c>
      <c r="B7883" s="116">
        <f t="shared" si="124"/>
        <v>75</v>
      </c>
    </row>
    <row r="7884" spans="1:2" x14ac:dyDescent="0.2">
      <c r="A7884" s="117">
        <v>42581</v>
      </c>
      <c r="B7884" s="116">
        <f t="shared" si="124"/>
        <v>75</v>
      </c>
    </row>
    <row r="7885" spans="1:2" x14ac:dyDescent="0.2">
      <c r="A7885" s="117">
        <v>42582</v>
      </c>
      <c r="B7885" s="116">
        <f t="shared" si="124"/>
        <v>81</v>
      </c>
    </row>
    <row r="7886" spans="1:2" x14ac:dyDescent="0.2">
      <c r="A7886" s="117">
        <v>42583</v>
      </c>
      <c r="B7886" s="116">
        <f t="shared" si="124"/>
        <v>81</v>
      </c>
    </row>
    <row r="7887" spans="1:2" x14ac:dyDescent="0.2">
      <c r="A7887" s="117">
        <v>42584</v>
      </c>
      <c r="B7887" s="116">
        <f t="shared" si="124"/>
        <v>81</v>
      </c>
    </row>
    <row r="7888" spans="1:2" x14ac:dyDescent="0.2">
      <c r="A7888" s="117">
        <v>42585</v>
      </c>
      <c r="B7888" s="116">
        <f t="shared" si="124"/>
        <v>81</v>
      </c>
    </row>
    <row r="7889" spans="1:2" x14ac:dyDescent="0.2">
      <c r="A7889" s="117">
        <v>42586</v>
      </c>
      <c r="B7889" s="116">
        <f t="shared" si="124"/>
        <v>81</v>
      </c>
    </row>
    <row r="7890" spans="1:2" x14ac:dyDescent="0.2">
      <c r="A7890" s="117">
        <v>42587</v>
      </c>
      <c r="B7890" s="116">
        <f t="shared" si="124"/>
        <v>81</v>
      </c>
    </row>
    <row r="7891" spans="1:2" x14ac:dyDescent="0.2">
      <c r="A7891" s="117">
        <v>42588</v>
      </c>
      <c r="B7891" s="116">
        <f t="shared" si="124"/>
        <v>81</v>
      </c>
    </row>
    <row r="7892" spans="1:2" x14ac:dyDescent="0.2">
      <c r="A7892" s="117">
        <v>42589</v>
      </c>
      <c r="B7892" s="116">
        <f t="shared" si="124"/>
        <v>82</v>
      </c>
    </row>
    <row r="7893" spans="1:2" x14ac:dyDescent="0.2">
      <c r="A7893" s="117">
        <v>42590</v>
      </c>
      <c r="B7893" s="116">
        <f t="shared" si="124"/>
        <v>82</v>
      </c>
    </row>
    <row r="7894" spans="1:2" x14ac:dyDescent="0.2">
      <c r="A7894" s="117">
        <v>42591</v>
      </c>
      <c r="B7894" s="116">
        <f t="shared" si="124"/>
        <v>82</v>
      </c>
    </row>
    <row r="7895" spans="1:2" x14ac:dyDescent="0.2">
      <c r="A7895" s="117">
        <v>42592</v>
      </c>
      <c r="B7895" s="116">
        <f t="shared" si="124"/>
        <v>82</v>
      </c>
    </row>
    <row r="7896" spans="1:2" x14ac:dyDescent="0.2">
      <c r="A7896" s="117">
        <v>42593</v>
      </c>
      <c r="B7896" s="116">
        <f t="shared" si="124"/>
        <v>82</v>
      </c>
    </row>
    <row r="7897" spans="1:2" x14ac:dyDescent="0.2">
      <c r="A7897" s="117">
        <v>42594</v>
      </c>
      <c r="B7897" s="116">
        <f t="shared" si="124"/>
        <v>82</v>
      </c>
    </row>
    <row r="7898" spans="1:2" x14ac:dyDescent="0.2">
      <c r="A7898" s="117">
        <v>42595</v>
      </c>
      <c r="B7898" s="116">
        <f t="shared" si="124"/>
        <v>82</v>
      </c>
    </row>
    <row r="7899" spans="1:2" x14ac:dyDescent="0.2">
      <c r="A7899" s="117">
        <v>42596</v>
      </c>
      <c r="B7899" s="116">
        <f t="shared" si="124"/>
        <v>83</v>
      </c>
    </row>
    <row r="7900" spans="1:2" x14ac:dyDescent="0.2">
      <c r="A7900" s="117">
        <v>42597</v>
      </c>
      <c r="B7900" s="116">
        <f t="shared" si="124"/>
        <v>83</v>
      </c>
    </row>
    <row r="7901" spans="1:2" x14ac:dyDescent="0.2">
      <c r="A7901" s="117">
        <v>42598</v>
      </c>
      <c r="B7901" s="116">
        <f t="shared" si="124"/>
        <v>83</v>
      </c>
    </row>
    <row r="7902" spans="1:2" x14ac:dyDescent="0.2">
      <c r="A7902" s="117">
        <v>42599</v>
      </c>
      <c r="B7902" s="116">
        <f t="shared" si="124"/>
        <v>83</v>
      </c>
    </row>
    <row r="7903" spans="1:2" x14ac:dyDescent="0.2">
      <c r="A7903" s="117">
        <v>42600</v>
      </c>
      <c r="B7903" s="116">
        <f t="shared" si="124"/>
        <v>83</v>
      </c>
    </row>
    <row r="7904" spans="1:2" x14ac:dyDescent="0.2">
      <c r="A7904" s="117">
        <v>42601</v>
      </c>
      <c r="B7904" s="116">
        <f t="shared" si="124"/>
        <v>83</v>
      </c>
    </row>
    <row r="7905" spans="1:2" x14ac:dyDescent="0.2">
      <c r="A7905" s="117">
        <v>42602</v>
      </c>
      <c r="B7905" s="116">
        <f t="shared" si="124"/>
        <v>83</v>
      </c>
    </row>
    <row r="7906" spans="1:2" x14ac:dyDescent="0.2">
      <c r="A7906" s="117">
        <v>42603</v>
      </c>
      <c r="B7906" s="116">
        <f t="shared" si="124"/>
        <v>84</v>
      </c>
    </row>
    <row r="7907" spans="1:2" x14ac:dyDescent="0.2">
      <c r="A7907" s="117">
        <v>42604</v>
      </c>
      <c r="B7907" s="116">
        <f t="shared" si="124"/>
        <v>84</v>
      </c>
    </row>
    <row r="7908" spans="1:2" x14ac:dyDescent="0.2">
      <c r="A7908" s="117">
        <v>42605</v>
      </c>
      <c r="B7908" s="116">
        <f t="shared" si="124"/>
        <v>84</v>
      </c>
    </row>
    <row r="7909" spans="1:2" x14ac:dyDescent="0.2">
      <c r="A7909" s="117">
        <v>42606</v>
      </c>
      <c r="B7909" s="116">
        <f t="shared" si="124"/>
        <v>84</v>
      </c>
    </row>
    <row r="7910" spans="1:2" x14ac:dyDescent="0.2">
      <c r="A7910" s="117">
        <v>42607</v>
      </c>
      <c r="B7910" s="116">
        <f t="shared" ref="B7910:B7973" si="125">VLOOKUP(WEEKNUM(A7910),$D$4:$E$59,2)</f>
        <v>84</v>
      </c>
    </row>
    <row r="7911" spans="1:2" x14ac:dyDescent="0.2">
      <c r="A7911" s="117">
        <v>42608</v>
      </c>
      <c r="B7911" s="116">
        <f t="shared" si="125"/>
        <v>84</v>
      </c>
    </row>
    <row r="7912" spans="1:2" x14ac:dyDescent="0.2">
      <c r="A7912" s="117">
        <v>42609</v>
      </c>
      <c r="B7912" s="116">
        <f t="shared" si="125"/>
        <v>84</v>
      </c>
    </row>
    <row r="7913" spans="1:2" x14ac:dyDescent="0.2">
      <c r="A7913" s="117">
        <v>42610</v>
      </c>
      <c r="B7913" s="116">
        <f t="shared" si="125"/>
        <v>91</v>
      </c>
    </row>
    <row r="7914" spans="1:2" x14ac:dyDescent="0.2">
      <c r="A7914" s="117">
        <v>42611</v>
      </c>
      <c r="B7914" s="116">
        <f t="shared" si="125"/>
        <v>91</v>
      </c>
    </row>
    <row r="7915" spans="1:2" x14ac:dyDescent="0.2">
      <c r="A7915" s="117">
        <v>42612</v>
      </c>
      <c r="B7915" s="116">
        <f t="shared" si="125"/>
        <v>91</v>
      </c>
    </row>
    <row r="7916" spans="1:2" x14ac:dyDescent="0.2">
      <c r="A7916" s="117">
        <v>42613</v>
      </c>
      <c r="B7916" s="116">
        <f t="shared" si="125"/>
        <v>91</v>
      </c>
    </row>
    <row r="7917" spans="1:2" x14ac:dyDescent="0.2">
      <c r="A7917" s="117">
        <v>42614</v>
      </c>
      <c r="B7917" s="116">
        <f t="shared" si="125"/>
        <v>91</v>
      </c>
    </row>
    <row r="7918" spans="1:2" x14ac:dyDescent="0.2">
      <c r="A7918" s="117">
        <v>42615</v>
      </c>
      <c r="B7918" s="116">
        <f t="shared" si="125"/>
        <v>91</v>
      </c>
    </row>
    <row r="7919" spans="1:2" x14ac:dyDescent="0.2">
      <c r="A7919" s="117">
        <v>42616</v>
      </c>
      <c r="B7919" s="116">
        <f t="shared" si="125"/>
        <v>91</v>
      </c>
    </row>
    <row r="7920" spans="1:2" x14ac:dyDescent="0.2">
      <c r="A7920" s="117">
        <v>42617</v>
      </c>
      <c r="B7920" s="116">
        <f t="shared" si="125"/>
        <v>92</v>
      </c>
    </row>
    <row r="7921" spans="1:2" x14ac:dyDescent="0.2">
      <c r="A7921" s="117">
        <v>42618</v>
      </c>
      <c r="B7921" s="116">
        <f t="shared" si="125"/>
        <v>92</v>
      </c>
    </row>
    <row r="7922" spans="1:2" x14ac:dyDescent="0.2">
      <c r="A7922" s="117">
        <v>42619</v>
      </c>
      <c r="B7922" s="116">
        <f t="shared" si="125"/>
        <v>92</v>
      </c>
    </row>
    <row r="7923" spans="1:2" x14ac:dyDescent="0.2">
      <c r="A7923" s="117">
        <v>42620</v>
      </c>
      <c r="B7923" s="116">
        <f t="shared" si="125"/>
        <v>92</v>
      </c>
    </row>
    <row r="7924" spans="1:2" x14ac:dyDescent="0.2">
      <c r="A7924" s="117">
        <v>42621</v>
      </c>
      <c r="B7924" s="116">
        <f t="shared" si="125"/>
        <v>92</v>
      </c>
    </row>
    <row r="7925" spans="1:2" x14ac:dyDescent="0.2">
      <c r="A7925" s="117">
        <v>42622</v>
      </c>
      <c r="B7925" s="116">
        <f t="shared" si="125"/>
        <v>92</v>
      </c>
    </row>
    <row r="7926" spans="1:2" x14ac:dyDescent="0.2">
      <c r="A7926" s="117">
        <v>42623</v>
      </c>
      <c r="B7926" s="116">
        <f t="shared" si="125"/>
        <v>92</v>
      </c>
    </row>
    <row r="7927" spans="1:2" x14ac:dyDescent="0.2">
      <c r="A7927" s="117">
        <v>42624</v>
      </c>
      <c r="B7927" s="116">
        <f t="shared" si="125"/>
        <v>93</v>
      </c>
    </row>
    <row r="7928" spans="1:2" x14ac:dyDescent="0.2">
      <c r="A7928" s="117">
        <v>42625</v>
      </c>
      <c r="B7928" s="116">
        <f t="shared" si="125"/>
        <v>93</v>
      </c>
    </row>
    <row r="7929" spans="1:2" x14ac:dyDescent="0.2">
      <c r="A7929" s="117">
        <v>42626</v>
      </c>
      <c r="B7929" s="116">
        <f t="shared" si="125"/>
        <v>93</v>
      </c>
    </row>
    <row r="7930" spans="1:2" x14ac:dyDescent="0.2">
      <c r="A7930" s="117">
        <v>42627</v>
      </c>
      <c r="B7930" s="116">
        <f t="shared" si="125"/>
        <v>93</v>
      </c>
    </row>
    <row r="7931" spans="1:2" x14ac:dyDescent="0.2">
      <c r="A7931" s="117">
        <v>42628</v>
      </c>
      <c r="B7931" s="116">
        <f t="shared" si="125"/>
        <v>93</v>
      </c>
    </row>
    <row r="7932" spans="1:2" x14ac:dyDescent="0.2">
      <c r="A7932" s="117">
        <v>42629</v>
      </c>
      <c r="B7932" s="116">
        <f t="shared" si="125"/>
        <v>93</v>
      </c>
    </row>
    <row r="7933" spans="1:2" x14ac:dyDescent="0.2">
      <c r="A7933" s="117">
        <v>42630</v>
      </c>
      <c r="B7933" s="116">
        <f t="shared" si="125"/>
        <v>93</v>
      </c>
    </row>
    <row r="7934" spans="1:2" x14ac:dyDescent="0.2">
      <c r="A7934" s="117">
        <v>42631</v>
      </c>
      <c r="B7934" s="116">
        <f t="shared" si="125"/>
        <v>94</v>
      </c>
    </row>
    <row r="7935" spans="1:2" x14ac:dyDescent="0.2">
      <c r="A7935" s="117">
        <v>42632</v>
      </c>
      <c r="B7935" s="116">
        <f t="shared" si="125"/>
        <v>94</v>
      </c>
    </row>
    <row r="7936" spans="1:2" x14ac:dyDescent="0.2">
      <c r="A7936" s="117">
        <v>42633</v>
      </c>
      <c r="B7936" s="116">
        <f t="shared" si="125"/>
        <v>94</v>
      </c>
    </row>
    <row r="7937" spans="1:2" x14ac:dyDescent="0.2">
      <c r="A7937" s="117">
        <v>42634</v>
      </c>
      <c r="B7937" s="116">
        <f t="shared" si="125"/>
        <v>94</v>
      </c>
    </row>
    <row r="7938" spans="1:2" x14ac:dyDescent="0.2">
      <c r="A7938" s="117">
        <v>42635</v>
      </c>
      <c r="B7938" s="116">
        <f t="shared" si="125"/>
        <v>94</v>
      </c>
    </row>
    <row r="7939" spans="1:2" x14ac:dyDescent="0.2">
      <c r="A7939" s="117">
        <v>42636</v>
      </c>
      <c r="B7939" s="116">
        <f t="shared" si="125"/>
        <v>94</v>
      </c>
    </row>
    <row r="7940" spans="1:2" x14ac:dyDescent="0.2">
      <c r="A7940" s="117">
        <v>42637</v>
      </c>
      <c r="B7940" s="116">
        <f t="shared" si="125"/>
        <v>94</v>
      </c>
    </row>
    <row r="7941" spans="1:2" x14ac:dyDescent="0.2">
      <c r="A7941" s="117">
        <v>42638</v>
      </c>
      <c r="B7941" s="116">
        <f t="shared" si="125"/>
        <v>101</v>
      </c>
    </row>
    <row r="7942" spans="1:2" x14ac:dyDescent="0.2">
      <c r="A7942" s="117">
        <v>42639</v>
      </c>
      <c r="B7942" s="116">
        <f t="shared" si="125"/>
        <v>101</v>
      </c>
    </row>
    <row r="7943" spans="1:2" x14ac:dyDescent="0.2">
      <c r="A7943" s="117">
        <v>42640</v>
      </c>
      <c r="B7943" s="116">
        <f t="shared" si="125"/>
        <v>101</v>
      </c>
    </row>
    <row r="7944" spans="1:2" x14ac:dyDescent="0.2">
      <c r="A7944" s="117">
        <v>42641</v>
      </c>
      <c r="B7944" s="116">
        <f t="shared" si="125"/>
        <v>101</v>
      </c>
    </row>
    <row r="7945" spans="1:2" x14ac:dyDescent="0.2">
      <c r="A7945" s="117">
        <v>42642</v>
      </c>
      <c r="B7945" s="116">
        <f t="shared" si="125"/>
        <v>101</v>
      </c>
    </row>
    <row r="7946" spans="1:2" x14ac:dyDescent="0.2">
      <c r="A7946" s="117">
        <v>42643</v>
      </c>
      <c r="B7946" s="116">
        <f t="shared" si="125"/>
        <v>101</v>
      </c>
    </row>
    <row r="7947" spans="1:2" x14ac:dyDescent="0.2">
      <c r="A7947" s="117">
        <v>42644</v>
      </c>
      <c r="B7947" s="116">
        <f t="shared" si="125"/>
        <v>101</v>
      </c>
    </row>
    <row r="7948" spans="1:2" x14ac:dyDescent="0.2">
      <c r="A7948" s="117">
        <v>42645</v>
      </c>
      <c r="B7948" s="116">
        <f t="shared" si="125"/>
        <v>102</v>
      </c>
    </row>
    <row r="7949" spans="1:2" x14ac:dyDescent="0.2">
      <c r="A7949" s="117">
        <v>42646</v>
      </c>
      <c r="B7949" s="116">
        <f t="shared" si="125"/>
        <v>102</v>
      </c>
    </row>
    <row r="7950" spans="1:2" x14ac:dyDescent="0.2">
      <c r="A7950" s="117">
        <v>42647</v>
      </c>
      <c r="B7950" s="116">
        <f t="shared" si="125"/>
        <v>102</v>
      </c>
    </row>
    <row r="7951" spans="1:2" x14ac:dyDescent="0.2">
      <c r="A7951" s="117">
        <v>42648</v>
      </c>
      <c r="B7951" s="116">
        <f t="shared" si="125"/>
        <v>102</v>
      </c>
    </row>
    <row r="7952" spans="1:2" x14ac:dyDescent="0.2">
      <c r="A7952" s="117">
        <v>42649</v>
      </c>
      <c r="B7952" s="116">
        <f t="shared" si="125"/>
        <v>102</v>
      </c>
    </row>
    <row r="7953" spans="1:2" x14ac:dyDescent="0.2">
      <c r="A7953" s="117">
        <v>42650</v>
      </c>
      <c r="B7953" s="116">
        <f t="shared" si="125"/>
        <v>102</v>
      </c>
    </row>
    <row r="7954" spans="1:2" x14ac:dyDescent="0.2">
      <c r="A7954" s="117">
        <v>42651</v>
      </c>
      <c r="B7954" s="116">
        <f t="shared" si="125"/>
        <v>102</v>
      </c>
    </row>
    <row r="7955" spans="1:2" x14ac:dyDescent="0.2">
      <c r="A7955" s="117">
        <v>42652</v>
      </c>
      <c r="B7955" s="116">
        <f t="shared" si="125"/>
        <v>103</v>
      </c>
    </row>
    <row r="7956" spans="1:2" x14ac:dyDescent="0.2">
      <c r="A7956" s="117">
        <v>42653</v>
      </c>
      <c r="B7956" s="116">
        <f t="shared" si="125"/>
        <v>103</v>
      </c>
    </row>
    <row r="7957" spans="1:2" x14ac:dyDescent="0.2">
      <c r="A7957" s="117">
        <v>42654</v>
      </c>
      <c r="B7957" s="116">
        <f t="shared" si="125"/>
        <v>103</v>
      </c>
    </row>
    <row r="7958" spans="1:2" x14ac:dyDescent="0.2">
      <c r="A7958" s="117">
        <v>42655</v>
      </c>
      <c r="B7958" s="116">
        <f t="shared" si="125"/>
        <v>103</v>
      </c>
    </row>
    <row r="7959" spans="1:2" x14ac:dyDescent="0.2">
      <c r="A7959" s="117">
        <v>42656</v>
      </c>
      <c r="B7959" s="116">
        <f t="shared" si="125"/>
        <v>103</v>
      </c>
    </row>
    <row r="7960" spans="1:2" x14ac:dyDescent="0.2">
      <c r="A7960" s="117">
        <v>42657</v>
      </c>
      <c r="B7960" s="116">
        <f t="shared" si="125"/>
        <v>103</v>
      </c>
    </row>
    <row r="7961" spans="1:2" x14ac:dyDescent="0.2">
      <c r="A7961" s="117">
        <v>42658</v>
      </c>
      <c r="B7961" s="116">
        <f t="shared" si="125"/>
        <v>103</v>
      </c>
    </row>
    <row r="7962" spans="1:2" x14ac:dyDescent="0.2">
      <c r="A7962" s="117">
        <v>42659</v>
      </c>
      <c r="B7962" s="116">
        <f t="shared" si="125"/>
        <v>104</v>
      </c>
    </row>
    <row r="7963" spans="1:2" x14ac:dyDescent="0.2">
      <c r="A7963" s="117">
        <v>42660</v>
      </c>
      <c r="B7963" s="116">
        <f t="shared" si="125"/>
        <v>104</v>
      </c>
    </row>
    <row r="7964" spans="1:2" x14ac:dyDescent="0.2">
      <c r="A7964" s="117">
        <v>42661</v>
      </c>
      <c r="B7964" s="116">
        <f t="shared" si="125"/>
        <v>104</v>
      </c>
    </row>
    <row r="7965" spans="1:2" x14ac:dyDescent="0.2">
      <c r="A7965" s="117">
        <v>42662</v>
      </c>
      <c r="B7965" s="116">
        <f t="shared" si="125"/>
        <v>104</v>
      </c>
    </row>
    <row r="7966" spans="1:2" x14ac:dyDescent="0.2">
      <c r="A7966" s="117">
        <v>42663</v>
      </c>
      <c r="B7966" s="116">
        <f t="shared" si="125"/>
        <v>104</v>
      </c>
    </row>
    <row r="7967" spans="1:2" x14ac:dyDescent="0.2">
      <c r="A7967" s="117">
        <v>42664</v>
      </c>
      <c r="B7967" s="116">
        <f t="shared" si="125"/>
        <v>104</v>
      </c>
    </row>
    <row r="7968" spans="1:2" x14ac:dyDescent="0.2">
      <c r="A7968" s="117">
        <v>42665</v>
      </c>
      <c r="B7968" s="116">
        <f t="shared" si="125"/>
        <v>104</v>
      </c>
    </row>
    <row r="7969" spans="1:2" x14ac:dyDescent="0.2">
      <c r="A7969" s="117">
        <v>42666</v>
      </c>
      <c r="B7969" s="116">
        <f t="shared" si="125"/>
        <v>105</v>
      </c>
    </row>
    <row r="7970" spans="1:2" x14ac:dyDescent="0.2">
      <c r="A7970" s="117">
        <v>42667</v>
      </c>
      <c r="B7970" s="116">
        <f t="shared" si="125"/>
        <v>105</v>
      </c>
    </row>
    <row r="7971" spans="1:2" x14ac:dyDescent="0.2">
      <c r="A7971" s="117">
        <v>42668</v>
      </c>
      <c r="B7971" s="116">
        <f t="shared" si="125"/>
        <v>105</v>
      </c>
    </row>
    <row r="7972" spans="1:2" x14ac:dyDescent="0.2">
      <c r="A7972" s="117">
        <v>42669</v>
      </c>
      <c r="B7972" s="116">
        <f t="shared" si="125"/>
        <v>105</v>
      </c>
    </row>
    <row r="7973" spans="1:2" x14ac:dyDescent="0.2">
      <c r="A7973" s="117">
        <v>42670</v>
      </c>
      <c r="B7973" s="116">
        <f t="shared" si="125"/>
        <v>105</v>
      </c>
    </row>
    <row r="7974" spans="1:2" x14ac:dyDescent="0.2">
      <c r="A7974" s="117">
        <v>42671</v>
      </c>
      <c r="B7974" s="116">
        <f t="shared" ref="B7974:B8037" si="126">VLOOKUP(WEEKNUM(A7974),$D$4:$E$59,2)</f>
        <v>105</v>
      </c>
    </row>
    <row r="7975" spans="1:2" x14ac:dyDescent="0.2">
      <c r="A7975" s="117">
        <v>42672</v>
      </c>
      <c r="B7975" s="116">
        <f t="shared" si="126"/>
        <v>105</v>
      </c>
    </row>
    <row r="7976" spans="1:2" x14ac:dyDescent="0.2">
      <c r="A7976" s="117">
        <v>42673</v>
      </c>
      <c r="B7976" s="116">
        <f t="shared" si="126"/>
        <v>111</v>
      </c>
    </row>
    <row r="7977" spans="1:2" x14ac:dyDescent="0.2">
      <c r="A7977" s="117">
        <v>42674</v>
      </c>
      <c r="B7977" s="116">
        <f t="shared" si="126"/>
        <v>111</v>
      </c>
    </row>
    <row r="7978" spans="1:2" x14ac:dyDescent="0.2">
      <c r="A7978" s="117">
        <v>42675</v>
      </c>
      <c r="B7978" s="116">
        <f t="shared" si="126"/>
        <v>111</v>
      </c>
    </row>
    <row r="7979" spans="1:2" x14ac:dyDescent="0.2">
      <c r="A7979" s="117">
        <v>42676</v>
      </c>
      <c r="B7979" s="116">
        <f t="shared" si="126"/>
        <v>111</v>
      </c>
    </row>
    <row r="7980" spans="1:2" x14ac:dyDescent="0.2">
      <c r="A7980" s="117">
        <v>42677</v>
      </c>
      <c r="B7980" s="116">
        <f t="shared" si="126"/>
        <v>111</v>
      </c>
    </row>
    <row r="7981" spans="1:2" x14ac:dyDescent="0.2">
      <c r="A7981" s="117">
        <v>42678</v>
      </c>
      <c r="B7981" s="116">
        <f t="shared" si="126"/>
        <v>111</v>
      </c>
    </row>
    <row r="7982" spans="1:2" x14ac:dyDescent="0.2">
      <c r="A7982" s="117">
        <v>42679</v>
      </c>
      <c r="B7982" s="116">
        <f t="shared" si="126"/>
        <v>111</v>
      </c>
    </row>
    <row r="7983" spans="1:2" x14ac:dyDescent="0.2">
      <c r="A7983" s="117">
        <v>42680</v>
      </c>
      <c r="B7983" s="116">
        <f t="shared" si="126"/>
        <v>112</v>
      </c>
    </row>
    <row r="7984" spans="1:2" x14ac:dyDescent="0.2">
      <c r="A7984" s="117">
        <v>42681</v>
      </c>
      <c r="B7984" s="116">
        <f t="shared" si="126"/>
        <v>112</v>
      </c>
    </row>
    <row r="7985" spans="1:2" x14ac:dyDescent="0.2">
      <c r="A7985" s="117">
        <v>42682</v>
      </c>
      <c r="B7985" s="116">
        <f t="shared" si="126"/>
        <v>112</v>
      </c>
    </row>
    <row r="7986" spans="1:2" x14ac:dyDescent="0.2">
      <c r="A7986" s="117">
        <v>42683</v>
      </c>
      <c r="B7986" s="116">
        <f t="shared" si="126"/>
        <v>112</v>
      </c>
    </row>
    <row r="7987" spans="1:2" x14ac:dyDescent="0.2">
      <c r="A7987" s="117">
        <v>42684</v>
      </c>
      <c r="B7987" s="116">
        <f t="shared" si="126"/>
        <v>112</v>
      </c>
    </row>
    <row r="7988" spans="1:2" x14ac:dyDescent="0.2">
      <c r="A7988" s="117">
        <v>42685</v>
      </c>
      <c r="B7988" s="116">
        <f t="shared" si="126"/>
        <v>112</v>
      </c>
    </row>
    <row r="7989" spans="1:2" x14ac:dyDescent="0.2">
      <c r="A7989" s="117">
        <v>42686</v>
      </c>
      <c r="B7989" s="116">
        <f t="shared" si="126"/>
        <v>112</v>
      </c>
    </row>
    <row r="7990" spans="1:2" x14ac:dyDescent="0.2">
      <c r="A7990" s="117">
        <v>42687</v>
      </c>
      <c r="B7990" s="116">
        <f t="shared" si="126"/>
        <v>113</v>
      </c>
    </row>
    <row r="7991" spans="1:2" x14ac:dyDescent="0.2">
      <c r="A7991" s="117">
        <v>42688</v>
      </c>
      <c r="B7991" s="116">
        <f t="shared" si="126"/>
        <v>113</v>
      </c>
    </row>
    <row r="7992" spans="1:2" x14ac:dyDescent="0.2">
      <c r="A7992" s="117">
        <v>42689</v>
      </c>
      <c r="B7992" s="116">
        <f t="shared" si="126"/>
        <v>113</v>
      </c>
    </row>
    <row r="7993" spans="1:2" x14ac:dyDescent="0.2">
      <c r="A7993" s="117">
        <v>42690</v>
      </c>
      <c r="B7993" s="116">
        <f t="shared" si="126"/>
        <v>113</v>
      </c>
    </row>
    <row r="7994" spans="1:2" x14ac:dyDescent="0.2">
      <c r="A7994" s="117">
        <v>42691</v>
      </c>
      <c r="B7994" s="116">
        <f t="shared" si="126"/>
        <v>113</v>
      </c>
    </row>
    <row r="7995" spans="1:2" x14ac:dyDescent="0.2">
      <c r="A7995" s="117">
        <v>42692</v>
      </c>
      <c r="B7995" s="116">
        <f t="shared" si="126"/>
        <v>113</v>
      </c>
    </row>
    <row r="7996" spans="1:2" x14ac:dyDescent="0.2">
      <c r="A7996" s="117">
        <v>42693</v>
      </c>
      <c r="B7996" s="116">
        <f t="shared" si="126"/>
        <v>113</v>
      </c>
    </row>
    <row r="7997" spans="1:2" x14ac:dyDescent="0.2">
      <c r="A7997" s="117">
        <v>42694</v>
      </c>
      <c r="B7997" s="116">
        <f t="shared" si="126"/>
        <v>114</v>
      </c>
    </row>
    <row r="7998" spans="1:2" x14ac:dyDescent="0.2">
      <c r="A7998" s="117">
        <v>42695</v>
      </c>
      <c r="B7998" s="116">
        <f t="shared" si="126"/>
        <v>114</v>
      </c>
    </row>
    <row r="7999" spans="1:2" x14ac:dyDescent="0.2">
      <c r="A7999" s="117">
        <v>42696</v>
      </c>
      <c r="B7999" s="116">
        <f t="shared" si="126"/>
        <v>114</v>
      </c>
    </row>
    <row r="8000" spans="1:2" x14ac:dyDescent="0.2">
      <c r="A8000" s="117">
        <v>42697</v>
      </c>
      <c r="B8000" s="116">
        <f t="shared" si="126"/>
        <v>114</v>
      </c>
    </row>
    <row r="8001" spans="1:2" x14ac:dyDescent="0.2">
      <c r="A8001" s="117">
        <v>42698</v>
      </c>
      <c r="B8001" s="116">
        <f t="shared" si="126"/>
        <v>114</v>
      </c>
    </row>
    <row r="8002" spans="1:2" x14ac:dyDescent="0.2">
      <c r="A8002" s="117">
        <v>42699</v>
      </c>
      <c r="B8002" s="116">
        <f t="shared" si="126"/>
        <v>114</v>
      </c>
    </row>
    <row r="8003" spans="1:2" x14ac:dyDescent="0.2">
      <c r="A8003" s="117">
        <v>42700</v>
      </c>
      <c r="B8003" s="116">
        <f t="shared" si="126"/>
        <v>114</v>
      </c>
    </row>
    <row r="8004" spans="1:2" x14ac:dyDescent="0.2">
      <c r="A8004" s="117">
        <v>42701</v>
      </c>
      <c r="B8004" s="116">
        <f t="shared" si="126"/>
        <v>115</v>
      </c>
    </row>
    <row r="8005" spans="1:2" x14ac:dyDescent="0.2">
      <c r="A8005" s="117">
        <v>42702</v>
      </c>
      <c r="B8005" s="116">
        <f t="shared" si="126"/>
        <v>115</v>
      </c>
    </row>
    <row r="8006" spans="1:2" x14ac:dyDescent="0.2">
      <c r="A8006" s="117">
        <v>42703</v>
      </c>
      <c r="B8006" s="116">
        <f t="shared" si="126"/>
        <v>115</v>
      </c>
    </row>
    <row r="8007" spans="1:2" x14ac:dyDescent="0.2">
      <c r="A8007" s="117">
        <v>42704</v>
      </c>
      <c r="B8007" s="116">
        <f t="shared" si="126"/>
        <v>115</v>
      </c>
    </row>
    <row r="8008" spans="1:2" x14ac:dyDescent="0.2">
      <c r="A8008" s="117">
        <v>42705</v>
      </c>
      <c r="B8008" s="116">
        <f t="shared" si="126"/>
        <v>115</v>
      </c>
    </row>
    <row r="8009" spans="1:2" x14ac:dyDescent="0.2">
      <c r="A8009" s="117">
        <v>42706</v>
      </c>
      <c r="B8009" s="116">
        <f t="shared" si="126"/>
        <v>115</v>
      </c>
    </row>
    <row r="8010" spans="1:2" x14ac:dyDescent="0.2">
      <c r="A8010" s="117">
        <v>42707</v>
      </c>
      <c r="B8010" s="116">
        <f t="shared" si="126"/>
        <v>115</v>
      </c>
    </row>
    <row r="8011" spans="1:2" x14ac:dyDescent="0.2">
      <c r="A8011" s="117">
        <v>42708</v>
      </c>
      <c r="B8011" s="116">
        <f t="shared" si="126"/>
        <v>121</v>
      </c>
    </row>
    <row r="8012" spans="1:2" x14ac:dyDescent="0.2">
      <c r="A8012" s="117">
        <v>42709</v>
      </c>
      <c r="B8012" s="116">
        <f t="shared" si="126"/>
        <v>121</v>
      </c>
    </row>
    <row r="8013" spans="1:2" x14ac:dyDescent="0.2">
      <c r="A8013" s="117">
        <v>42710</v>
      </c>
      <c r="B8013" s="116">
        <f t="shared" si="126"/>
        <v>121</v>
      </c>
    </row>
    <row r="8014" spans="1:2" x14ac:dyDescent="0.2">
      <c r="A8014" s="117">
        <v>42711</v>
      </c>
      <c r="B8014" s="116">
        <f t="shared" si="126"/>
        <v>121</v>
      </c>
    </row>
    <row r="8015" spans="1:2" x14ac:dyDescent="0.2">
      <c r="A8015" s="117">
        <v>42712</v>
      </c>
      <c r="B8015" s="116">
        <f t="shared" si="126"/>
        <v>121</v>
      </c>
    </row>
    <row r="8016" spans="1:2" x14ac:dyDescent="0.2">
      <c r="A8016" s="117">
        <v>42713</v>
      </c>
      <c r="B8016" s="116">
        <f t="shared" si="126"/>
        <v>121</v>
      </c>
    </row>
    <row r="8017" spans="1:2" x14ac:dyDescent="0.2">
      <c r="A8017" s="117">
        <v>42714</v>
      </c>
      <c r="B8017" s="116">
        <f t="shared" si="126"/>
        <v>121</v>
      </c>
    </row>
    <row r="8018" spans="1:2" x14ac:dyDescent="0.2">
      <c r="A8018" s="117">
        <v>42715</v>
      </c>
      <c r="B8018" s="116">
        <f t="shared" si="126"/>
        <v>122</v>
      </c>
    </row>
    <row r="8019" spans="1:2" x14ac:dyDescent="0.2">
      <c r="A8019" s="117">
        <v>42716</v>
      </c>
      <c r="B8019" s="116">
        <f t="shared" si="126"/>
        <v>122</v>
      </c>
    </row>
    <row r="8020" spans="1:2" x14ac:dyDescent="0.2">
      <c r="A8020" s="117">
        <v>42717</v>
      </c>
      <c r="B8020" s="116">
        <f t="shared" si="126"/>
        <v>122</v>
      </c>
    </row>
    <row r="8021" spans="1:2" x14ac:dyDescent="0.2">
      <c r="A8021" s="117">
        <v>42718</v>
      </c>
      <c r="B8021" s="116">
        <f t="shared" si="126"/>
        <v>122</v>
      </c>
    </row>
    <row r="8022" spans="1:2" x14ac:dyDescent="0.2">
      <c r="A8022" s="117">
        <v>42719</v>
      </c>
      <c r="B8022" s="116">
        <f t="shared" si="126"/>
        <v>122</v>
      </c>
    </row>
    <row r="8023" spans="1:2" x14ac:dyDescent="0.2">
      <c r="A8023" s="117">
        <v>42720</v>
      </c>
      <c r="B8023" s="116">
        <f t="shared" si="126"/>
        <v>122</v>
      </c>
    </row>
    <row r="8024" spans="1:2" x14ac:dyDescent="0.2">
      <c r="A8024" s="117">
        <v>42721</v>
      </c>
      <c r="B8024" s="116">
        <f t="shared" si="126"/>
        <v>122</v>
      </c>
    </row>
    <row r="8025" spans="1:2" x14ac:dyDescent="0.2">
      <c r="A8025" s="117">
        <v>42722</v>
      </c>
      <c r="B8025" s="116">
        <f t="shared" si="126"/>
        <v>123</v>
      </c>
    </row>
    <row r="8026" spans="1:2" x14ac:dyDescent="0.2">
      <c r="A8026" s="117">
        <v>42723</v>
      </c>
      <c r="B8026" s="116">
        <f t="shared" si="126"/>
        <v>123</v>
      </c>
    </row>
    <row r="8027" spans="1:2" x14ac:dyDescent="0.2">
      <c r="A8027" s="117">
        <v>42724</v>
      </c>
      <c r="B8027" s="116">
        <f t="shared" si="126"/>
        <v>123</v>
      </c>
    </row>
    <row r="8028" spans="1:2" x14ac:dyDescent="0.2">
      <c r="A8028" s="117">
        <v>42725</v>
      </c>
      <c r="B8028" s="116">
        <f t="shared" si="126"/>
        <v>123</v>
      </c>
    </row>
    <row r="8029" spans="1:2" x14ac:dyDescent="0.2">
      <c r="A8029" s="117">
        <v>42726</v>
      </c>
      <c r="B8029" s="116">
        <f t="shared" si="126"/>
        <v>123</v>
      </c>
    </row>
    <row r="8030" spans="1:2" x14ac:dyDescent="0.2">
      <c r="A8030" s="117">
        <v>42727</v>
      </c>
      <c r="B8030" s="116">
        <f t="shared" si="126"/>
        <v>123</v>
      </c>
    </row>
    <row r="8031" spans="1:2" x14ac:dyDescent="0.2">
      <c r="A8031" s="117">
        <v>42728</v>
      </c>
      <c r="B8031" s="116">
        <f t="shared" si="126"/>
        <v>123</v>
      </c>
    </row>
    <row r="8032" spans="1:2" x14ac:dyDescent="0.2">
      <c r="A8032" s="117">
        <v>42729</v>
      </c>
      <c r="B8032" s="116">
        <f t="shared" si="126"/>
        <v>124</v>
      </c>
    </row>
    <row r="8033" spans="1:2" x14ac:dyDescent="0.2">
      <c r="A8033" s="117">
        <v>42730</v>
      </c>
      <c r="B8033" s="116">
        <f t="shared" si="126"/>
        <v>124</v>
      </c>
    </row>
    <row r="8034" spans="1:2" x14ac:dyDescent="0.2">
      <c r="A8034" s="117">
        <v>42731</v>
      </c>
      <c r="B8034" s="116">
        <f t="shared" si="126"/>
        <v>124</v>
      </c>
    </row>
    <row r="8035" spans="1:2" x14ac:dyDescent="0.2">
      <c r="A8035" s="117">
        <v>42732</v>
      </c>
      <c r="B8035" s="116">
        <f t="shared" si="126"/>
        <v>124</v>
      </c>
    </row>
    <row r="8036" spans="1:2" x14ac:dyDescent="0.2">
      <c r="A8036" s="117">
        <v>42733</v>
      </c>
      <c r="B8036" s="116">
        <f t="shared" si="126"/>
        <v>124</v>
      </c>
    </row>
    <row r="8037" spans="1:2" x14ac:dyDescent="0.2">
      <c r="A8037" s="117">
        <v>42734</v>
      </c>
      <c r="B8037" s="116">
        <f t="shared" si="126"/>
        <v>124</v>
      </c>
    </row>
    <row r="8038" spans="1:2" x14ac:dyDescent="0.2">
      <c r="A8038" s="117">
        <v>42735</v>
      </c>
      <c r="B8038" s="116">
        <f t="shared" ref="B8038:B8050" si="127">VLOOKUP(WEEKNUM(A8038),$D$4:$E$59,2)</f>
        <v>124</v>
      </c>
    </row>
    <row r="8039" spans="1:2" x14ac:dyDescent="0.2">
      <c r="A8039" s="117">
        <v>42736</v>
      </c>
      <c r="B8039" s="116">
        <f t="shared" si="127"/>
        <v>11</v>
      </c>
    </row>
    <row r="8040" spans="1:2" x14ac:dyDescent="0.2">
      <c r="A8040" s="117">
        <v>42737</v>
      </c>
      <c r="B8040" s="116">
        <f t="shared" si="127"/>
        <v>11</v>
      </c>
    </row>
    <row r="8041" spans="1:2" x14ac:dyDescent="0.2">
      <c r="A8041" s="117">
        <v>42738</v>
      </c>
      <c r="B8041" s="116">
        <f t="shared" si="127"/>
        <v>11</v>
      </c>
    </row>
    <row r="8042" spans="1:2" x14ac:dyDescent="0.2">
      <c r="A8042" s="117">
        <v>42739</v>
      </c>
      <c r="B8042" s="116">
        <f t="shared" si="127"/>
        <v>11</v>
      </c>
    </row>
    <row r="8043" spans="1:2" x14ac:dyDescent="0.2">
      <c r="A8043" s="117">
        <v>42740</v>
      </c>
      <c r="B8043" s="116">
        <f t="shared" si="127"/>
        <v>11</v>
      </c>
    </row>
    <row r="8044" spans="1:2" x14ac:dyDescent="0.2">
      <c r="A8044" s="117">
        <v>42741</v>
      </c>
      <c r="B8044" s="116">
        <f t="shared" si="127"/>
        <v>11</v>
      </c>
    </row>
    <row r="8045" spans="1:2" x14ac:dyDescent="0.2">
      <c r="A8045" s="117">
        <v>42742</v>
      </c>
      <c r="B8045" s="116">
        <f t="shared" si="127"/>
        <v>11</v>
      </c>
    </row>
    <row r="8046" spans="1:2" x14ac:dyDescent="0.2">
      <c r="A8046" s="117">
        <v>42743</v>
      </c>
      <c r="B8046" s="116">
        <f t="shared" si="127"/>
        <v>12</v>
      </c>
    </row>
    <row r="8047" spans="1:2" x14ac:dyDescent="0.2">
      <c r="A8047" s="117">
        <v>42744</v>
      </c>
      <c r="B8047" s="116">
        <f t="shared" si="127"/>
        <v>12</v>
      </c>
    </row>
    <row r="8048" spans="1:2" x14ac:dyDescent="0.2">
      <c r="A8048" s="117">
        <v>42745</v>
      </c>
      <c r="B8048" s="116">
        <f t="shared" si="127"/>
        <v>12</v>
      </c>
    </row>
    <row r="8049" spans="1:2" x14ac:dyDescent="0.2">
      <c r="A8049" s="117">
        <v>42746</v>
      </c>
      <c r="B8049" s="116">
        <f t="shared" si="127"/>
        <v>12</v>
      </c>
    </row>
    <row r="8050" spans="1:2" x14ac:dyDescent="0.2">
      <c r="A8050" s="117">
        <v>42747</v>
      </c>
      <c r="B8050" s="116">
        <f t="shared" si="127"/>
        <v>12</v>
      </c>
    </row>
    <row r="8051" spans="1:2" x14ac:dyDescent="0.2">
      <c r="A8051" s="117">
        <v>42748</v>
      </c>
      <c r="B8051" s="116">
        <f t="shared" ref="B8051:B8114" si="128">VLOOKUP(WEEKNUM(A8051),$D$4:$E$59,2)</f>
        <v>12</v>
      </c>
    </row>
    <row r="8052" spans="1:2" x14ac:dyDescent="0.2">
      <c r="A8052" s="117">
        <v>42749</v>
      </c>
      <c r="B8052" s="116">
        <f t="shared" si="128"/>
        <v>12</v>
      </c>
    </row>
    <row r="8053" spans="1:2" x14ac:dyDescent="0.2">
      <c r="A8053" s="117">
        <v>42750</v>
      </c>
      <c r="B8053" s="116">
        <f t="shared" si="128"/>
        <v>13</v>
      </c>
    </row>
    <row r="8054" spans="1:2" x14ac:dyDescent="0.2">
      <c r="A8054" s="117">
        <v>42751</v>
      </c>
      <c r="B8054" s="116">
        <f t="shared" si="128"/>
        <v>13</v>
      </c>
    </row>
    <row r="8055" spans="1:2" x14ac:dyDescent="0.2">
      <c r="A8055" s="117">
        <v>42752</v>
      </c>
      <c r="B8055" s="116">
        <f t="shared" si="128"/>
        <v>13</v>
      </c>
    </row>
    <row r="8056" spans="1:2" x14ac:dyDescent="0.2">
      <c r="A8056" s="117">
        <v>42753</v>
      </c>
      <c r="B8056" s="116">
        <f t="shared" si="128"/>
        <v>13</v>
      </c>
    </row>
    <row r="8057" spans="1:2" x14ac:dyDescent="0.2">
      <c r="A8057" s="117">
        <v>42754</v>
      </c>
      <c r="B8057" s="116">
        <f t="shared" si="128"/>
        <v>13</v>
      </c>
    </row>
    <row r="8058" spans="1:2" x14ac:dyDescent="0.2">
      <c r="A8058" s="117">
        <v>42755</v>
      </c>
      <c r="B8058" s="116">
        <f t="shared" si="128"/>
        <v>13</v>
      </c>
    </row>
    <row r="8059" spans="1:2" x14ac:dyDescent="0.2">
      <c r="A8059" s="117">
        <v>42756</v>
      </c>
      <c r="B8059" s="116">
        <f t="shared" si="128"/>
        <v>13</v>
      </c>
    </row>
    <row r="8060" spans="1:2" x14ac:dyDescent="0.2">
      <c r="A8060" s="117">
        <v>42757</v>
      </c>
      <c r="B8060" s="116">
        <f t="shared" si="128"/>
        <v>14</v>
      </c>
    </row>
    <row r="8061" spans="1:2" x14ac:dyDescent="0.2">
      <c r="A8061" s="117">
        <v>42758</v>
      </c>
      <c r="B8061" s="116">
        <f t="shared" si="128"/>
        <v>14</v>
      </c>
    </row>
    <row r="8062" spans="1:2" x14ac:dyDescent="0.2">
      <c r="A8062" s="117">
        <v>42759</v>
      </c>
      <c r="B8062" s="116">
        <f t="shared" si="128"/>
        <v>14</v>
      </c>
    </row>
    <row r="8063" spans="1:2" x14ac:dyDescent="0.2">
      <c r="A8063" s="117">
        <v>42760</v>
      </c>
      <c r="B8063" s="116">
        <f t="shared" si="128"/>
        <v>14</v>
      </c>
    </row>
    <row r="8064" spans="1:2" x14ac:dyDescent="0.2">
      <c r="A8064" s="117">
        <v>42761</v>
      </c>
      <c r="B8064" s="116">
        <f t="shared" si="128"/>
        <v>14</v>
      </c>
    </row>
    <row r="8065" spans="1:2" x14ac:dyDescent="0.2">
      <c r="A8065" s="117">
        <v>42762</v>
      </c>
      <c r="B8065" s="116">
        <f t="shared" si="128"/>
        <v>14</v>
      </c>
    </row>
    <row r="8066" spans="1:2" x14ac:dyDescent="0.2">
      <c r="A8066" s="117">
        <v>42763</v>
      </c>
      <c r="B8066" s="116">
        <f t="shared" si="128"/>
        <v>14</v>
      </c>
    </row>
    <row r="8067" spans="1:2" x14ac:dyDescent="0.2">
      <c r="A8067" s="117">
        <v>42764</v>
      </c>
      <c r="B8067" s="116">
        <f t="shared" si="128"/>
        <v>15</v>
      </c>
    </row>
    <row r="8068" spans="1:2" x14ac:dyDescent="0.2">
      <c r="A8068" s="117">
        <v>42765</v>
      </c>
      <c r="B8068" s="116">
        <f t="shared" si="128"/>
        <v>15</v>
      </c>
    </row>
    <row r="8069" spans="1:2" x14ac:dyDescent="0.2">
      <c r="A8069" s="117">
        <v>42766</v>
      </c>
      <c r="B8069" s="116">
        <f t="shared" si="128"/>
        <v>15</v>
      </c>
    </row>
    <row r="8070" spans="1:2" x14ac:dyDescent="0.2">
      <c r="A8070" s="117">
        <v>42767</v>
      </c>
      <c r="B8070" s="116">
        <f t="shared" si="128"/>
        <v>15</v>
      </c>
    </row>
    <row r="8071" spans="1:2" x14ac:dyDescent="0.2">
      <c r="A8071" s="117">
        <v>42768</v>
      </c>
      <c r="B8071" s="116">
        <f t="shared" si="128"/>
        <v>15</v>
      </c>
    </row>
    <row r="8072" spans="1:2" x14ac:dyDescent="0.2">
      <c r="A8072" s="117">
        <v>42769</v>
      </c>
      <c r="B8072" s="116">
        <f t="shared" si="128"/>
        <v>15</v>
      </c>
    </row>
    <row r="8073" spans="1:2" x14ac:dyDescent="0.2">
      <c r="A8073" s="117">
        <v>42770</v>
      </c>
      <c r="B8073" s="116">
        <f t="shared" si="128"/>
        <v>15</v>
      </c>
    </row>
    <row r="8074" spans="1:2" x14ac:dyDescent="0.2">
      <c r="A8074" s="117">
        <v>42771</v>
      </c>
      <c r="B8074" s="116">
        <f t="shared" si="128"/>
        <v>21</v>
      </c>
    </row>
    <row r="8075" spans="1:2" x14ac:dyDescent="0.2">
      <c r="A8075" s="117">
        <v>42772</v>
      </c>
      <c r="B8075" s="116">
        <f t="shared" si="128"/>
        <v>21</v>
      </c>
    </row>
    <row r="8076" spans="1:2" x14ac:dyDescent="0.2">
      <c r="A8076" s="117">
        <v>42773</v>
      </c>
      <c r="B8076" s="116">
        <f t="shared" si="128"/>
        <v>21</v>
      </c>
    </row>
    <row r="8077" spans="1:2" x14ac:dyDescent="0.2">
      <c r="A8077" s="117">
        <v>42774</v>
      </c>
      <c r="B8077" s="116">
        <f t="shared" si="128"/>
        <v>21</v>
      </c>
    </row>
    <row r="8078" spans="1:2" x14ac:dyDescent="0.2">
      <c r="A8078" s="117">
        <v>42775</v>
      </c>
      <c r="B8078" s="116">
        <f t="shared" si="128"/>
        <v>21</v>
      </c>
    </row>
    <row r="8079" spans="1:2" x14ac:dyDescent="0.2">
      <c r="A8079" s="117">
        <v>42776</v>
      </c>
      <c r="B8079" s="116">
        <f t="shared" si="128"/>
        <v>21</v>
      </c>
    </row>
    <row r="8080" spans="1:2" x14ac:dyDescent="0.2">
      <c r="A8080" s="117">
        <v>42777</v>
      </c>
      <c r="B8080" s="116">
        <f t="shared" si="128"/>
        <v>21</v>
      </c>
    </row>
    <row r="8081" spans="1:2" x14ac:dyDescent="0.2">
      <c r="A8081" s="117">
        <v>42778</v>
      </c>
      <c r="B8081" s="116">
        <f t="shared" si="128"/>
        <v>22</v>
      </c>
    </row>
    <row r="8082" spans="1:2" x14ac:dyDescent="0.2">
      <c r="A8082" s="117">
        <v>42779</v>
      </c>
      <c r="B8082" s="116">
        <f t="shared" si="128"/>
        <v>22</v>
      </c>
    </row>
    <row r="8083" spans="1:2" x14ac:dyDescent="0.2">
      <c r="A8083" s="117">
        <v>42780</v>
      </c>
      <c r="B8083" s="116">
        <f t="shared" si="128"/>
        <v>22</v>
      </c>
    </row>
    <row r="8084" spans="1:2" x14ac:dyDescent="0.2">
      <c r="A8084" s="117">
        <v>42781</v>
      </c>
      <c r="B8084" s="116">
        <f t="shared" si="128"/>
        <v>22</v>
      </c>
    </row>
    <row r="8085" spans="1:2" x14ac:dyDescent="0.2">
      <c r="A8085" s="117">
        <v>42782</v>
      </c>
      <c r="B8085" s="116">
        <f t="shared" si="128"/>
        <v>22</v>
      </c>
    </row>
    <row r="8086" spans="1:2" x14ac:dyDescent="0.2">
      <c r="A8086" s="117">
        <v>42783</v>
      </c>
      <c r="B8086" s="116">
        <f t="shared" si="128"/>
        <v>22</v>
      </c>
    </row>
    <row r="8087" spans="1:2" x14ac:dyDescent="0.2">
      <c r="A8087" s="117">
        <v>42784</v>
      </c>
      <c r="B8087" s="116">
        <f t="shared" si="128"/>
        <v>22</v>
      </c>
    </row>
    <row r="8088" spans="1:2" x14ac:dyDescent="0.2">
      <c r="A8088" s="117">
        <v>42785</v>
      </c>
      <c r="B8088" s="116">
        <f t="shared" si="128"/>
        <v>23</v>
      </c>
    </row>
    <row r="8089" spans="1:2" x14ac:dyDescent="0.2">
      <c r="A8089" s="117">
        <v>42786</v>
      </c>
      <c r="B8089" s="116">
        <f t="shared" si="128"/>
        <v>23</v>
      </c>
    </row>
    <row r="8090" spans="1:2" x14ac:dyDescent="0.2">
      <c r="A8090" s="117">
        <v>42787</v>
      </c>
      <c r="B8090" s="116">
        <f t="shared" si="128"/>
        <v>23</v>
      </c>
    </row>
    <row r="8091" spans="1:2" x14ac:dyDescent="0.2">
      <c r="A8091" s="117">
        <v>42788</v>
      </c>
      <c r="B8091" s="116">
        <f t="shared" si="128"/>
        <v>23</v>
      </c>
    </row>
    <row r="8092" spans="1:2" x14ac:dyDescent="0.2">
      <c r="A8092" s="117">
        <v>42789</v>
      </c>
      <c r="B8092" s="116">
        <f t="shared" si="128"/>
        <v>23</v>
      </c>
    </row>
    <row r="8093" spans="1:2" x14ac:dyDescent="0.2">
      <c r="A8093" s="117">
        <v>42790</v>
      </c>
      <c r="B8093" s="116">
        <f t="shared" si="128"/>
        <v>23</v>
      </c>
    </row>
    <row r="8094" spans="1:2" x14ac:dyDescent="0.2">
      <c r="A8094" s="117">
        <v>42791</v>
      </c>
      <c r="B8094" s="116">
        <f t="shared" si="128"/>
        <v>23</v>
      </c>
    </row>
    <row r="8095" spans="1:2" x14ac:dyDescent="0.2">
      <c r="A8095" s="117">
        <v>42792</v>
      </c>
      <c r="B8095" s="116">
        <f t="shared" si="128"/>
        <v>24</v>
      </c>
    </row>
    <row r="8096" spans="1:2" x14ac:dyDescent="0.2">
      <c r="A8096" s="117">
        <v>42793</v>
      </c>
      <c r="B8096" s="116">
        <f t="shared" si="128"/>
        <v>24</v>
      </c>
    </row>
    <row r="8097" spans="1:2" x14ac:dyDescent="0.2">
      <c r="A8097" s="117">
        <v>42794</v>
      </c>
      <c r="B8097" s="116">
        <f t="shared" si="128"/>
        <v>24</v>
      </c>
    </row>
    <row r="8098" spans="1:2" x14ac:dyDescent="0.2">
      <c r="A8098" s="117">
        <v>42795</v>
      </c>
      <c r="B8098" s="116">
        <f t="shared" si="128"/>
        <v>24</v>
      </c>
    </row>
    <row r="8099" spans="1:2" x14ac:dyDescent="0.2">
      <c r="A8099" s="117">
        <v>42796</v>
      </c>
      <c r="B8099" s="116">
        <f t="shared" si="128"/>
        <v>24</v>
      </c>
    </row>
    <row r="8100" spans="1:2" x14ac:dyDescent="0.2">
      <c r="A8100" s="117">
        <v>42797</v>
      </c>
      <c r="B8100" s="116">
        <f t="shared" si="128"/>
        <v>24</v>
      </c>
    </row>
    <row r="8101" spans="1:2" x14ac:dyDescent="0.2">
      <c r="A8101" s="117">
        <v>42798</v>
      </c>
      <c r="B8101" s="116">
        <f t="shared" si="128"/>
        <v>24</v>
      </c>
    </row>
    <row r="8102" spans="1:2" x14ac:dyDescent="0.2">
      <c r="A8102" s="117">
        <v>42799</v>
      </c>
      <c r="B8102" s="116">
        <f t="shared" si="128"/>
        <v>31</v>
      </c>
    </row>
    <row r="8103" spans="1:2" x14ac:dyDescent="0.2">
      <c r="A8103" s="117">
        <v>42800</v>
      </c>
      <c r="B8103" s="116">
        <f t="shared" si="128"/>
        <v>31</v>
      </c>
    </row>
    <row r="8104" spans="1:2" x14ac:dyDescent="0.2">
      <c r="A8104" s="117">
        <v>42801</v>
      </c>
      <c r="B8104" s="116">
        <f t="shared" si="128"/>
        <v>31</v>
      </c>
    </row>
    <row r="8105" spans="1:2" x14ac:dyDescent="0.2">
      <c r="A8105" s="117">
        <v>42802</v>
      </c>
      <c r="B8105" s="116">
        <f t="shared" si="128"/>
        <v>31</v>
      </c>
    </row>
    <row r="8106" spans="1:2" x14ac:dyDescent="0.2">
      <c r="A8106" s="117">
        <v>42803</v>
      </c>
      <c r="B8106" s="116">
        <f t="shared" si="128"/>
        <v>31</v>
      </c>
    </row>
    <row r="8107" spans="1:2" x14ac:dyDescent="0.2">
      <c r="A8107" s="117">
        <v>42804</v>
      </c>
      <c r="B8107" s="116">
        <f t="shared" si="128"/>
        <v>31</v>
      </c>
    </row>
    <row r="8108" spans="1:2" x14ac:dyDescent="0.2">
      <c r="A8108" s="117">
        <v>42805</v>
      </c>
      <c r="B8108" s="116">
        <f t="shared" si="128"/>
        <v>31</v>
      </c>
    </row>
    <row r="8109" spans="1:2" x14ac:dyDescent="0.2">
      <c r="A8109" s="117">
        <v>42806</v>
      </c>
      <c r="B8109" s="116">
        <f t="shared" si="128"/>
        <v>32</v>
      </c>
    </row>
    <row r="8110" spans="1:2" x14ac:dyDescent="0.2">
      <c r="A8110" s="117">
        <v>42807</v>
      </c>
      <c r="B8110" s="116">
        <f t="shared" si="128"/>
        <v>32</v>
      </c>
    </row>
    <row r="8111" spans="1:2" x14ac:dyDescent="0.2">
      <c r="A8111" s="117">
        <v>42808</v>
      </c>
      <c r="B8111" s="116">
        <f t="shared" si="128"/>
        <v>32</v>
      </c>
    </row>
    <row r="8112" spans="1:2" x14ac:dyDescent="0.2">
      <c r="A8112" s="117">
        <v>42809</v>
      </c>
      <c r="B8112" s="116">
        <f t="shared" si="128"/>
        <v>32</v>
      </c>
    </row>
    <row r="8113" spans="1:2" x14ac:dyDescent="0.2">
      <c r="A8113" s="117">
        <v>42810</v>
      </c>
      <c r="B8113" s="116">
        <f t="shared" si="128"/>
        <v>32</v>
      </c>
    </row>
    <row r="8114" spans="1:2" x14ac:dyDescent="0.2">
      <c r="A8114" s="117">
        <v>42811</v>
      </c>
      <c r="B8114" s="116">
        <f t="shared" si="128"/>
        <v>32</v>
      </c>
    </row>
    <row r="8115" spans="1:2" x14ac:dyDescent="0.2">
      <c r="A8115" s="117">
        <v>42812</v>
      </c>
      <c r="B8115" s="116">
        <f t="shared" ref="B8115:B8164" si="129">VLOOKUP(WEEKNUM(A8115),$D$4:$E$59,2)</f>
        <v>32</v>
      </c>
    </row>
    <row r="8116" spans="1:2" x14ac:dyDescent="0.2">
      <c r="A8116" s="117">
        <v>42813</v>
      </c>
      <c r="B8116" s="116">
        <f t="shared" si="129"/>
        <v>33</v>
      </c>
    </row>
    <row r="8117" spans="1:2" x14ac:dyDescent="0.2">
      <c r="A8117" s="117">
        <v>42814</v>
      </c>
      <c r="B8117" s="116">
        <f t="shared" si="129"/>
        <v>33</v>
      </c>
    </row>
    <row r="8118" spans="1:2" x14ac:dyDescent="0.2">
      <c r="A8118" s="117">
        <v>42815</v>
      </c>
      <c r="B8118" s="116">
        <f t="shared" si="129"/>
        <v>33</v>
      </c>
    </row>
    <row r="8119" spans="1:2" x14ac:dyDescent="0.2">
      <c r="A8119" s="117">
        <v>42816</v>
      </c>
      <c r="B8119" s="116">
        <f t="shared" si="129"/>
        <v>33</v>
      </c>
    </row>
    <row r="8120" spans="1:2" x14ac:dyDescent="0.2">
      <c r="A8120" s="117">
        <v>42817</v>
      </c>
      <c r="B8120" s="116">
        <f t="shared" si="129"/>
        <v>33</v>
      </c>
    </row>
    <row r="8121" spans="1:2" x14ac:dyDescent="0.2">
      <c r="A8121" s="117">
        <v>42818</v>
      </c>
      <c r="B8121" s="116">
        <f t="shared" si="129"/>
        <v>33</v>
      </c>
    </row>
    <row r="8122" spans="1:2" x14ac:dyDescent="0.2">
      <c r="A8122" s="117">
        <v>42819</v>
      </c>
      <c r="B8122" s="116">
        <f t="shared" si="129"/>
        <v>33</v>
      </c>
    </row>
    <row r="8123" spans="1:2" x14ac:dyDescent="0.2">
      <c r="A8123" s="117">
        <v>42820</v>
      </c>
      <c r="B8123" s="116">
        <f t="shared" si="129"/>
        <v>34</v>
      </c>
    </row>
    <row r="8124" spans="1:2" x14ac:dyDescent="0.2">
      <c r="A8124" s="117">
        <v>42821</v>
      </c>
      <c r="B8124" s="116">
        <f t="shared" si="129"/>
        <v>34</v>
      </c>
    </row>
    <row r="8125" spans="1:2" x14ac:dyDescent="0.2">
      <c r="A8125" s="117">
        <v>42822</v>
      </c>
      <c r="B8125" s="116">
        <f t="shared" si="129"/>
        <v>34</v>
      </c>
    </row>
    <row r="8126" spans="1:2" x14ac:dyDescent="0.2">
      <c r="A8126" s="117">
        <v>42823</v>
      </c>
      <c r="B8126" s="116">
        <f t="shared" si="129"/>
        <v>34</v>
      </c>
    </row>
    <row r="8127" spans="1:2" x14ac:dyDescent="0.2">
      <c r="A8127" s="117">
        <v>42824</v>
      </c>
      <c r="B8127" s="116">
        <f t="shared" si="129"/>
        <v>34</v>
      </c>
    </row>
    <row r="8128" spans="1:2" x14ac:dyDescent="0.2">
      <c r="A8128" s="117">
        <v>42825</v>
      </c>
      <c r="B8128" s="116">
        <f t="shared" si="129"/>
        <v>34</v>
      </c>
    </row>
    <row r="8129" spans="1:2" x14ac:dyDescent="0.2">
      <c r="A8129" s="117">
        <v>42826</v>
      </c>
      <c r="B8129" s="116">
        <f t="shared" si="129"/>
        <v>34</v>
      </c>
    </row>
    <row r="8130" spans="1:2" x14ac:dyDescent="0.2">
      <c r="A8130" s="117">
        <v>42827</v>
      </c>
      <c r="B8130" s="116">
        <f t="shared" si="129"/>
        <v>41</v>
      </c>
    </row>
    <row r="8131" spans="1:2" x14ac:dyDescent="0.2">
      <c r="A8131" s="117">
        <v>42828</v>
      </c>
      <c r="B8131" s="116">
        <f t="shared" si="129"/>
        <v>41</v>
      </c>
    </row>
    <row r="8132" spans="1:2" x14ac:dyDescent="0.2">
      <c r="A8132" s="117">
        <v>42829</v>
      </c>
      <c r="B8132" s="116">
        <f t="shared" si="129"/>
        <v>41</v>
      </c>
    </row>
    <row r="8133" spans="1:2" x14ac:dyDescent="0.2">
      <c r="A8133" s="117">
        <v>42830</v>
      </c>
      <c r="B8133" s="116">
        <f t="shared" si="129"/>
        <v>41</v>
      </c>
    </row>
    <row r="8134" spans="1:2" x14ac:dyDescent="0.2">
      <c r="A8134" s="117">
        <v>42831</v>
      </c>
      <c r="B8134" s="116">
        <f t="shared" si="129"/>
        <v>41</v>
      </c>
    </row>
    <row r="8135" spans="1:2" x14ac:dyDescent="0.2">
      <c r="A8135" s="117">
        <v>42832</v>
      </c>
      <c r="B8135" s="116">
        <f t="shared" si="129"/>
        <v>41</v>
      </c>
    </row>
    <row r="8136" spans="1:2" x14ac:dyDescent="0.2">
      <c r="A8136" s="117">
        <v>42833</v>
      </c>
      <c r="B8136" s="116">
        <f t="shared" si="129"/>
        <v>41</v>
      </c>
    </row>
    <row r="8137" spans="1:2" x14ac:dyDescent="0.2">
      <c r="A8137" s="117">
        <v>42834</v>
      </c>
      <c r="B8137" s="116">
        <f t="shared" si="129"/>
        <v>42</v>
      </c>
    </row>
    <row r="8138" spans="1:2" x14ac:dyDescent="0.2">
      <c r="A8138" s="117">
        <v>42835</v>
      </c>
      <c r="B8138" s="116">
        <f t="shared" si="129"/>
        <v>42</v>
      </c>
    </row>
    <row r="8139" spans="1:2" x14ac:dyDescent="0.2">
      <c r="A8139" s="117">
        <v>42836</v>
      </c>
      <c r="B8139" s="116">
        <f t="shared" si="129"/>
        <v>42</v>
      </c>
    </row>
    <row r="8140" spans="1:2" x14ac:dyDescent="0.2">
      <c r="A8140" s="117">
        <v>42837</v>
      </c>
      <c r="B8140" s="116">
        <f t="shared" si="129"/>
        <v>42</v>
      </c>
    </row>
    <row r="8141" spans="1:2" x14ac:dyDescent="0.2">
      <c r="A8141" s="117">
        <v>42838</v>
      </c>
      <c r="B8141" s="116">
        <f t="shared" si="129"/>
        <v>42</v>
      </c>
    </row>
    <row r="8142" spans="1:2" x14ac:dyDescent="0.2">
      <c r="A8142" s="117">
        <v>42839</v>
      </c>
      <c r="B8142" s="116">
        <f t="shared" si="129"/>
        <v>42</v>
      </c>
    </row>
    <row r="8143" spans="1:2" x14ac:dyDescent="0.2">
      <c r="A8143" s="117">
        <v>42840</v>
      </c>
      <c r="B8143" s="116">
        <f t="shared" si="129"/>
        <v>42</v>
      </c>
    </row>
    <row r="8144" spans="1:2" x14ac:dyDescent="0.2">
      <c r="A8144" s="117">
        <v>42841</v>
      </c>
      <c r="B8144" s="116">
        <f t="shared" si="129"/>
        <v>43</v>
      </c>
    </row>
    <row r="8145" spans="1:2" x14ac:dyDescent="0.2">
      <c r="A8145" s="117">
        <v>42842</v>
      </c>
      <c r="B8145" s="116">
        <f t="shared" si="129"/>
        <v>43</v>
      </c>
    </row>
    <row r="8146" spans="1:2" x14ac:dyDescent="0.2">
      <c r="A8146" s="117">
        <v>42843</v>
      </c>
      <c r="B8146" s="116">
        <f t="shared" si="129"/>
        <v>43</v>
      </c>
    </row>
    <row r="8147" spans="1:2" x14ac:dyDescent="0.2">
      <c r="A8147" s="117">
        <v>42844</v>
      </c>
      <c r="B8147" s="116">
        <f t="shared" si="129"/>
        <v>43</v>
      </c>
    </row>
    <row r="8148" spans="1:2" x14ac:dyDescent="0.2">
      <c r="A8148" s="117">
        <v>42845</v>
      </c>
      <c r="B8148" s="116">
        <f t="shared" si="129"/>
        <v>43</v>
      </c>
    </row>
    <row r="8149" spans="1:2" x14ac:dyDescent="0.2">
      <c r="A8149" s="117">
        <v>42846</v>
      </c>
      <c r="B8149" s="116">
        <f t="shared" si="129"/>
        <v>43</v>
      </c>
    </row>
    <row r="8150" spans="1:2" x14ac:dyDescent="0.2">
      <c r="A8150" s="117">
        <v>42847</v>
      </c>
      <c r="B8150" s="116">
        <f t="shared" si="129"/>
        <v>43</v>
      </c>
    </row>
    <row r="8151" spans="1:2" x14ac:dyDescent="0.2">
      <c r="A8151" s="117">
        <v>42848</v>
      </c>
      <c r="B8151" s="116">
        <f t="shared" si="129"/>
        <v>44</v>
      </c>
    </row>
    <row r="8152" spans="1:2" x14ac:dyDescent="0.2">
      <c r="A8152" s="117">
        <v>42849</v>
      </c>
      <c r="B8152" s="116">
        <f t="shared" si="129"/>
        <v>44</v>
      </c>
    </row>
    <row r="8153" spans="1:2" x14ac:dyDescent="0.2">
      <c r="A8153" s="117">
        <v>42850</v>
      </c>
      <c r="B8153" s="116">
        <f t="shared" si="129"/>
        <v>44</v>
      </c>
    </row>
    <row r="8154" spans="1:2" x14ac:dyDescent="0.2">
      <c r="A8154" s="117">
        <v>42851</v>
      </c>
      <c r="B8154" s="116">
        <f t="shared" si="129"/>
        <v>44</v>
      </c>
    </row>
    <row r="8155" spans="1:2" x14ac:dyDescent="0.2">
      <c r="A8155" s="117">
        <v>42852</v>
      </c>
      <c r="B8155" s="116">
        <f t="shared" si="129"/>
        <v>44</v>
      </c>
    </row>
    <row r="8156" spans="1:2" x14ac:dyDescent="0.2">
      <c r="A8156" s="117">
        <v>42853</v>
      </c>
      <c r="B8156" s="116">
        <f t="shared" si="129"/>
        <v>44</v>
      </c>
    </row>
    <row r="8157" spans="1:2" x14ac:dyDescent="0.2">
      <c r="A8157" s="117">
        <v>42854</v>
      </c>
      <c r="B8157" s="116">
        <f t="shared" si="129"/>
        <v>44</v>
      </c>
    </row>
    <row r="8158" spans="1:2" x14ac:dyDescent="0.2">
      <c r="A8158" s="117">
        <v>42855</v>
      </c>
      <c r="B8158" s="116">
        <f t="shared" si="129"/>
        <v>45</v>
      </c>
    </row>
    <row r="8159" spans="1:2" x14ac:dyDescent="0.2">
      <c r="A8159" s="117">
        <v>42856</v>
      </c>
      <c r="B8159" s="116">
        <f t="shared" si="129"/>
        <v>45</v>
      </c>
    </row>
    <row r="8160" spans="1:2" x14ac:dyDescent="0.2">
      <c r="A8160" s="117">
        <v>42857</v>
      </c>
      <c r="B8160" s="116">
        <f t="shared" si="129"/>
        <v>45</v>
      </c>
    </row>
    <row r="8161" spans="1:2" x14ac:dyDescent="0.2">
      <c r="A8161" s="117">
        <v>42858</v>
      </c>
      <c r="B8161" s="116">
        <f t="shared" si="129"/>
        <v>45</v>
      </c>
    </row>
    <row r="8162" spans="1:2" x14ac:dyDescent="0.2">
      <c r="A8162" s="117">
        <v>42859</v>
      </c>
      <c r="B8162" s="116">
        <f t="shared" si="129"/>
        <v>45</v>
      </c>
    </row>
    <row r="8163" spans="1:2" x14ac:dyDescent="0.2">
      <c r="A8163" s="117">
        <v>42860</v>
      </c>
      <c r="B8163" s="116">
        <f t="shared" si="129"/>
        <v>45</v>
      </c>
    </row>
    <row r="8164" spans="1:2" x14ac:dyDescent="0.2">
      <c r="A8164" s="117">
        <v>42861</v>
      </c>
      <c r="B8164" s="116">
        <f t="shared" si="129"/>
        <v>45</v>
      </c>
    </row>
    <row r="8165" spans="1:2" x14ac:dyDescent="0.2">
      <c r="A8165" s="117">
        <v>42862</v>
      </c>
      <c r="B8165" s="116">
        <f t="shared" ref="B8165:B8228" si="130">VLOOKUP(WEEKNUM(A8165),$D$4:$E$59,2)</f>
        <v>51</v>
      </c>
    </row>
    <row r="8166" spans="1:2" x14ac:dyDescent="0.2">
      <c r="A8166" s="117">
        <v>42863</v>
      </c>
      <c r="B8166" s="116">
        <f t="shared" si="130"/>
        <v>51</v>
      </c>
    </row>
    <row r="8167" spans="1:2" x14ac:dyDescent="0.2">
      <c r="A8167" s="117">
        <v>42864</v>
      </c>
      <c r="B8167" s="116">
        <f t="shared" si="130"/>
        <v>51</v>
      </c>
    </row>
    <row r="8168" spans="1:2" x14ac:dyDescent="0.2">
      <c r="A8168" s="117">
        <v>42865</v>
      </c>
      <c r="B8168" s="116">
        <f t="shared" si="130"/>
        <v>51</v>
      </c>
    </row>
    <row r="8169" spans="1:2" x14ac:dyDescent="0.2">
      <c r="A8169" s="117">
        <v>42866</v>
      </c>
      <c r="B8169" s="116">
        <f t="shared" si="130"/>
        <v>51</v>
      </c>
    </row>
    <row r="8170" spans="1:2" x14ac:dyDescent="0.2">
      <c r="A8170" s="117">
        <v>42867</v>
      </c>
      <c r="B8170" s="116">
        <f t="shared" si="130"/>
        <v>51</v>
      </c>
    </row>
    <row r="8171" spans="1:2" x14ac:dyDescent="0.2">
      <c r="A8171" s="117">
        <v>42868</v>
      </c>
      <c r="B8171" s="116">
        <f t="shared" si="130"/>
        <v>51</v>
      </c>
    </row>
    <row r="8172" spans="1:2" x14ac:dyDescent="0.2">
      <c r="A8172" s="117">
        <v>42869</v>
      </c>
      <c r="B8172" s="116">
        <f t="shared" si="130"/>
        <v>52</v>
      </c>
    </row>
    <row r="8173" spans="1:2" x14ac:dyDescent="0.2">
      <c r="A8173" s="117">
        <v>42870</v>
      </c>
      <c r="B8173" s="116">
        <f t="shared" si="130"/>
        <v>52</v>
      </c>
    </row>
    <row r="8174" spans="1:2" x14ac:dyDescent="0.2">
      <c r="A8174" s="117">
        <v>42871</v>
      </c>
      <c r="B8174" s="116">
        <f t="shared" si="130"/>
        <v>52</v>
      </c>
    </row>
    <row r="8175" spans="1:2" x14ac:dyDescent="0.2">
      <c r="A8175" s="117">
        <v>42872</v>
      </c>
      <c r="B8175" s="116">
        <f t="shared" si="130"/>
        <v>52</v>
      </c>
    </row>
    <row r="8176" spans="1:2" x14ac:dyDescent="0.2">
      <c r="A8176" s="117">
        <v>42873</v>
      </c>
      <c r="B8176" s="116">
        <f t="shared" si="130"/>
        <v>52</v>
      </c>
    </row>
    <row r="8177" spans="1:2" x14ac:dyDescent="0.2">
      <c r="A8177" s="117">
        <v>42874</v>
      </c>
      <c r="B8177" s="116">
        <f t="shared" si="130"/>
        <v>52</v>
      </c>
    </row>
    <row r="8178" spans="1:2" x14ac:dyDescent="0.2">
      <c r="A8178" s="117">
        <v>42875</v>
      </c>
      <c r="B8178" s="116">
        <f t="shared" si="130"/>
        <v>52</v>
      </c>
    </row>
    <row r="8179" spans="1:2" x14ac:dyDescent="0.2">
      <c r="A8179" s="117">
        <v>42876</v>
      </c>
      <c r="B8179" s="116">
        <f t="shared" si="130"/>
        <v>53</v>
      </c>
    </row>
    <row r="8180" spans="1:2" x14ac:dyDescent="0.2">
      <c r="A8180" s="117">
        <v>42877</v>
      </c>
      <c r="B8180" s="116">
        <f t="shared" si="130"/>
        <v>53</v>
      </c>
    </row>
    <row r="8181" spans="1:2" x14ac:dyDescent="0.2">
      <c r="A8181" s="117">
        <v>42878</v>
      </c>
      <c r="B8181" s="116">
        <f t="shared" si="130"/>
        <v>53</v>
      </c>
    </row>
    <row r="8182" spans="1:2" x14ac:dyDescent="0.2">
      <c r="A8182" s="117">
        <v>42879</v>
      </c>
      <c r="B8182" s="116">
        <f t="shared" si="130"/>
        <v>53</v>
      </c>
    </row>
    <row r="8183" spans="1:2" x14ac:dyDescent="0.2">
      <c r="A8183" s="117">
        <v>42880</v>
      </c>
      <c r="B8183" s="116">
        <f t="shared" si="130"/>
        <v>53</v>
      </c>
    </row>
    <row r="8184" spans="1:2" x14ac:dyDescent="0.2">
      <c r="A8184" s="117">
        <v>42881</v>
      </c>
      <c r="B8184" s="116">
        <f t="shared" si="130"/>
        <v>53</v>
      </c>
    </row>
    <row r="8185" spans="1:2" x14ac:dyDescent="0.2">
      <c r="A8185" s="117">
        <v>42882</v>
      </c>
      <c r="B8185" s="116">
        <f t="shared" si="130"/>
        <v>53</v>
      </c>
    </row>
    <row r="8186" spans="1:2" x14ac:dyDescent="0.2">
      <c r="A8186" s="117">
        <v>42883</v>
      </c>
      <c r="B8186" s="116">
        <f t="shared" si="130"/>
        <v>54</v>
      </c>
    </row>
    <row r="8187" spans="1:2" x14ac:dyDescent="0.2">
      <c r="A8187" s="117">
        <v>42884</v>
      </c>
      <c r="B8187" s="116">
        <f t="shared" si="130"/>
        <v>54</v>
      </c>
    </row>
    <row r="8188" spans="1:2" x14ac:dyDescent="0.2">
      <c r="A8188" s="117">
        <v>42885</v>
      </c>
      <c r="B8188" s="116">
        <f t="shared" si="130"/>
        <v>54</v>
      </c>
    </row>
    <row r="8189" spans="1:2" x14ac:dyDescent="0.2">
      <c r="A8189" s="117">
        <v>42886</v>
      </c>
      <c r="B8189" s="116">
        <f t="shared" si="130"/>
        <v>54</v>
      </c>
    </row>
    <row r="8190" spans="1:2" x14ac:dyDescent="0.2">
      <c r="A8190" s="117">
        <v>42887</v>
      </c>
      <c r="B8190" s="116">
        <f t="shared" si="130"/>
        <v>54</v>
      </c>
    </row>
    <row r="8191" spans="1:2" x14ac:dyDescent="0.2">
      <c r="A8191" s="117">
        <v>42888</v>
      </c>
      <c r="B8191" s="116">
        <f t="shared" si="130"/>
        <v>54</v>
      </c>
    </row>
    <row r="8192" spans="1:2" x14ac:dyDescent="0.2">
      <c r="A8192" s="117">
        <v>42889</v>
      </c>
      <c r="B8192" s="116">
        <f t="shared" si="130"/>
        <v>54</v>
      </c>
    </row>
    <row r="8193" spans="1:2" x14ac:dyDescent="0.2">
      <c r="A8193" s="117">
        <v>42890</v>
      </c>
      <c r="B8193" s="116">
        <f t="shared" si="130"/>
        <v>61</v>
      </c>
    </row>
    <row r="8194" spans="1:2" x14ac:dyDescent="0.2">
      <c r="A8194" s="117">
        <v>42891</v>
      </c>
      <c r="B8194" s="116">
        <f t="shared" si="130"/>
        <v>61</v>
      </c>
    </row>
    <row r="8195" spans="1:2" x14ac:dyDescent="0.2">
      <c r="A8195" s="117">
        <v>42892</v>
      </c>
      <c r="B8195" s="116">
        <f t="shared" si="130"/>
        <v>61</v>
      </c>
    </row>
    <row r="8196" spans="1:2" x14ac:dyDescent="0.2">
      <c r="A8196" s="117">
        <v>42893</v>
      </c>
      <c r="B8196" s="116">
        <f t="shared" si="130"/>
        <v>61</v>
      </c>
    </row>
    <row r="8197" spans="1:2" x14ac:dyDescent="0.2">
      <c r="A8197" s="117">
        <v>42894</v>
      </c>
      <c r="B8197" s="116">
        <f t="shared" si="130"/>
        <v>61</v>
      </c>
    </row>
    <row r="8198" spans="1:2" x14ac:dyDescent="0.2">
      <c r="A8198" s="117">
        <v>42895</v>
      </c>
      <c r="B8198" s="116">
        <f t="shared" si="130"/>
        <v>61</v>
      </c>
    </row>
    <row r="8199" spans="1:2" x14ac:dyDescent="0.2">
      <c r="A8199" s="117">
        <v>42896</v>
      </c>
      <c r="B8199" s="116">
        <f t="shared" si="130"/>
        <v>61</v>
      </c>
    </row>
    <row r="8200" spans="1:2" x14ac:dyDescent="0.2">
      <c r="A8200" s="117">
        <v>42897</v>
      </c>
      <c r="B8200" s="116">
        <f t="shared" si="130"/>
        <v>62</v>
      </c>
    </row>
    <row r="8201" spans="1:2" x14ac:dyDescent="0.2">
      <c r="A8201" s="117">
        <v>42898</v>
      </c>
      <c r="B8201" s="116">
        <f t="shared" si="130"/>
        <v>62</v>
      </c>
    </row>
    <row r="8202" spans="1:2" x14ac:dyDescent="0.2">
      <c r="A8202" s="117">
        <v>42899</v>
      </c>
      <c r="B8202" s="116">
        <f t="shared" si="130"/>
        <v>62</v>
      </c>
    </row>
    <row r="8203" spans="1:2" x14ac:dyDescent="0.2">
      <c r="A8203" s="117">
        <v>42900</v>
      </c>
      <c r="B8203" s="116">
        <f t="shared" si="130"/>
        <v>62</v>
      </c>
    </row>
    <row r="8204" spans="1:2" x14ac:dyDescent="0.2">
      <c r="A8204" s="117">
        <v>42901</v>
      </c>
      <c r="B8204" s="116">
        <f t="shared" si="130"/>
        <v>62</v>
      </c>
    </row>
    <row r="8205" spans="1:2" x14ac:dyDescent="0.2">
      <c r="A8205" s="117">
        <v>42902</v>
      </c>
      <c r="B8205" s="116">
        <f t="shared" si="130"/>
        <v>62</v>
      </c>
    </row>
    <row r="8206" spans="1:2" x14ac:dyDescent="0.2">
      <c r="A8206" s="117">
        <v>42903</v>
      </c>
      <c r="B8206" s="116">
        <f t="shared" si="130"/>
        <v>62</v>
      </c>
    </row>
    <row r="8207" spans="1:2" x14ac:dyDescent="0.2">
      <c r="A8207" s="117">
        <v>42904</v>
      </c>
      <c r="B8207" s="116">
        <f t="shared" si="130"/>
        <v>63</v>
      </c>
    </row>
    <row r="8208" spans="1:2" x14ac:dyDescent="0.2">
      <c r="A8208" s="117">
        <v>42905</v>
      </c>
      <c r="B8208" s="116">
        <f t="shared" si="130"/>
        <v>63</v>
      </c>
    </row>
    <row r="8209" spans="1:2" x14ac:dyDescent="0.2">
      <c r="A8209" s="117">
        <v>42906</v>
      </c>
      <c r="B8209" s="116">
        <f t="shared" si="130"/>
        <v>63</v>
      </c>
    </row>
    <row r="8210" spans="1:2" x14ac:dyDescent="0.2">
      <c r="A8210" s="117">
        <v>42907</v>
      </c>
      <c r="B8210" s="116">
        <f t="shared" si="130"/>
        <v>63</v>
      </c>
    </row>
    <row r="8211" spans="1:2" x14ac:dyDescent="0.2">
      <c r="A8211" s="117">
        <v>42908</v>
      </c>
      <c r="B8211" s="116">
        <f t="shared" si="130"/>
        <v>63</v>
      </c>
    </row>
    <row r="8212" spans="1:2" x14ac:dyDescent="0.2">
      <c r="A8212" s="117">
        <v>42909</v>
      </c>
      <c r="B8212" s="116">
        <f t="shared" si="130"/>
        <v>63</v>
      </c>
    </row>
    <row r="8213" spans="1:2" x14ac:dyDescent="0.2">
      <c r="A8213" s="117">
        <v>42910</v>
      </c>
      <c r="B8213" s="116">
        <f t="shared" si="130"/>
        <v>63</v>
      </c>
    </row>
    <row r="8214" spans="1:2" x14ac:dyDescent="0.2">
      <c r="A8214" s="117">
        <v>42911</v>
      </c>
      <c r="B8214" s="116">
        <f t="shared" si="130"/>
        <v>64</v>
      </c>
    </row>
    <row r="8215" spans="1:2" x14ac:dyDescent="0.2">
      <c r="A8215" s="117">
        <v>42912</v>
      </c>
      <c r="B8215" s="116">
        <f t="shared" si="130"/>
        <v>64</v>
      </c>
    </row>
    <row r="8216" spans="1:2" x14ac:dyDescent="0.2">
      <c r="A8216" s="117">
        <v>42913</v>
      </c>
      <c r="B8216" s="116">
        <f t="shared" si="130"/>
        <v>64</v>
      </c>
    </row>
    <row r="8217" spans="1:2" x14ac:dyDescent="0.2">
      <c r="A8217" s="117">
        <v>42914</v>
      </c>
      <c r="B8217" s="116">
        <f t="shared" si="130"/>
        <v>64</v>
      </c>
    </row>
    <row r="8218" spans="1:2" x14ac:dyDescent="0.2">
      <c r="A8218" s="117">
        <v>42915</v>
      </c>
      <c r="B8218" s="116">
        <f t="shared" si="130"/>
        <v>64</v>
      </c>
    </row>
    <row r="8219" spans="1:2" x14ac:dyDescent="0.2">
      <c r="A8219" s="117">
        <v>42916</v>
      </c>
      <c r="B8219" s="116">
        <f t="shared" si="130"/>
        <v>64</v>
      </c>
    </row>
    <row r="8220" spans="1:2" x14ac:dyDescent="0.2">
      <c r="A8220" s="117">
        <v>42917</v>
      </c>
      <c r="B8220" s="116">
        <f t="shared" si="130"/>
        <v>64</v>
      </c>
    </row>
    <row r="8221" spans="1:2" x14ac:dyDescent="0.2">
      <c r="A8221" s="117">
        <v>42918</v>
      </c>
      <c r="B8221" s="116">
        <f t="shared" si="130"/>
        <v>71</v>
      </c>
    </row>
    <row r="8222" spans="1:2" x14ac:dyDescent="0.2">
      <c r="A8222" s="117">
        <v>42919</v>
      </c>
      <c r="B8222" s="116">
        <f t="shared" si="130"/>
        <v>71</v>
      </c>
    </row>
    <row r="8223" spans="1:2" x14ac:dyDescent="0.2">
      <c r="A8223" s="117">
        <v>42920</v>
      </c>
      <c r="B8223" s="116">
        <f t="shared" si="130"/>
        <v>71</v>
      </c>
    </row>
    <row r="8224" spans="1:2" x14ac:dyDescent="0.2">
      <c r="A8224" s="117">
        <v>42921</v>
      </c>
      <c r="B8224" s="116">
        <f t="shared" si="130"/>
        <v>71</v>
      </c>
    </row>
    <row r="8225" spans="1:2" x14ac:dyDescent="0.2">
      <c r="A8225" s="117">
        <v>42922</v>
      </c>
      <c r="B8225" s="116">
        <f t="shared" si="130"/>
        <v>71</v>
      </c>
    </row>
    <row r="8226" spans="1:2" x14ac:dyDescent="0.2">
      <c r="A8226" s="117">
        <v>42923</v>
      </c>
      <c r="B8226" s="116">
        <f t="shared" si="130"/>
        <v>71</v>
      </c>
    </row>
    <row r="8227" spans="1:2" x14ac:dyDescent="0.2">
      <c r="A8227" s="117">
        <v>42924</v>
      </c>
      <c r="B8227" s="116">
        <f t="shared" si="130"/>
        <v>71</v>
      </c>
    </row>
    <row r="8228" spans="1:2" x14ac:dyDescent="0.2">
      <c r="A8228" s="117">
        <v>42925</v>
      </c>
      <c r="B8228" s="116">
        <f t="shared" si="130"/>
        <v>72</v>
      </c>
    </row>
    <row r="8229" spans="1:2" x14ac:dyDescent="0.2">
      <c r="A8229" s="117">
        <v>42926</v>
      </c>
      <c r="B8229" s="116">
        <f t="shared" ref="B8229:B8292" si="131">VLOOKUP(WEEKNUM(A8229),$D$4:$E$59,2)</f>
        <v>72</v>
      </c>
    </row>
    <row r="8230" spans="1:2" x14ac:dyDescent="0.2">
      <c r="A8230" s="117">
        <v>42927</v>
      </c>
      <c r="B8230" s="116">
        <f t="shared" si="131"/>
        <v>72</v>
      </c>
    </row>
    <row r="8231" spans="1:2" x14ac:dyDescent="0.2">
      <c r="A8231" s="117">
        <v>42928</v>
      </c>
      <c r="B8231" s="116">
        <f t="shared" si="131"/>
        <v>72</v>
      </c>
    </row>
    <row r="8232" spans="1:2" x14ac:dyDescent="0.2">
      <c r="A8232" s="117">
        <v>42929</v>
      </c>
      <c r="B8232" s="116">
        <f t="shared" si="131"/>
        <v>72</v>
      </c>
    </row>
    <row r="8233" spans="1:2" x14ac:dyDescent="0.2">
      <c r="A8233" s="117">
        <v>42930</v>
      </c>
      <c r="B8233" s="116">
        <f t="shared" si="131"/>
        <v>72</v>
      </c>
    </row>
    <row r="8234" spans="1:2" x14ac:dyDescent="0.2">
      <c r="A8234" s="117">
        <v>42931</v>
      </c>
      <c r="B8234" s="116">
        <f t="shared" si="131"/>
        <v>72</v>
      </c>
    </row>
    <row r="8235" spans="1:2" x14ac:dyDescent="0.2">
      <c r="A8235" s="117">
        <v>42932</v>
      </c>
      <c r="B8235" s="116">
        <f t="shared" si="131"/>
        <v>73</v>
      </c>
    </row>
    <row r="8236" spans="1:2" x14ac:dyDescent="0.2">
      <c r="A8236" s="117">
        <v>42933</v>
      </c>
      <c r="B8236" s="116">
        <f t="shared" si="131"/>
        <v>73</v>
      </c>
    </row>
    <row r="8237" spans="1:2" x14ac:dyDescent="0.2">
      <c r="A8237" s="117">
        <v>42934</v>
      </c>
      <c r="B8237" s="116">
        <f t="shared" si="131"/>
        <v>73</v>
      </c>
    </row>
    <row r="8238" spans="1:2" x14ac:dyDescent="0.2">
      <c r="A8238" s="117">
        <v>42935</v>
      </c>
      <c r="B8238" s="116">
        <f t="shared" si="131"/>
        <v>73</v>
      </c>
    </row>
    <row r="8239" spans="1:2" x14ac:dyDescent="0.2">
      <c r="A8239" s="117">
        <v>42936</v>
      </c>
      <c r="B8239" s="116">
        <f t="shared" si="131"/>
        <v>73</v>
      </c>
    </row>
    <row r="8240" spans="1:2" x14ac:dyDescent="0.2">
      <c r="A8240" s="117">
        <v>42937</v>
      </c>
      <c r="B8240" s="116">
        <f t="shared" si="131"/>
        <v>73</v>
      </c>
    </row>
    <row r="8241" spans="1:2" x14ac:dyDescent="0.2">
      <c r="A8241" s="117">
        <v>42938</v>
      </c>
      <c r="B8241" s="116">
        <f t="shared" si="131"/>
        <v>73</v>
      </c>
    </row>
    <row r="8242" spans="1:2" x14ac:dyDescent="0.2">
      <c r="A8242" s="117">
        <v>42939</v>
      </c>
      <c r="B8242" s="116">
        <f t="shared" si="131"/>
        <v>74</v>
      </c>
    </row>
    <row r="8243" spans="1:2" x14ac:dyDescent="0.2">
      <c r="A8243" s="117">
        <v>42940</v>
      </c>
      <c r="B8243" s="116">
        <f t="shared" si="131"/>
        <v>74</v>
      </c>
    </row>
    <row r="8244" spans="1:2" x14ac:dyDescent="0.2">
      <c r="A8244" s="117">
        <v>42941</v>
      </c>
      <c r="B8244" s="116">
        <f t="shared" si="131"/>
        <v>74</v>
      </c>
    </row>
    <row r="8245" spans="1:2" x14ac:dyDescent="0.2">
      <c r="A8245" s="117">
        <v>42942</v>
      </c>
      <c r="B8245" s="116">
        <f t="shared" si="131"/>
        <v>74</v>
      </c>
    </row>
    <row r="8246" spans="1:2" x14ac:dyDescent="0.2">
      <c r="A8246" s="117">
        <v>42943</v>
      </c>
      <c r="B8246" s="116">
        <f t="shared" si="131"/>
        <v>74</v>
      </c>
    </row>
    <row r="8247" spans="1:2" x14ac:dyDescent="0.2">
      <c r="A8247" s="117">
        <v>42944</v>
      </c>
      <c r="B8247" s="116">
        <f t="shared" si="131"/>
        <v>74</v>
      </c>
    </row>
    <row r="8248" spans="1:2" x14ac:dyDescent="0.2">
      <c r="A8248" s="117">
        <v>42945</v>
      </c>
      <c r="B8248" s="116">
        <f t="shared" si="131"/>
        <v>74</v>
      </c>
    </row>
    <row r="8249" spans="1:2" x14ac:dyDescent="0.2">
      <c r="A8249" s="117">
        <v>42946</v>
      </c>
      <c r="B8249" s="116">
        <f t="shared" si="131"/>
        <v>75</v>
      </c>
    </row>
    <row r="8250" spans="1:2" x14ac:dyDescent="0.2">
      <c r="A8250" s="117">
        <v>42947</v>
      </c>
      <c r="B8250" s="116">
        <f t="shared" si="131"/>
        <v>75</v>
      </c>
    </row>
    <row r="8251" spans="1:2" x14ac:dyDescent="0.2">
      <c r="A8251" s="117">
        <v>42948</v>
      </c>
      <c r="B8251" s="116">
        <f t="shared" si="131"/>
        <v>75</v>
      </c>
    </row>
    <row r="8252" spans="1:2" x14ac:dyDescent="0.2">
      <c r="A8252" s="117">
        <v>42949</v>
      </c>
      <c r="B8252" s="116">
        <f t="shared" si="131"/>
        <v>75</v>
      </c>
    </row>
    <row r="8253" spans="1:2" x14ac:dyDescent="0.2">
      <c r="A8253" s="117">
        <v>42950</v>
      </c>
      <c r="B8253" s="116">
        <f t="shared" si="131"/>
        <v>75</v>
      </c>
    </row>
    <row r="8254" spans="1:2" x14ac:dyDescent="0.2">
      <c r="A8254" s="117">
        <v>42951</v>
      </c>
      <c r="B8254" s="116">
        <f t="shared" si="131"/>
        <v>75</v>
      </c>
    </row>
    <row r="8255" spans="1:2" x14ac:dyDescent="0.2">
      <c r="A8255" s="117">
        <v>42952</v>
      </c>
      <c r="B8255" s="116">
        <f t="shared" si="131"/>
        <v>75</v>
      </c>
    </row>
    <row r="8256" spans="1:2" x14ac:dyDescent="0.2">
      <c r="A8256" s="117">
        <v>42953</v>
      </c>
      <c r="B8256" s="116">
        <f t="shared" si="131"/>
        <v>81</v>
      </c>
    </row>
    <row r="8257" spans="1:2" x14ac:dyDescent="0.2">
      <c r="A8257" s="117">
        <v>42954</v>
      </c>
      <c r="B8257" s="116">
        <f t="shared" si="131"/>
        <v>81</v>
      </c>
    </row>
    <row r="8258" spans="1:2" x14ac:dyDescent="0.2">
      <c r="A8258" s="117">
        <v>42955</v>
      </c>
      <c r="B8258" s="116">
        <f t="shared" si="131"/>
        <v>81</v>
      </c>
    </row>
    <row r="8259" spans="1:2" x14ac:dyDescent="0.2">
      <c r="A8259" s="117">
        <v>42956</v>
      </c>
      <c r="B8259" s="116">
        <f t="shared" si="131"/>
        <v>81</v>
      </c>
    </row>
    <row r="8260" spans="1:2" x14ac:dyDescent="0.2">
      <c r="A8260" s="117">
        <v>42957</v>
      </c>
      <c r="B8260" s="116">
        <f t="shared" si="131"/>
        <v>81</v>
      </c>
    </row>
    <row r="8261" spans="1:2" x14ac:dyDescent="0.2">
      <c r="A8261" s="117">
        <v>42958</v>
      </c>
      <c r="B8261" s="116">
        <f t="shared" si="131"/>
        <v>81</v>
      </c>
    </row>
    <row r="8262" spans="1:2" x14ac:dyDescent="0.2">
      <c r="A8262" s="117">
        <v>42959</v>
      </c>
      <c r="B8262" s="116">
        <f t="shared" si="131"/>
        <v>81</v>
      </c>
    </row>
    <row r="8263" spans="1:2" x14ac:dyDescent="0.2">
      <c r="A8263" s="117">
        <v>42960</v>
      </c>
      <c r="B8263" s="116">
        <f t="shared" si="131"/>
        <v>82</v>
      </c>
    </row>
    <row r="8264" spans="1:2" x14ac:dyDescent="0.2">
      <c r="A8264" s="117">
        <v>42961</v>
      </c>
      <c r="B8264" s="116">
        <f t="shared" si="131"/>
        <v>82</v>
      </c>
    </row>
    <row r="8265" spans="1:2" x14ac:dyDescent="0.2">
      <c r="A8265" s="117">
        <v>42962</v>
      </c>
      <c r="B8265" s="116">
        <f t="shared" si="131"/>
        <v>82</v>
      </c>
    </row>
    <row r="8266" spans="1:2" x14ac:dyDescent="0.2">
      <c r="A8266" s="117">
        <v>42963</v>
      </c>
      <c r="B8266" s="116">
        <f t="shared" si="131"/>
        <v>82</v>
      </c>
    </row>
    <row r="8267" spans="1:2" x14ac:dyDescent="0.2">
      <c r="A8267" s="117">
        <v>42964</v>
      </c>
      <c r="B8267" s="116">
        <f t="shared" si="131"/>
        <v>82</v>
      </c>
    </row>
    <row r="8268" spans="1:2" x14ac:dyDescent="0.2">
      <c r="A8268" s="117">
        <v>42965</v>
      </c>
      <c r="B8268" s="116">
        <f t="shared" si="131"/>
        <v>82</v>
      </c>
    </row>
    <row r="8269" spans="1:2" x14ac:dyDescent="0.2">
      <c r="A8269" s="117">
        <v>42966</v>
      </c>
      <c r="B8269" s="116">
        <f t="shared" si="131"/>
        <v>82</v>
      </c>
    </row>
    <row r="8270" spans="1:2" x14ac:dyDescent="0.2">
      <c r="A8270" s="117">
        <v>42967</v>
      </c>
      <c r="B8270" s="116">
        <f t="shared" si="131"/>
        <v>83</v>
      </c>
    </row>
    <row r="8271" spans="1:2" x14ac:dyDescent="0.2">
      <c r="A8271" s="117">
        <v>42968</v>
      </c>
      <c r="B8271" s="116">
        <f t="shared" si="131"/>
        <v>83</v>
      </c>
    </row>
    <row r="8272" spans="1:2" x14ac:dyDescent="0.2">
      <c r="A8272" s="117">
        <v>42969</v>
      </c>
      <c r="B8272" s="116">
        <f t="shared" si="131"/>
        <v>83</v>
      </c>
    </row>
    <row r="8273" spans="1:2" x14ac:dyDescent="0.2">
      <c r="A8273" s="117">
        <v>42970</v>
      </c>
      <c r="B8273" s="116">
        <f t="shared" si="131"/>
        <v>83</v>
      </c>
    </row>
    <row r="8274" spans="1:2" x14ac:dyDescent="0.2">
      <c r="A8274" s="117">
        <v>42971</v>
      </c>
      <c r="B8274" s="116">
        <f t="shared" si="131"/>
        <v>83</v>
      </c>
    </row>
    <row r="8275" spans="1:2" x14ac:dyDescent="0.2">
      <c r="A8275" s="117">
        <v>42972</v>
      </c>
      <c r="B8275" s="116">
        <f t="shared" si="131"/>
        <v>83</v>
      </c>
    </row>
    <row r="8276" spans="1:2" x14ac:dyDescent="0.2">
      <c r="A8276" s="117">
        <v>42973</v>
      </c>
      <c r="B8276" s="116">
        <f t="shared" si="131"/>
        <v>83</v>
      </c>
    </row>
    <row r="8277" spans="1:2" x14ac:dyDescent="0.2">
      <c r="A8277" s="117">
        <v>42974</v>
      </c>
      <c r="B8277" s="116">
        <f t="shared" si="131"/>
        <v>84</v>
      </c>
    </row>
    <row r="8278" spans="1:2" x14ac:dyDescent="0.2">
      <c r="A8278" s="117">
        <v>42975</v>
      </c>
      <c r="B8278" s="116">
        <f t="shared" si="131"/>
        <v>84</v>
      </c>
    </row>
    <row r="8279" spans="1:2" x14ac:dyDescent="0.2">
      <c r="A8279" s="117">
        <v>42976</v>
      </c>
      <c r="B8279" s="116">
        <f t="shared" si="131"/>
        <v>84</v>
      </c>
    </row>
    <row r="8280" spans="1:2" x14ac:dyDescent="0.2">
      <c r="A8280" s="117">
        <v>42977</v>
      </c>
      <c r="B8280" s="116">
        <f t="shared" si="131"/>
        <v>84</v>
      </c>
    </row>
    <row r="8281" spans="1:2" x14ac:dyDescent="0.2">
      <c r="A8281" s="117">
        <v>42978</v>
      </c>
      <c r="B8281" s="116">
        <f t="shared" si="131"/>
        <v>84</v>
      </c>
    </row>
    <row r="8282" spans="1:2" x14ac:dyDescent="0.2">
      <c r="A8282" s="117">
        <v>42979</v>
      </c>
      <c r="B8282" s="116">
        <f t="shared" si="131"/>
        <v>84</v>
      </c>
    </row>
    <row r="8283" spans="1:2" x14ac:dyDescent="0.2">
      <c r="A8283" s="117">
        <v>42980</v>
      </c>
      <c r="B8283" s="116">
        <f t="shared" si="131"/>
        <v>84</v>
      </c>
    </row>
    <row r="8284" spans="1:2" x14ac:dyDescent="0.2">
      <c r="A8284" s="117">
        <v>42981</v>
      </c>
      <c r="B8284" s="116">
        <f t="shared" si="131"/>
        <v>91</v>
      </c>
    </row>
    <row r="8285" spans="1:2" x14ac:dyDescent="0.2">
      <c r="A8285" s="117">
        <v>42982</v>
      </c>
      <c r="B8285" s="116">
        <f t="shared" si="131"/>
        <v>91</v>
      </c>
    </row>
    <row r="8286" spans="1:2" x14ac:dyDescent="0.2">
      <c r="A8286" s="117">
        <v>42983</v>
      </c>
      <c r="B8286" s="116">
        <f t="shared" si="131"/>
        <v>91</v>
      </c>
    </row>
    <row r="8287" spans="1:2" x14ac:dyDescent="0.2">
      <c r="A8287" s="117">
        <v>42984</v>
      </c>
      <c r="B8287" s="116">
        <f t="shared" si="131"/>
        <v>91</v>
      </c>
    </row>
    <row r="8288" spans="1:2" x14ac:dyDescent="0.2">
      <c r="A8288" s="117">
        <v>42985</v>
      </c>
      <c r="B8288" s="116">
        <f t="shared" si="131"/>
        <v>91</v>
      </c>
    </row>
    <row r="8289" spans="1:2" x14ac:dyDescent="0.2">
      <c r="A8289" s="117">
        <v>42986</v>
      </c>
      <c r="B8289" s="116">
        <f t="shared" si="131"/>
        <v>91</v>
      </c>
    </row>
    <row r="8290" spans="1:2" x14ac:dyDescent="0.2">
      <c r="A8290" s="117">
        <v>42987</v>
      </c>
      <c r="B8290" s="116">
        <f t="shared" si="131"/>
        <v>91</v>
      </c>
    </row>
    <row r="8291" spans="1:2" x14ac:dyDescent="0.2">
      <c r="A8291" s="117">
        <v>42988</v>
      </c>
      <c r="B8291" s="116">
        <f t="shared" si="131"/>
        <v>92</v>
      </c>
    </row>
    <row r="8292" spans="1:2" x14ac:dyDescent="0.2">
      <c r="A8292" s="117">
        <v>42989</v>
      </c>
      <c r="B8292" s="116">
        <f t="shared" si="131"/>
        <v>92</v>
      </c>
    </row>
    <row r="8293" spans="1:2" x14ac:dyDescent="0.2">
      <c r="A8293" s="117">
        <v>42990</v>
      </c>
      <c r="B8293" s="116">
        <f t="shared" ref="B8293:B8356" si="132">VLOOKUP(WEEKNUM(A8293),$D$4:$E$59,2)</f>
        <v>92</v>
      </c>
    </row>
    <row r="8294" spans="1:2" x14ac:dyDescent="0.2">
      <c r="A8294" s="117">
        <v>42991</v>
      </c>
      <c r="B8294" s="116">
        <f t="shared" si="132"/>
        <v>92</v>
      </c>
    </row>
    <row r="8295" spans="1:2" x14ac:dyDescent="0.2">
      <c r="A8295" s="117">
        <v>42992</v>
      </c>
      <c r="B8295" s="116">
        <f t="shared" si="132"/>
        <v>92</v>
      </c>
    </row>
    <row r="8296" spans="1:2" x14ac:dyDescent="0.2">
      <c r="A8296" s="117">
        <v>42993</v>
      </c>
      <c r="B8296" s="116">
        <f t="shared" si="132"/>
        <v>92</v>
      </c>
    </row>
    <row r="8297" spans="1:2" x14ac:dyDescent="0.2">
      <c r="A8297" s="117">
        <v>42994</v>
      </c>
      <c r="B8297" s="116">
        <f t="shared" si="132"/>
        <v>92</v>
      </c>
    </row>
    <row r="8298" spans="1:2" x14ac:dyDescent="0.2">
      <c r="A8298" s="117">
        <v>42995</v>
      </c>
      <c r="B8298" s="116">
        <f t="shared" si="132"/>
        <v>93</v>
      </c>
    </row>
    <row r="8299" spans="1:2" x14ac:dyDescent="0.2">
      <c r="A8299" s="117">
        <v>42996</v>
      </c>
      <c r="B8299" s="116">
        <f t="shared" si="132"/>
        <v>93</v>
      </c>
    </row>
    <row r="8300" spans="1:2" x14ac:dyDescent="0.2">
      <c r="A8300" s="117">
        <v>42997</v>
      </c>
      <c r="B8300" s="116">
        <f t="shared" si="132"/>
        <v>93</v>
      </c>
    </row>
    <row r="8301" spans="1:2" x14ac:dyDescent="0.2">
      <c r="A8301" s="117">
        <v>42998</v>
      </c>
      <c r="B8301" s="116">
        <f t="shared" si="132"/>
        <v>93</v>
      </c>
    </row>
    <row r="8302" spans="1:2" x14ac:dyDescent="0.2">
      <c r="A8302" s="117">
        <v>42999</v>
      </c>
      <c r="B8302" s="116">
        <f t="shared" si="132"/>
        <v>93</v>
      </c>
    </row>
    <row r="8303" spans="1:2" x14ac:dyDescent="0.2">
      <c r="A8303" s="117">
        <v>43000</v>
      </c>
      <c r="B8303" s="116">
        <f t="shared" si="132"/>
        <v>93</v>
      </c>
    </row>
    <row r="8304" spans="1:2" x14ac:dyDescent="0.2">
      <c r="A8304" s="117">
        <v>43001</v>
      </c>
      <c r="B8304" s="116">
        <f t="shared" si="132"/>
        <v>93</v>
      </c>
    </row>
    <row r="8305" spans="1:2" x14ac:dyDescent="0.2">
      <c r="A8305" s="117">
        <v>43002</v>
      </c>
      <c r="B8305" s="116">
        <f t="shared" si="132"/>
        <v>94</v>
      </c>
    </row>
    <row r="8306" spans="1:2" x14ac:dyDescent="0.2">
      <c r="A8306" s="117">
        <v>43003</v>
      </c>
      <c r="B8306" s="116">
        <f t="shared" si="132"/>
        <v>94</v>
      </c>
    </row>
    <row r="8307" spans="1:2" x14ac:dyDescent="0.2">
      <c r="A8307" s="117">
        <v>43004</v>
      </c>
      <c r="B8307" s="116">
        <f t="shared" si="132"/>
        <v>94</v>
      </c>
    </row>
    <row r="8308" spans="1:2" x14ac:dyDescent="0.2">
      <c r="A8308" s="117">
        <v>43005</v>
      </c>
      <c r="B8308" s="116">
        <f t="shared" si="132"/>
        <v>94</v>
      </c>
    </row>
    <row r="8309" spans="1:2" x14ac:dyDescent="0.2">
      <c r="A8309" s="117">
        <v>43006</v>
      </c>
      <c r="B8309" s="116">
        <f t="shared" si="132"/>
        <v>94</v>
      </c>
    </row>
    <row r="8310" spans="1:2" x14ac:dyDescent="0.2">
      <c r="A8310" s="117">
        <v>43007</v>
      </c>
      <c r="B8310" s="116">
        <f t="shared" si="132"/>
        <v>94</v>
      </c>
    </row>
    <row r="8311" spans="1:2" x14ac:dyDescent="0.2">
      <c r="A8311" s="117">
        <v>43008</v>
      </c>
      <c r="B8311" s="116">
        <f t="shared" si="132"/>
        <v>94</v>
      </c>
    </row>
    <row r="8312" spans="1:2" x14ac:dyDescent="0.2">
      <c r="A8312" s="117">
        <v>43009</v>
      </c>
      <c r="B8312" s="116">
        <f t="shared" si="132"/>
        <v>101</v>
      </c>
    </row>
    <row r="8313" spans="1:2" x14ac:dyDescent="0.2">
      <c r="A8313" s="117">
        <v>43010</v>
      </c>
      <c r="B8313" s="116">
        <f t="shared" si="132"/>
        <v>101</v>
      </c>
    </row>
    <row r="8314" spans="1:2" x14ac:dyDescent="0.2">
      <c r="A8314" s="117">
        <v>43011</v>
      </c>
      <c r="B8314" s="116">
        <f t="shared" si="132"/>
        <v>101</v>
      </c>
    </row>
    <row r="8315" spans="1:2" x14ac:dyDescent="0.2">
      <c r="A8315" s="117">
        <v>43012</v>
      </c>
      <c r="B8315" s="116">
        <f t="shared" si="132"/>
        <v>101</v>
      </c>
    </row>
    <row r="8316" spans="1:2" x14ac:dyDescent="0.2">
      <c r="A8316" s="117">
        <v>43013</v>
      </c>
      <c r="B8316" s="116">
        <f t="shared" si="132"/>
        <v>101</v>
      </c>
    </row>
    <row r="8317" spans="1:2" x14ac:dyDescent="0.2">
      <c r="A8317" s="117">
        <v>43014</v>
      </c>
      <c r="B8317" s="116">
        <f t="shared" si="132"/>
        <v>101</v>
      </c>
    </row>
    <row r="8318" spans="1:2" x14ac:dyDescent="0.2">
      <c r="A8318" s="117">
        <v>43015</v>
      </c>
      <c r="B8318" s="116">
        <f t="shared" si="132"/>
        <v>101</v>
      </c>
    </row>
    <row r="8319" spans="1:2" x14ac:dyDescent="0.2">
      <c r="A8319" s="117">
        <v>43016</v>
      </c>
      <c r="B8319" s="116">
        <f t="shared" si="132"/>
        <v>102</v>
      </c>
    </row>
    <row r="8320" spans="1:2" x14ac:dyDescent="0.2">
      <c r="A8320" s="117">
        <v>43017</v>
      </c>
      <c r="B8320" s="116">
        <f t="shared" si="132"/>
        <v>102</v>
      </c>
    </row>
    <row r="8321" spans="1:2" x14ac:dyDescent="0.2">
      <c r="A8321" s="117">
        <v>43018</v>
      </c>
      <c r="B8321" s="116">
        <f t="shared" si="132"/>
        <v>102</v>
      </c>
    </row>
    <row r="8322" spans="1:2" x14ac:dyDescent="0.2">
      <c r="A8322" s="117">
        <v>43019</v>
      </c>
      <c r="B8322" s="116">
        <f t="shared" si="132"/>
        <v>102</v>
      </c>
    </row>
    <row r="8323" spans="1:2" x14ac:dyDescent="0.2">
      <c r="A8323" s="117">
        <v>43020</v>
      </c>
      <c r="B8323" s="116">
        <f t="shared" si="132"/>
        <v>102</v>
      </c>
    </row>
    <row r="8324" spans="1:2" x14ac:dyDescent="0.2">
      <c r="A8324" s="117">
        <v>43021</v>
      </c>
      <c r="B8324" s="116">
        <f t="shared" si="132"/>
        <v>102</v>
      </c>
    </row>
    <row r="8325" spans="1:2" x14ac:dyDescent="0.2">
      <c r="A8325" s="117">
        <v>43022</v>
      </c>
      <c r="B8325" s="116">
        <f t="shared" si="132"/>
        <v>102</v>
      </c>
    </row>
    <row r="8326" spans="1:2" x14ac:dyDescent="0.2">
      <c r="A8326" s="117">
        <v>43023</v>
      </c>
      <c r="B8326" s="116">
        <f t="shared" si="132"/>
        <v>103</v>
      </c>
    </row>
    <row r="8327" spans="1:2" x14ac:dyDescent="0.2">
      <c r="A8327" s="117">
        <v>43024</v>
      </c>
      <c r="B8327" s="116">
        <f t="shared" si="132"/>
        <v>103</v>
      </c>
    </row>
    <row r="8328" spans="1:2" x14ac:dyDescent="0.2">
      <c r="A8328" s="117">
        <v>43025</v>
      </c>
      <c r="B8328" s="116">
        <f t="shared" si="132"/>
        <v>103</v>
      </c>
    </row>
    <row r="8329" spans="1:2" x14ac:dyDescent="0.2">
      <c r="A8329" s="117">
        <v>43026</v>
      </c>
      <c r="B8329" s="116">
        <f t="shared" si="132"/>
        <v>103</v>
      </c>
    </row>
    <row r="8330" spans="1:2" x14ac:dyDescent="0.2">
      <c r="A8330" s="117">
        <v>43027</v>
      </c>
      <c r="B8330" s="116">
        <f t="shared" si="132"/>
        <v>103</v>
      </c>
    </row>
    <row r="8331" spans="1:2" x14ac:dyDescent="0.2">
      <c r="A8331" s="117">
        <v>43028</v>
      </c>
      <c r="B8331" s="116">
        <f t="shared" si="132"/>
        <v>103</v>
      </c>
    </row>
    <row r="8332" spans="1:2" x14ac:dyDescent="0.2">
      <c r="A8332" s="117">
        <v>43029</v>
      </c>
      <c r="B8332" s="116">
        <f t="shared" si="132"/>
        <v>103</v>
      </c>
    </row>
    <row r="8333" spans="1:2" x14ac:dyDescent="0.2">
      <c r="A8333" s="117">
        <v>43030</v>
      </c>
      <c r="B8333" s="116">
        <f t="shared" si="132"/>
        <v>104</v>
      </c>
    </row>
    <row r="8334" spans="1:2" x14ac:dyDescent="0.2">
      <c r="A8334" s="117">
        <v>43031</v>
      </c>
      <c r="B8334" s="116">
        <f t="shared" si="132"/>
        <v>104</v>
      </c>
    </row>
    <row r="8335" spans="1:2" x14ac:dyDescent="0.2">
      <c r="A8335" s="117">
        <v>43032</v>
      </c>
      <c r="B8335" s="116">
        <f t="shared" si="132"/>
        <v>104</v>
      </c>
    </row>
    <row r="8336" spans="1:2" x14ac:dyDescent="0.2">
      <c r="A8336" s="117">
        <v>43033</v>
      </c>
      <c r="B8336" s="116">
        <f t="shared" si="132"/>
        <v>104</v>
      </c>
    </row>
    <row r="8337" spans="1:2" x14ac:dyDescent="0.2">
      <c r="A8337" s="117">
        <v>43034</v>
      </c>
      <c r="B8337" s="116">
        <f t="shared" si="132"/>
        <v>104</v>
      </c>
    </row>
    <row r="8338" spans="1:2" x14ac:dyDescent="0.2">
      <c r="A8338" s="117">
        <v>43035</v>
      </c>
      <c r="B8338" s="116">
        <f t="shared" si="132"/>
        <v>104</v>
      </c>
    </row>
    <row r="8339" spans="1:2" x14ac:dyDescent="0.2">
      <c r="A8339" s="117">
        <v>43036</v>
      </c>
      <c r="B8339" s="116">
        <f t="shared" si="132"/>
        <v>104</v>
      </c>
    </row>
    <row r="8340" spans="1:2" x14ac:dyDescent="0.2">
      <c r="A8340" s="117">
        <v>43037</v>
      </c>
      <c r="B8340" s="116">
        <f t="shared" si="132"/>
        <v>105</v>
      </c>
    </row>
    <row r="8341" spans="1:2" x14ac:dyDescent="0.2">
      <c r="A8341" s="117">
        <v>43038</v>
      </c>
      <c r="B8341" s="116">
        <f t="shared" si="132"/>
        <v>105</v>
      </c>
    </row>
    <row r="8342" spans="1:2" x14ac:dyDescent="0.2">
      <c r="A8342" s="117">
        <v>43039</v>
      </c>
      <c r="B8342" s="116">
        <f t="shared" si="132"/>
        <v>105</v>
      </c>
    </row>
    <row r="8343" spans="1:2" x14ac:dyDescent="0.2">
      <c r="A8343" s="117">
        <v>43040</v>
      </c>
      <c r="B8343" s="116">
        <f t="shared" si="132"/>
        <v>105</v>
      </c>
    </row>
    <row r="8344" spans="1:2" x14ac:dyDescent="0.2">
      <c r="A8344" s="117">
        <v>43041</v>
      </c>
      <c r="B8344" s="116">
        <f t="shared" si="132"/>
        <v>105</v>
      </c>
    </row>
    <row r="8345" spans="1:2" x14ac:dyDescent="0.2">
      <c r="A8345" s="117">
        <v>43042</v>
      </c>
      <c r="B8345" s="116">
        <f t="shared" si="132"/>
        <v>105</v>
      </c>
    </row>
    <row r="8346" spans="1:2" x14ac:dyDescent="0.2">
      <c r="A8346" s="117">
        <v>43043</v>
      </c>
      <c r="B8346" s="116">
        <f t="shared" si="132"/>
        <v>105</v>
      </c>
    </row>
    <row r="8347" spans="1:2" x14ac:dyDescent="0.2">
      <c r="A8347" s="117">
        <v>43044</v>
      </c>
      <c r="B8347" s="116">
        <f t="shared" si="132"/>
        <v>111</v>
      </c>
    </row>
    <row r="8348" spans="1:2" x14ac:dyDescent="0.2">
      <c r="A8348" s="117">
        <v>43045</v>
      </c>
      <c r="B8348" s="116">
        <f t="shared" si="132"/>
        <v>111</v>
      </c>
    </row>
    <row r="8349" spans="1:2" x14ac:dyDescent="0.2">
      <c r="A8349" s="117">
        <v>43046</v>
      </c>
      <c r="B8349" s="116">
        <f t="shared" si="132"/>
        <v>111</v>
      </c>
    </row>
    <row r="8350" spans="1:2" x14ac:dyDescent="0.2">
      <c r="A8350" s="117">
        <v>43047</v>
      </c>
      <c r="B8350" s="116">
        <f t="shared" si="132"/>
        <v>111</v>
      </c>
    </row>
    <row r="8351" spans="1:2" x14ac:dyDescent="0.2">
      <c r="A8351" s="117">
        <v>43048</v>
      </c>
      <c r="B8351" s="116">
        <f t="shared" si="132"/>
        <v>111</v>
      </c>
    </row>
    <row r="8352" spans="1:2" x14ac:dyDescent="0.2">
      <c r="A8352" s="117">
        <v>43049</v>
      </c>
      <c r="B8352" s="116">
        <f t="shared" si="132"/>
        <v>111</v>
      </c>
    </row>
    <row r="8353" spans="1:2" x14ac:dyDescent="0.2">
      <c r="A8353" s="117">
        <v>43050</v>
      </c>
      <c r="B8353" s="116">
        <f t="shared" si="132"/>
        <v>111</v>
      </c>
    </row>
    <row r="8354" spans="1:2" x14ac:dyDescent="0.2">
      <c r="A8354" s="117">
        <v>43051</v>
      </c>
      <c r="B8354" s="116">
        <f t="shared" si="132"/>
        <v>112</v>
      </c>
    </row>
    <row r="8355" spans="1:2" x14ac:dyDescent="0.2">
      <c r="A8355" s="117">
        <v>43052</v>
      </c>
      <c r="B8355" s="116">
        <f t="shared" si="132"/>
        <v>112</v>
      </c>
    </row>
    <row r="8356" spans="1:2" x14ac:dyDescent="0.2">
      <c r="A8356" s="117">
        <v>43053</v>
      </c>
      <c r="B8356" s="116">
        <f t="shared" si="132"/>
        <v>112</v>
      </c>
    </row>
    <row r="8357" spans="1:2" x14ac:dyDescent="0.2">
      <c r="A8357" s="117">
        <v>43054</v>
      </c>
      <c r="B8357" s="116">
        <f t="shared" ref="B8357:B8420" si="133">VLOOKUP(WEEKNUM(A8357),$D$4:$E$59,2)</f>
        <v>112</v>
      </c>
    </row>
    <row r="8358" spans="1:2" x14ac:dyDescent="0.2">
      <c r="A8358" s="117">
        <v>43055</v>
      </c>
      <c r="B8358" s="116">
        <f t="shared" si="133"/>
        <v>112</v>
      </c>
    </row>
    <row r="8359" spans="1:2" x14ac:dyDescent="0.2">
      <c r="A8359" s="117">
        <v>43056</v>
      </c>
      <c r="B8359" s="116">
        <f t="shared" si="133"/>
        <v>112</v>
      </c>
    </row>
    <row r="8360" spans="1:2" x14ac:dyDescent="0.2">
      <c r="A8360" s="117">
        <v>43057</v>
      </c>
      <c r="B8360" s="116">
        <f t="shared" si="133"/>
        <v>112</v>
      </c>
    </row>
    <row r="8361" spans="1:2" x14ac:dyDescent="0.2">
      <c r="A8361" s="117">
        <v>43058</v>
      </c>
      <c r="B8361" s="116">
        <f t="shared" si="133"/>
        <v>113</v>
      </c>
    </row>
    <row r="8362" spans="1:2" x14ac:dyDescent="0.2">
      <c r="A8362" s="117">
        <v>43059</v>
      </c>
      <c r="B8362" s="116">
        <f t="shared" si="133"/>
        <v>113</v>
      </c>
    </row>
    <row r="8363" spans="1:2" x14ac:dyDescent="0.2">
      <c r="A8363" s="117">
        <v>43060</v>
      </c>
      <c r="B8363" s="116">
        <f t="shared" si="133"/>
        <v>113</v>
      </c>
    </row>
    <row r="8364" spans="1:2" x14ac:dyDescent="0.2">
      <c r="A8364" s="117">
        <v>43061</v>
      </c>
      <c r="B8364" s="116">
        <f t="shared" si="133"/>
        <v>113</v>
      </c>
    </row>
    <row r="8365" spans="1:2" x14ac:dyDescent="0.2">
      <c r="A8365" s="117">
        <v>43062</v>
      </c>
      <c r="B8365" s="116">
        <f t="shared" si="133"/>
        <v>113</v>
      </c>
    </row>
    <row r="8366" spans="1:2" x14ac:dyDescent="0.2">
      <c r="A8366" s="117">
        <v>43063</v>
      </c>
      <c r="B8366" s="116">
        <f t="shared" si="133"/>
        <v>113</v>
      </c>
    </row>
    <row r="8367" spans="1:2" x14ac:dyDescent="0.2">
      <c r="A8367" s="117">
        <v>43064</v>
      </c>
      <c r="B8367" s="116">
        <f t="shared" si="133"/>
        <v>113</v>
      </c>
    </row>
    <row r="8368" spans="1:2" x14ac:dyDescent="0.2">
      <c r="A8368" s="117">
        <v>43065</v>
      </c>
      <c r="B8368" s="116">
        <f t="shared" si="133"/>
        <v>114</v>
      </c>
    </row>
    <row r="8369" spans="1:2" x14ac:dyDescent="0.2">
      <c r="A8369" s="117">
        <v>43066</v>
      </c>
      <c r="B8369" s="116">
        <f t="shared" si="133"/>
        <v>114</v>
      </c>
    </row>
    <row r="8370" spans="1:2" x14ac:dyDescent="0.2">
      <c r="A8370" s="117">
        <v>43067</v>
      </c>
      <c r="B8370" s="116">
        <f t="shared" si="133"/>
        <v>114</v>
      </c>
    </row>
    <row r="8371" spans="1:2" x14ac:dyDescent="0.2">
      <c r="A8371" s="117">
        <v>43068</v>
      </c>
      <c r="B8371" s="116">
        <f t="shared" si="133"/>
        <v>114</v>
      </c>
    </row>
    <row r="8372" spans="1:2" x14ac:dyDescent="0.2">
      <c r="A8372" s="117">
        <v>43069</v>
      </c>
      <c r="B8372" s="116">
        <f t="shared" si="133"/>
        <v>114</v>
      </c>
    </row>
    <row r="8373" spans="1:2" x14ac:dyDescent="0.2">
      <c r="A8373" s="117">
        <v>43070</v>
      </c>
      <c r="B8373" s="116">
        <f t="shared" si="133"/>
        <v>114</v>
      </c>
    </row>
    <row r="8374" spans="1:2" x14ac:dyDescent="0.2">
      <c r="A8374" s="117">
        <v>43071</v>
      </c>
      <c r="B8374" s="116">
        <f t="shared" si="133"/>
        <v>114</v>
      </c>
    </row>
    <row r="8375" spans="1:2" x14ac:dyDescent="0.2">
      <c r="A8375" s="117">
        <v>43072</v>
      </c>
      <c r="B8375" s="116">
        <f t="shared" si="133"/>
        <v>115</v>
      </c>
    </row>
    <row r="8376" spans="1:2" x14ac:dyDescent="0.2">
      <c r="A8376" s="117">
        <v>43073</v>
      </c>
      <c r="B8376" s="116">
        <f t="shared" si="133"/>
        <v>115</v>
      </c>
    </row>
    <row r="8377" spans="1:2" x14ac:dyDescent="0.2">
      <c r="A8377" s="117">
        <v>43074</v>
      </c>
      <c r="B8377" s="116">
        <f t="shared" si="133"/>
        <v>115</v>
      </c>
    </row>
    <row r="8378" spans="1:2" x14ac:dyDescent="0.2">
      <c r="A8378" s="117">
        <v>43075</v>
      </c>
      <c r="B8378" s="116">
        <f t="shared" si="133"/>
        <v>115</v>
      </c>
    </row>
    <row r="8379" spans="1:2" x14ac:dyDescent="0.2">
      <c r="A8379" s="117">
        <v>43076</v>
      </c>
      <c r="B8379" s="116">
        <f t="shared" si="133"/>
        <v>115</v>
      </c>
    </row>
    <row r="8380" spans="1:2" x14ac:dyDescent="0.2">
      <c r="A8380" s="117">
        <v>43077</v>
      </c>
      <c r="B8380" s="116">
        <f t="shared" si="133"/>
        <v>115</v>
      </c>
    </row>
    <row r="8381" spans="1:2" x14ac:dyDescent="0.2">
      <c r="A8381" s="117">
        <v>43078</v>
      </c>
      <c r="B8381" s="116">
        <f t="shared" si="133"/>
        <v>115</v>
      </c>
    </row>
    <row r="8382" spans="1:2" x14ac:dyDescent="0.2">
      <c r="A8382" s="117">
        <v>43079</v>
      </c>
      <c r="B8382" s="116">
        <f t="shared" si="133"/>
        <v>121</v>
      </c>
    </row>
    <row r="8383" spans="1:2" x14ac:dyDescent="0.2">
      <c r="A8383" s="117">
        <v>43080</v>
      </c>
      <c r="B8383" s="116">
        <f t="shared" si="133"/>
        <v>121</v>
      </c>
    </row>
    <row r="8384" spans="1:2" x14ac:dyDescent="0.2">
      <c r="A8384" s="117">
        <v>43081</v>
      </c>
      <c r="B8384" s="116">
        <f t="shared" si="133"/>
        <v>121</v>
      </c>
    </row>
    <row r="8385" spans="1:2" x14ac:dyDescent="0.2">
      <c r="A8385" s="117">
        <v>43082</v>
      </c>
      <c r="B8385" s="116">
        <f t="shared" si="133"/>
        <v>121</v>
      </c>
    </row>
    <row r="8386" spans="1:2" x14ac:dyDescent="0.2">
      <c r="A8386" s="117">
        <v>43083</v>
      </c>
      <c r="B8386" s="116">
        <f t="shared" si="133"/>
        <v>121</v>
      </c>
    </row>
    <row r="8387" spans="1:2" x14ac:dyDescent="0.2">
      <c r="A8387" s="117">
        <v>43084</v>
      </c>
      <c r="B8387" s="116">
        <f t="shared" si="133"/>
        <v>121</v>
      </c>
    </row>
    <row r="8388" spans="1:2" x14ac:dyDescent="0.2">
      <c r="A8388" s="117">
        <v>43085</v>
      </c>
      <c r="B8388" s="116">
        <f t="shared" si="133"/>
        <v>121</v>
      </c>
    </row>
    <row r="8389" spans="1:2" x14ac:dyDescent="0.2">
      <c r="A8389" s="117">
        <v>43086</v>
      </c>
      <c r="B8389" s="116">
        <f t="shared" si="133"/>
        <v>122</v>
      </c>
    </row>
    <row r="8390" spans="1:2" x14ac:dyDescent="0.2">
      <c r="A8390" s="117">
        <v>43087</v>
      </c>
      <c r="B8390" s="116">
        <f t="shared" si="133"/>
        <v>122</v>
      </c>
    </row>
    <row r="8391" spans="1:2" x14ac:dyDescent="0.2">
      <c r="A8391" s="117">
        <v>43088</v>
      </c>
      <c r="B8391" s="116">
        <f t="shared" si="133"/>
        <v>122</v>
      </c>
    </row>
    <row r="8392" spans="1:2" x14ac:dyDescent="0.2">
      <c r="A8392" s="117">
        <v>43089</v>
      </c>
      <c r="B8392" s="116">
        <f t="shared" si="133"/>
        <v>122</v>
      </c>
    </row>
    <row r="8393" spans="1:2" x14ac:dyDescent="0.2">
      <c r="A8393" s="117">
        <v>43090</v>
      </c>
      <c r="B8393" s="116">
        <f t="shared" si="133"/>
        <v>122</v>
      </c>
    </row>
    <row r="8394" spans="1:2" x14ac:dyDescent="0.2">
      <c r="A8394" s="117">
        <v>43091</v>
      </c>
      <c r="B8394" s="116">
        <f t="shared" si="133"/>
        <v>122</v>
      </c>
    </row>
    <row r="8395" spans="1:2" x14ac:dyDescent="0.2">
      <c r="A8395" s="117">
        <v>43092</v>
      </c>
      <c r="B8395" s="116">
        <f t="shared" si="133"/>
        <v>122</v>
      </c>
    </row>
    <row r="8396" spans="1:2" x14ac:dyDescent="0.2">
      <c r="A8396" s="117">
        <v>43093</v>
      </c>
      <c r="B8396" s="116">
        <f t="shared" si="133"/>
        <v>123</v>
      </c>
    </row>
    <row r="8397" spans="1:2" x14ac:dyDescent="0.2">
      <c r="A8397" s="117">
        <v>43094</v>
      </c>
      <c r="B8397" s="116">
        <f t="shared" si="133"/>
        <v>123</v>
      </c>
    </row>
    <row r="8398" spans="1:2" x14ac:dyDescent="0.2">
      <c r="A8398" s="117">
        <v>43095</v>
      </c>
      <c r="B8398" s="116">
        <f t="shared" si="133"/>
        <v>123</v>
      </c>
    </row>
    <row r="8399" spans="1:2" x14ac:dyDescent="0.2">
      <c r="A8399" s="117">
        <v>43096</v>
      </c>
      <c r="B8399" s="116">
        <f t="shared" si="133"/>
        <v>123</v>
      </c>
    </row>
    <row r="8400" spans="1:2" x14ac:dyDescent="0.2">
      <c r="A8400" s="117">
        <v>43097</v>
      </c>
      <c r="B8400" s="116">
        <f t="shared" si="133"/>
        <v>123</v>
      </c>
    </row>
    <row r="8401" spans="1:2" x14ac:dyDescent="0.2">
      <c r="A8401" s="117">
        <v>43098</v>
      </c>
      <c r="B8401" s="116">
        <f t="shared" si="133"/>
        <v>123</v>
      </c>
    </row>
    <row r="8402" spans="1:2" x14ac:dyDescent="0.2">
      <c r="A8402" s="117">
        <v>43099</v>
      </c>
      <c r="B8402" s="116">
        <f t="shared" si="133"/>
        <v>123</v>
      </c>
    </row>
    <row r="8403" spans="1:2" x14ac:dyDescent="0.2">
      <c r="A8403" s="117">
        <v>43100</v>
      </c>
      <c r="B8403" s="116">
        <f t="shared" si="133"/>
        <v>124</v>
      </c>
    </row>
    <row r="8404" spans="1:2" x14ac:dyDescent="0.2">
      <c r="A8404" s="117">
        <v>43101</v>
      </c>
      <c r="B8404" s="116">
        <f t="shared" si="133"/>
        <v>11</v>
      </c>
    </row>
    <row r="8405" spans="1:2" x14ac:dyDescent="0.2">
      <c r="A8405" s="117">
        <v>43102</v>
      </c>
      <c r="B8405" s="116">
        <f t="shared" si="133"/>
        <v>11</v>
      </c>
    </row>
    <row r="8406" spans="1:2" x14ac:dyDescent="0.2">
      <c r="A8406" s="117">
        <v>43103</v>
      </c>
      <c r="B8406" s="116">
        <f t="shared" si="133"/>
        <v>11</v>
      </c>
    </row>
    <row r="8407" spans="1:2" x14ac:dyDescent="0.2">
      <c r="A8407" s="117">
        <v>43104</v>
      </c>
      <c r="B8407" s="116">
        <f t="shared" si="133"/>
        <v>11</v>
      </c>
    </row>
    <row r="8408" spans="1:2" x14ac:dyDescent="0.2">
      <c r="A8408" s="117">
        <v>43105</v>
      </c>
      <c r="B8408" s="116">
        <f t="shared" si="133"/>
        <v>11</v>
      </c>
    </row>
    <row r="8409" spans="1:2" x14ac:dyDescent="0.2">
      <c r="A8409" s="117">
        <v>43106</v>
      </c>
      <c r="B8409" s="116">
        <f t="shared" si="133"/>
        <v>11</v>
      </c>
    </row>
    <row r="8410" spans="1:2" x14ac:dyDescent="0.2">
      <c r="A8410" s="117">
        <v>43107</v>
      </c>
      <c r="B8410" s="116">
        <f t="shared" si="133"/>
        <v>12</v>
      </c>
    </row>
    <row r="8411" spans="1:2" x14ac:dyDescent="0.2">
      <c r="A8411" s="117">
        <v>43108</v>
      </c>
      <c r="B8411" s="116">
        <f t="shared" si="133"/>
        <v>12</v>
      </c>
    </row>
    <row r="8412" spans="1:2" x14ac:dyDescent="0.2">
      <c r="A8412" s="117">
        <v>43109</v>
      </c>
      <c r="B8412" s="116">
        <f t="shared" si="133"/>
        <v>12</v>
      </c>
    </row>
    <row r="8413" spans="1:2" x14ac:dyDescent="0.2">
      <c r="A8413" s="117">
        <v>43110</v>
      </c>
      <c r="B8413" s="116">
        <f t="shared" si="133"/>
        <v>12</v>
      </c>
    </row>
    <row r="8414" spans="1:2" x14ac:dyDescent="0.2">
      <c r="A8414" s="117">
        <v>43111</v>
      </c>
      <c r="B8414" s="116">
        <f t="shared" si="133"/>
        <v>12</v>
      </c>
    </row>
    <row r="8415" spans="1:2" x14ac:dyDescent="0.2">
      <c r="A8415" s="117">
        <v>43112</v>
      </c>
      <c r="B8415" s="116">
        <f t="shared" si="133"/>
        <v>12</v>
      </c>
    </row>
    <row r="8416" spans="1:2" x14ac:dyDescent="0.2">
      <c r="A8416" s="117">
        <v>43113</v>
      </c>
      <c r="B8416" s="116">
        <f t="shared" si="133"/>
        <v>12</v>
      </c>
    </row>
    <row r="8417" spans="1:2" x14ac:dyDescent="0.2">
      <c r="A8417" s="117">
        <v>43114</v>
      </c>
      <c r="B8417" s="116">
        <f t="shared" si="133"/>
        <v>13</v>
      </c>
    </row>
    <row r="8418" spans="1:2" x14ac:dyDescent="0.2">
      <c r="A8418" s="117">
        <v>43115</v>
      </c>
      <c r="B8418" s="116">
        <f t="shared" si="133"/>
        <v>13</v>
      </c>
    </row>
    <row r="8419" spans="1:2" x14ac:dyDescent="0.2">
      <c r="A8419" s="117">
        <v>43116</v>
      </c>
      <c r="B8419" s="116">
        <f t="shared" si="133"/>
        <v>13</v>
      </c>
    </row>
    <row r="8420" spans="1:2" x14ac:dyDescent="0.2">
      <c r="A8420" s="117">
        <v>43117</v>
      </c>
      <c r="B8420" s="116">
        <f t="shared" si="133"/>
        <v>13</v>
      </c>
    </row>
    <row r="8421" spans="1:2" x14ac:dyDescent="0.2">
      <c r="A8421" s="117">
        <v>43118</v>
      </c>
      <c r="B8421" s="116">
        <f t="shared" ref="B8421:B8484" si="134">VLOOKUP(WEEKNUM(A8421),$D$4:$E$59,2)</f>
        <v>13</v>
      </c>
    </row>
    <row r="8422" spans="1:2" x14ac:dyDescent="0.2">
      <c r="A8422" s="117">
        <v>43119</v>
      </c>
      <c r="B8422" s="116">
        <f t="shared" si="134"/>
        <v>13</v>
      </c>
    </row>
    <row r="8423" spans="1:2" x14ac:dyDescent="0.2">
      <c r="A8423" s="117">
        <v>43120</v>
      </c>
      <c r="B8423" s="116">
        <f t="shared" si="134"/>
        <v>13</v>
      </c>
    </row>
    <row r="8424" spans="1:2" x14ac:dyDescent="0.2">
      <c r="A8424" s="117">
        <v>43121</v>
      </c>
      <c r="B8424" s="116">
        <f t="shared" si="134"/>
        <v>14</v>
      </c>
    </row>
    <row r="8425" spans="1:2" x14ac:dyDescent="0.2">
      <c r="A8425" s="117">
        <v>43122</v>
      </c>
      <c r="B8425" s="116">
        <f t="shared" si="134"/>
        <v>14</v>
      </c>
    </row>
    <row r="8426" spans="1:2" x14ac:dyDescent="0.2">
      <c r="A8426" s="117">
        <v>43123</v>
      </c>
      <c r="B8426" s="116">
        <f t="shared" si="134"/>
        <v>14</v>
      </c>
    </row>
    <row r="8427" spans="1:2" x14ac:dyDescent="0.2">
      <c r="A8427" s="117">
        <v>43124</v>
      </c>
      <c r="B8427" s="116">
        <f t="shared" si="134"/>
        <v>14</v>
      </c>
    </row>
    <row r="8428" spans="1:2" x14ac:dyDescent="0.2">
      <c r="A8428" s="117">
        <v>43125</v>
      </c>
      <c r="B8428" s="116">
        <f t="shared" si="134"/>
        <v>14</v>
      </c>
    </row>
    <row r="8429" spans="1:2" x14ac:dyDescent="0.2">
      <c r="A8429" s="117">
        <v>43126</v>
      </c>
      <c r="B8429" s="116">
        <f t="shared" si="134"/>
        <v>14</v>
      </c>
    </row>
    <row r="8430" spans="1:2" x14ac:dyDescent="0.2">
      <c r="A8430" s="117">
        <v>43127</v>
      </c>
      <c r="B8430" s="116">
        <f t="shared" si="134"/>
        <v>14</v>
      </c>
    </row>
    <row r="8431" spans="1:2" x14ac:dyDescent="0.2">
      <c r="A8431" s="117">
        <v>43128</v>
      </c>
      <c r="B8431" s="116">
        <f t="shared" si="134"/>
        <v>15</v>
      </c>
    </row>
    <row r="8432" spans="1:2" x14ac:dyDescent="0.2">
      <c r="A8432" s="117">
        <v>43129</v>
      </c>
      <c r="B8432" s="116">
        <f t="shared" si="134"/>
        <v>15</v>
      </c>
    </row>
    <row r="8433" spans="1:2" x14ac:dyDescent="0.2">
      <c r="A8433" s="117">
        <v>43130</v>
      </c>
      <c r="B8433" s="116">
        <f t="shared" si="134"/>
        <v>15</v>
      </c>
    </row>
    <row r="8434" spans="1:2" x14ac:dyDescent="0.2">
      <c r="A8434" s="117">
        <v>43131</v>
      </c>
      <c r="B8434" s="116">
        <f t="shared" si="134"/>
        <v>15</v>
      </c>
    </row>
    <row r="8435" spans="1:2" x14ac:dyDescent="0.2">
      <c r="A8435" s="117">
        <v>43132</v>
      </c>
      <c r="B8435" s="116">
        <f t="shared" si="134"/>
        <v>15</v>
      </c>
    </row>
    <row r="8436" spans="1:2" x14ac:dyDescent="0.2">
      <c r="A8436" s="117">
        <v>43133</v>
      </c>
      <c r="B8436" s="116">
        <f t="shared" si="134"/>
        <v>15</v>
      </c>
    </row>
    <row r="8437" spans="1:2" x14ac:dyDescent="0.2">
      <c r="A8437" s="117">
        <v>43134</v>
      </c>
      <c r="B8437" s="116">
        <f t="shared" si="134"/>
        <v>15</v>
      </c>
    </row>
    <row r="8438" spans="1:2" x14ac:dyDescent="0.2">
      <c r="A8438" s="117">
        <v>43135</v>
      </c>
      <c r="B8438" s="116">
        <f t="shared" si="134"/>
        <v>21</v>
      </c>
    </row>
    <row r="8439" spans="1:2" x14ac:dyDescent="0.2">
      <c r="A8439" s="117">
        <v>43136</v>
      </c>
      <c r="B8439" s="116">
        <f t="shared" si="134"/>
        <v>21</v>
      </c>
    </row>
    <row r="8440" spans="1:2" x14ac:dyDescent="0.2">
      <c r="A8440" s="117">
        <v>43137</v>
      </c>
      <c r="B8440" s="116">
        <f t="shared" si="134"/>
        <v>21</v>
      </c>
    </row>
    <row r="8441" spans="1:2" x14ac:dyDescent="0.2">
      <c r="A8441" s="117">
        <v>43138</v>
      </c>
      <c r="B8441" s="116">
        <f t="shared" si="134"/>
        <v>21</v>
      </c>
    </row>
    <row r="8442" spans="1:2" x14ac:dyDescent="0.2">
      <c r="A8442" s="117">
        <v>43139</v>
      </c>
      <c r="B8442" s="116">
        <f t="shared" si="134"/>
        <v>21</v>
      </c>
    </row>
    <row r="8443" spans="1:2" x14ac:dyDescent="0.2">
      <c r="A8443" s="117">
        <v>43140</v>
      </c>
      <c r="B8443" s="116">
        <f t="shared" si="134"/>
        <v>21</v>
      </c>
    </row>
    <row r="8444" spans="1:2" x14ac:dyDescent="0.2">
      <c r="A8444" s="117">
        <v>43141</v>
      </c>
      <c r="B8444" s="116">
        <f t="shared" si="134"/>
        <v>21</v>
      </c>
    </row>
    <row r="8445" spans="1:2" x14ac:dyDescent="0.2">
      <c r="A8445" s="117">
        <v>43142</v>
      </c>
      <c r="B8445" s="116">
        <f t="shared" si="134"/>
        <v>22</v>
      </c>
    </row>
    <row r="8446" spans="1:2" x14ac:dyDescent="0.2">
      <c r="A8446" s="117">
        <v>43143</v>
      </c>
      <c r="B8446" s="116">
        <f t="shared" si="134"/>
        <v>22</v>
      </c>
    </row>
    <row r="8447" spans="1:2" x14ac:dyDescent="0.2">
      <c r="A8447" s="117">
        <v>43144</v>
      </c>
      <c r="B8447" s="116">
        <f t="shared" si="134"/>
        <v>22</v>
      </c>
    </row>
    <row r="8448" spans="1:2" x14ac:dyDescent="0.2">
      <c r="A8448" s="117">
        <v>43145</v>
      </c>
      <c r="B8448" s="116">
        <f t="shared" si="134"/>
        <v>22</v>
      </c>
    </row>
    <row r="8449" spans="1:2" x14ac:dyDescent="0.2">
      <c r="A8449" s="117">
        <v>43146</v>
      </c>
      <c r="B8449" s="116">
        <f t="shared" si="134"/>
        <v>22</v>
      </c>
    </row>
    <row r="8450" spans="1:2" x14ac:dyDescent="0.2">
      <c r="A8450" s="117">
        <v>43147</v>
      </c>
      <c r="B8450" s="116">
        <f t="shared" si="134"/>
        <v>22</v>
      </c>
    </row>
    <row r="8451" spans="1:2" x14ac:dyDescent="0.2">
      <c r="A8451" s="117">
        <v>43148</v>
      </c>
      <c r="B8451" s="116">
        <f t="shared" si="134"/>
        <v>22</v>
      </c>
    </row>
    <row r="8452" spans="1:2" x14ac:dyDescent="0.2">
      <c r="A8452" s="117">
        <v>43149</v>
      </c>
      <c r="B8452" s="116">
        <f t="shared" si="134"/>
        <v>23</v>
      </c>
    </row>
    <row r="8453" spans="1:2" x14ac:dyDescent="0.2">
      <c r="A8453" s="117">
        <v>43150</v>
      </c>
      <c r="B8453" s="116">
        <f t="shared" si="134"/>
        <v>23</v>
      </c>
    </row>
    <row r="8454" spans="1:2" x14ac:dyDescent="0.2">
      <c r="A8454" s="117">
        <v>43151</v>
      </c>
      <c r="B8454" s="116">
        <f t="shared" si="134"/>
        <v>23</v>
      </c>
    </row>
    <row r="8455" spans="1:2" x14ac:dyDescent="0.2">
      <c r="A8455" s="117">
        <v>43152</v>
      </c>
      <c r="B8455" s="116">
        <f t="shared" si="134"/>
        <v>23</v>
      </c>
    </row>
    <row r="8456" spans="1:2" x14ac:dyDescent="0.2">
      <c r="A8456" s="117">
        <v>43153</v>
      </c>
      <c r="B8456" s="116">
        <f t="shared" si="134"/>
        <v>23</v>
      </c>
    </row>
    <row r="8457" spans="1:2" x14ac:dyDescent="0.2">
      <c r="A8457" s="117">
        <v>43154</v>
      </c>
      <c r="B8457" s="116">
        <f t="shared" si="134"/>
        <v>23</v>
      </c>
    </row>
    <row r="8458" spans="1:2" x14ac:dyDescent="0.2">
      <c r="A8458" s="117">
        <v>43155</v>
      </c>
      <c r="B8458" s="116">
        <f t="shared" si="134"/>
        <v>23</v>
      </c>
    </row>
    <row r="8459" spans="1:2" x14ac:dyDescent="0.2">
      <c r="A8459" s="117">
        <v>43156</v>
      </c>
      <c r="B8459" s="116">
        <f t="shared" si="134"/>
        <v>24</v>
      </c>
    </row>
    <row r="8460" spans="1:2" x14ac:dyDescent="0.2">
      <c r="A8460" s="117">
        <v>43157</v>
      </c>
      <c r="B8460" s="116">
        <f t="shared" si="134"/>
        <v>24</v>
      </c>
    </row>
    <row r="8461" spans="1:2" x14ac:dyDescent="0.2">
      <c r="A8461" s="117">
        <v>43158</v>
      </c>
      <c r="B8461" s="116">
        <f t="shared" si="134"/>
        <v>24</v>
      </c>
    </row>
    <row r="8462" spans="1:2" x14ac:dyDescent="0.2">
      <c r="A8462" s="117">
        <v>43159</v>
      </c>
      <c r="B8462" s="116">
        <f t="shared" si="134"/>
        <v>24</v>
      </c>
    </row>
    <row r="8463" spans="1:2" x14ac:dyDescent="0.2">
      <c r="A8463" s="117">
        <v>43160</v>
      </c>
      <c r="B8463" s="116">
        <f t="shared" si="134"/>
        <v>24</v>
      </c>
    </row>
    <row r="8464" spans="1:2" x14ac:dyDescent="0.2">
      <c r="A8464" s="117">
        <v>43161</v>
      </c>
      <c r="B8464" s="116">
        <f t="shared" si="134"/>
        <v>24</v>
      </c>
    </row>
    <row r="8465" spans="1:2" x14ac:dyDescent="0.2">
      <c r="A8465" s="117">
        <v>43162</v>
      </c>
      <c r="B8465" s="116">
        <f t="shared" si="134"/>
        <v>24</v>
      </c>
    </row>
    <row r="8466" spans="1:2" x14ac:dyDescent="0.2">
      <c r="A8466" s="117">
        <v>43163</v>
      </c>
      <c r="B8466" s="116">
        <f t="shared" si="134"/>
        <v>31</v>
      </c>
    </row>
    <row r="8467" spans="1:2" x14ac:dyDescent="0.2">
      <c r="A8467" s="117">
        <v>43164</v>
      </c>
      <c r="B8467" s="116">
        <f t="shared" si="134"/>
        <v>31</v>
      </c>
    </row>
    <row r="8468" spans="1:2" x14ac:dyDescent="0.2">
      <c r="A8468" s="117">
        <v>43165</v>
      </c>
      <c r="B8468" s="116">
        <f t="shared" si="134"/>
        <v>31</v>
      </c>
    </row>
    <row r="8469" spans="1:2" x14ac:dyDescent="0.2">
      <c r="A8469" s="117">
        <v>43166</v>
      </c>
      <c r="B8469" s="116">
        <f t="shared" si="134"/>
        <v>31</v>
      </c>
    </row>
    <row r="8470" spans="1:2" x14ac:dyDescent="0.2">
      <c r="A8470" s="117">
        <v>43167</v>
      </c>
      <c r="B8470" s="116">
        <f t="shared" si="134"/>
        <v>31</v>
      </c>
    </row>
    <row r="8471" spans="1:2" x14ac:dyDescent="0.2">
      <c r="A8471" s="117">
        <v>43168</v>
      </c>
      <c r="B8471" s="116">
        <f t="shared" si="134"/>
        <v>31</v>
      </c>
    </row>
    <row r="8472" spans="1:2" x14ac:dyDescent="0.2">
      <c r="A8472" s="117">
        <v>43169</v>
      </c>
      <c r="B8472" s="116">
        <f t="shared" si="134"/>
        <v>31</v>
      </c>
    </row>
    <row r="8473" spans="1:2" x14ac:dyDescent="0.2">
      <c r="A8473" s="117">
        <v>43170</v>
      </c>
      <c r="B8473" s="116">
        <f t="shared" si="134"/>
        <v>32</v>
      </c>
    </row>
    <row r="8474" spans="1:2" x14ac:dyDescent="0.2">
      <c r="A8474" s="117">
        <v>43171</v>
      </c>
      <c r="B8474" s="116">
        <f t="shared" si="134"/>
        <v>32</v>
      </c>
    </row>
    <row r="8475" spans="1:2" x14ac:dyDescent="0.2">
      <c r="A8475" s="117">
        <v>43172</v>
      </c>
      <c r="B8475" s="116">
        <f t="shared" si="134"/>
        <v>32</v>
      </c>
    </row>
    <row r="8476" spans="1:2" x14ac:dyDescent="0.2">
      <c r="A8476" s="117">
        <v>43173</v>
      </c>
      <c r="B8476" s="116">
        <f t="shared" si="134"/>
        <v>32</v>
      </c>
    </row>
    <row r="8477" spans="1:2" x14ac:dyDescent="0.2">
      <c r="A8477" s="117">
        <v>43174</v>
      </c>
      <c r="B8477" s="116">
        <f t="shared" si="134"/>
        <v>32</v>
      </c>
    </row>
    <row r="8478" spans="1:2" x14ac:dyDescent="0.2">
      <c r="A8478" s="117">
        <v>43175</v>
      </c>
      <c r="B8478" s="116">
        <f t="shared" si="134"/>
        <v>32</v>
      </c>
    </row>
    <row r="8479" spans="1:2" x14ac:dyDescent="0.2">
      <c r="A8479" s="117">
        <v>43176</v>
      </c>
      <c r="B8479" s="116">
        <f t="shared" si="134"/>
        <v>32</v>
      </c>
    </row>
    <row r="8480" spans="1:2" x14ac:dyDescent="0.2">
      <c r="A8480" s="117">
        <v>43177</v>
      </c>
      <c r="B8480" s="116">
        <f t="shared" si="134"/>
        <v>33</v>
      </c>
    </row>
    <row r="8481" spans="1:2" x14ac:dyDescent="0.2">
      <c r="A8481" s="117">
        <v>43178</v>
      </c>
      <c r="B8481" s="116">
        <f t="shared" si="134"/>
        <v>33</v>
      </c>
    </row>
    <row r="8482" spans="1:2" x14ac:dyDescent="0.2">
      <c r="A8482" s="117">
        <v>43179</v>
      </c>
      <c r="B8482" s="116">
        <f t="shared" si="134"/>
        <v>33</v>
      </c>
    </row>
    <row r="8483" spans="1:2" x14ac:dyDescent="0.2">
      <c r="A8483" s="117">
        <v>43180</v>
      </c>
      <c r="B8483" s="116">
        <f t="shared" si="134"/>
        <v>33</v>
      </c>
    </row>
    <row r="8484" spans="1:2" x14ac:dyDescent="0.2">
      <c r="A8484" s="117">
        <v>43181</v>
      </c>
      <c r="B8484" s="116">
        <f t="shared" si="134"/>
        <v>33</v>
      </c>
    </row>
    <row r="8485" spans="1:2" x14ac:dyDescent="0.2">
      <c r="A8485" s="117">
        <v>43182</v>
      </c>
      <c r="B8485" s="116">
        <f t="shared" ref="B8485:B8548" si="135">VLOOKUP(WEEKNUM(A8485),$D$4:$E$59,2)</f>
        <v>33</v>
      </c>
    </row>
    <row r="8486" spans="1:2" x14ac:dyDescent="0.2">
      <c r="A8486" s="117">
        <v>43183</v>
      </c>
      <c r="B8486" s="116">
        <f t="shared" si="135"/>
        <v>33</v>
      </c>
    </row>
    <row r="8487" spans="1:2" x14ac:dyDescent="0.2">
      <c r="A8487" s="117">
        <v>43184</v>
      </c>
      <c r="B8487" s="116">
        <f t="shared" si="135"/>
        <v>34</v>
      </c>
    </row>
    <row r="8488" spans="1:2" x14ac:dyDescent="0.2">
      <c r="A8488" s="117">
        <v>43185</v>
      </c>
      <c r="B8488" s="116">
        <f t="shared" si="135"/>
        <v>34</v>
      </c>
    </row>
    <row r="8489" spans="1:2" x14ac:dyDescent="0.2">
      <c r="A8489" s="117">
        <v>43186</v>
      </c>
      <c r="B8489" s="116">
        <f t="shared" si="135"/>
        <v>34</v>
      </c>
    </row>
    <row r="8490" spans="1:2" x14ac:dyDescent="0.2">
      <c r="A8490" s="117">
        <v>43187</v>
      </c>
      <c r="B8490" s="116">
        <f t="shared" si="135"/>
        <v>34</v>
      </c>
    </row>
    <row r="8491" spans="1:2" x14ac:dyDescent="0.2">
      <c r="A8491" s="117">
        <v>43188</v>
      </c>
      <c r="B8491" s="116">
        <f t="shared" si="135"/>
        <v>34</v>
      </c>
    </row>
    <row r="8492" spans="1:2" x14ac:dyDescent="0.2">
      <c r="A8492" s="117">
        <v>43189</v>
      </c>
      <c r="B8492" s="116">
        <f t="shared" si="135"/>
        <v>34</v>
      </c>
    </row>
    <row r="8493" spans="1:2" x14ac:dyDescent="0.2">
      <c r="A8493" s="117">
        <v>43190</v>
      </c>
      <c r="B8493" s="116">
        <f t="shared" si="135"/>
        <v>34</v>
      </c>
    </row>
    <row r="8494" spans="1:2" x14ac:dyDescent="0.2">
      <c r="A8494" s="117">
        <v>43191</v>
      </c>
      <c r="B8494" s="116">
        <f t="shared" si="135"/>
        <v>41</v>
      </c>
    </row>
    <row r="8495" spans="1:2" x14ac:dyDescent="0.2">
      <c r="A8495" s="117">
        <v>43192</v>
      </c>
      <c r="B8495" s="116">
        <f t="shared" si="135"/>
        <v>41</v>
      </c>
    </row>
    <row r="8496" spans="1:2" x14ac:dyDescent="0.2">
      <c r="A8496" s="117">
        <v>43193</v>
      </c>
      <c r="B8496" s="116">
        <f t="shared" si="135"/>
        <v>41</v>
      </c>
    </row>
    <row r="8497" spans="1:2" x14ac:dyDescent="0.2">
      <c r="A8497" s="117">
        <v>43194</v>
      </c>
      <c r="B8497" s="116">
        <f t="shared" si="135"/>
        <v>41</v>
      </c>
    </row>
    <row r="8498" spans="1:2" x14ac:dyDescent="0.2">
      <c r="A8498" s="117">
        <v>43195</v>
      </c>
      <c r="B8498" s="116">
        <f t="shared" si="135"/>
        <v>41</v>
      </c>
    </row>
    <row r="8499" spans="1:2" x14ac:dyDescent="0.2">
      <c r="A8499" s="117">
        <v>43196</v>
      </c>
      <c r="B8499" s="116">
        <f t="shared" si="135"/>
        <v>41</v>
      </c>
    </row>
    <row r="8500" spans="1:2" x14ac:dyDescent="0.2">
      <c r="A8500" s="117">
        <v>43197</v>
      </c>
      <c r="B8500" s="116">
        <f t="shared" si="135"/>
        <v>41</v>
      </c>
    </row>
    <row r="8501" spans="1:2" x14ac:dyDescent="0.2">
      <c r="A8501" s="117">
        <v>43198</v>
      </c>
      <c r="B8501" s="116">
        <f t="shared" si="135"/>
        <v>42</v>
      </c>
    </row>
    <row r="8502" spans="1:2" x14ac:dyDescent="0.2">
      <c r="A8502" s="117">
        <v>43199</v>
      </c>
      <c r="B8502" s="116">
        <f t="shared" si="135"/>
        <v>42</v>
      </c>
    </row>
    <row r="8503" spans="1:2" x14ac:dyDescent="0.2">
      <c r="A8503" s="117">
        <v>43200</v>
      </c>
      <c r="B8503" s="116">
        <f t="shared" si="135"/>
        <v>42</v>
      </c>
    </row>
    <row r="8504" spans="1:2" x14ac:dyDescent="0.2">
      <c r="A8504" s="117">
        <v>43201</v>
      </c>
      <c r="B8504" s="116">
        <f t="shared" si="135"/>
        <v>42</v>
      </c>
    </row>
    <row r="8505" spans="1:2" x14ac:dyDescent="0.2">
      <c r="A8505" s="117">
        <v>43202</v>
      </c>
      <c r="B8505" s="116">
        <f t="shared" si="135"/>
        <v>42</v>
      </c>
    </row>
    <row r="8506" spans="1:2" x14ac:dyDescent="0.2">
      <c r="A8506" s="117">
        <v>43203</v>
      </c>
      <c r="B8506" s="116">
        <f t="shared" si="135"/>
        <v>42</v>
      </c>
    </row>
    <row r="8507" spans="1:2" x14ac:dyDescent="0.2">
      <c r="A8507" s="117">
        <v>43204</v>
      </c>
      <c r="B8507" s="116">
        <f t="shared" si="135"/>
        <v>42</v>
      </c>
    </row>
    <row r="8508" spans="1:2" x14ac:dyDescent="0.2">
      <c r="A8508" s="117">
        <v>43205</v>
      </c>
      <c r="B8508" s="116">
        <f t="shared" si="135"/>
        <v>43</v>
      </c>
    </row>
    <row r="8509" spans="1:2" x14ac:dyDescent="0.2">
      <c r="A8509" s="117">
        <v>43206</v>
      </c>
      <c r="B8509" s="116">
        <f t="shared" si="135"/>
        <v>43</v>
      </c>
    </row>
    <row r="8510" spans="1:2" x14ac:dyDescent="0.2">
      <c r="A8510" s="117">
        <v>43207</v>
      </c>
      <c r="B8510" s="116">
        <f t="shared" si="135"/>
        <v>43</v>
      </c>
    </row>
    <row r="8511" spans="1:2" x14ac:dyDescent="0.2">
      <c r="A8511" s="117">
        <v>43208</v>
      </c>
      <c r="B8511" s="116">
        <f t="shared" si="135"/>
        <v>43</v>
      </c>
    </row>
    <row r="8512" spans="1:2" x14ac:dyDescent="0.2">
      <c r="A8512" s="117">
        <v>43209</v>
      </c>
      <c r="B8512" s="116">
        <f t="shared" si="135"/>
        <v>43</v>
      </c>
    </row>
    <row r="8513" spans="1:2" x14ac:dyDescent="0.2">
      <c r="A8513" s="117">
        <v>43210</v>
      </c>
      <c r="B8513" s="116">
        <f t="shared" si="135"/>
        <v>43</v>
      </c>
    </row>
    <row r="8514" spans="1:2" x14ac:dyDescent="0.2">
      <c r="A8514" s="117">
        <v>43211</v>
      </c>
      <c r="B8514" s="116">
        <f t="shared" si="135"/>
        <v>43</v>
      </c>
    </row>
    <row r="8515" spans="1:2" x14ac:dyDescent="0.2">
      <c r="A8515" s="117">
        <v>43212</v>
      </c>
      <c r="B8515" s="116">
        <f t="shared" si="135"/>
        <v>44</v>
      </c>
    </row>
    <row r="8516" spans="1:2" x14ac:dyDescent="0.2">
      <c r="A8516" s="117">
        <v>43213</v>
      </c>
      <c r="B8516" s="116">
        <f t="shared" si="135"/>
        <v>44</v>
      </c>
    </row>
    <row r="8517" spans="1:2" x14ac:dyDescent="0.2">
      <c r="A8517" s="117">
        <v>43214</v>
      </c>
      <c r="B8517" s="116">
        <f t="shared" si="135"/>
        <v>44</v>
      </c>
    </row>
    <row r="8518" spans="1:2" x14ac:dyDescent="0.2">
      <c r="A8518" s="117">
        <v>43215</v>
      </c>
      <c r="B8518" s="116">
        <f t="shared" si="135"/>
        <v>44</v>
      </c>
    </row>
    <row r="8519" spans="1:2" x14ac:dyDescent="0.2">
      <c r="A8519" s="117">
        <v>43216</v>
      </c>
      <c r="B8519" s="116">
        <f t="shared" si="135"/>
        <v>44</v>
      </c>
    </row>
    <row r="8520" spans="1:2" x14ac:dyDescent="0.2">
      <c r="A8520" s="117">
        <v>43217</v>
      </c>
      <c r="B8520" s="116">
        <f t="shared" si="135"/>
        <v>44</v>
      </c>
    </row>
    <row r="8521" spans="1:2" x14ac:dyDescent="0.2">
      <c r="A8521" s="117">
        <v>43218</v>
      </c>
      <c r="B8521" s="116">
        <f t="shared" si="135"/>
        <v>44</v>
      </c>
    </row>
    <row r="8522" spans="1:2" x14ac:dyDescent="0.2">
      <c r="A8522" s="117">
        <v>43219</v>
      </c>
      <c r="B8522" s="116">
        <f t="shared" si="135"/>
        <v>45</v>
      </c>
    </row>
    <row r="8523" spans="1:2" x14ac:dyDescent="0.2">
      <c r="A8523" s="117">
        <v>43220</v>
      </c>
      <c r="B8523" s="116">
        <f t="shared" si="135"/>
        <v>45</v>
      </c>
    </row>
    <row r="8524" spans="1:2" x14ac:dyDescent="0.2">
      <c r="A8524" s="117">
        <v>43221</v>
      </c>
      <c r="B8524" s="116">
        <f t="shared" si="135"/>
        <v>45</v>
      </c>
    </row>
    <row r="8525" spans="1:2" x14ac:dyDescent="0.2">
      <c r="A8525" s="117">
        <v>43222</v>
      </c>
      <c r="B8525" s="116">
        <f t="shared" si="135"/>
        <v>45</v>
      </c>
    </row>
    <row r="8526" spans="1:2" x14ac:dyDescent="0.2">
      <c r="A8526" s="117">
        <v>43223</v>
      </c>
      <c r="B8526" s="116">
        <f t="shared" si="135"/>
        <v>45</v>
      </c>
    </row>
    <row r="8527" spans="1:2" x14ac:dyDescent="0.2">
      <c r="A8527" s="117">
        <v>43224</v>
      </c>
      <c r="B8527" s="116">
        <f t="shared" si="135"/>
        <v>45</v>
      </c>
    </row>
    <row r="8528" spans="1:2" x14ac:dyDescent="0.2">
      <c r="A8528" s="117">
        <v>43225</v>
      </c>
      <c r="B8528" s="116">
        <f t="shared" si="135"/>
        <v>45</v>
      </c>
    </row>
    <row r="8529" spans="1:2" x14ac:dyDescent="0.2">
      <c r="A8529" s="117">
        <v>43226</v>
      </c>
      <c r="B8529" s="116">
        <f t="shared" si="135"/>
        <v>51</v>
      </c>
    </row>
    <row r="8530" spans="1:2" x14ac:dyDescent="0.2">
      <c r="A8530" s="117">
        <v>43227</v>
      </c>
      <c r="B8530" s="116">
        <f t="shared" si="135"/>
        <v>51</v>
      </c>
    </row>
    <row r="8531" spans="1:2" x14ac:dyDescent="0.2">
      <c r="A8531" s="117">
        <v>43228</v>
      </c>
      <c r="B8531" s="116">
        <f t="shared" si="135"/>
        <v>51</v>
      </c>
    </row>
    <row r="8532" spans="1:2" x14ac:dyDescent="0.2">
      <c r="A8532" s="117">
        <v>43229</v>
      </c>
      <c r="B8532" s="116">
        <f t="shared" si="135"/>
        <v>51</v>
      </c>
    </row>
    <row r="8533" spans="1:2" x14ac:dyDescent="0.2">
      <c r="A8533" s="117">
        <v>43230</v>
      </c>
      <c r="B8533" s="116">
        <f t="shared" si="135"/>
        <v>51</v>
      </c>
    </row>
    <row r="8534" spans="1:2" x14ac:dyDescent="0.2">
      <c r="A8534" s="117">
        <v>43231</v>
      </c>
      <c r="B8534" s="116">
        <f t="shared" si="135"/>
        <v>51</v>
      </c>
    </row>
    <row r="8535" spans="1:2" x14ac:dyDescent="0.2">
      <c r="A8535" s="117">
        <v>43232</v>
      </c>
      <c r="B8535" s="116">
        <f t="shared" si="135"/>
        <v>51</v>
      </c>
    </row>
    <row r="8536" spans="1:2" x14ac:dyDescent="0.2">
      <c r="A8536" s="117">
        <v>43233</v>
      </c>
      <c r="B8536" s="116">
        <f t="shared" si="135"/>
        <v>52</v>
      </c>
    </row>
    <row r="8537" spans="1:2" x14ac:dyDescent="0.2">
      <c r="A8537" s="117">
        <v>43234</v>
      </c>
      <c r="B8537" s="116">
        <f t="shared" si="135"/>
        <v>52</v>
      </c>
    </row>
    <row r="8538" spans="1:2" x14ac:dyDescent="0.2">
      <c r="A8538" s="117">
        <v>43235</v>
      </c>
      <c r="B8538" s="116">
        <f t="shared" si="135"/>
        <v>52</v>
      </c>
    </row>
    <row r="8539" spans="1:2" x14ac:dyDescent="0.2">
      <c r="A8539" s="117">
        <v>43236</v>
      </c>
      <c r="B8539" s="116">
        <f t="shared" si="135"/>
        <v>52</v>
      </c>
    </row>
    <row r="8540" spans="1:2" x14ac:dyDescent="0.2">
      <c r="A8540" s="117">
        <v>43237</v>
      </c>
      <c r="B8540" s="116">
        <f t="shared" si="135"/>
        <v>52</v>
      </c>
    </row>
    <row r="8541" spans="1:2" x14ac:dyDescent="0.2">
      <c r="A8541" s="117">
        <v>43238</v>
      </c>
      <c r="B8541" s="116">
        <f t="shared" si="135"/>
        <v>52</v>
      </c>
    </row>
    <row r="8542" spans="1:2" x14ac:dyDescent="0.2">
      <c r="A8542" s="117">
        <v>43239</v>
      </c>
      <c r="B8542" s="116">
        <f t="shared" si="135"/>
        <v>52</v>
      </c>
    </row>
    <row r="8543" spans="1:2" x14ac:dyDescent="0.2">
      <c r="A8543" s="117">
        <v>43240</v>
      </c>
      <c r="B8543" s="116">
        <f t="shared" si="135"/>
        <v>53</v>
      </c>
    </row>
    <row r="8544" spans="1:2" x14ac:dyDescent="0.2">
      <c r="A8544" s="117">
        <v>43241</v>
      </c>
      <c r="B8544" s="116">
        <f t="shared" si="135"/>
        <v>53</v>
      </c>
    </row>
    <row r="8545" spans="1:2" x14ac:dyDescent="0.2">
      <c r="A8545" s="117">
        <v>43242</v>
      </c>
      <c r="B8545" s="116">
        <f t="shared" si="135"/>
        <v>53</v>
      </c>
    </row>
    <row r="8546" spans="1:2" x14ac:dyDescent="0.2">
      <c r="A8546" s="117">
        <v>43243</v>
      </c>
      <c r="B8546" s="116">
        <f t="shared" si="135"/>
        <v>53</v>
      </c>
    </row>
    <row r="8547" spans="1:2" x14ac:dyDescent="0.2">
      <c r="A8547" s="117">
        <v>43244</v>
      </c>
      <c r="B8547" s="116">
        <f t="shared" si="135"/>
        <v>53</v>
      </c>
    </row>
    <row r="8548" spans="1:2" x14ac:dyDescent="0.2">
      <c r="A8548" s="117">
        <v>43245</v>
      </c>
      <c r="B8548" s="116">
        <f t="shared" si="135"/>
        <v>53</v>
      </c>
    </row>
    <row r="8549" spans="1:2" x14ac:dyDescent="0.2">
      <c r="A8549" s="117">
        <v>43246</v>
      </c>
      <c r="B8549" s="116">
        <f t="shared" ref="B8549:B8612" si="136">VLOOKUP(WEEKNUM(A8549),$D$4:$E$59,2)</f>
        <v>53</v>
      </c>
    </row>
    <row r="8550" spans="1:2" x14ac:dyDescent="0.2">
      <c r="A8550" s="117">
        <v>43247</v>
      </c>
      <c r="B8550" s="116">
        <f t="shared" si="136"/>
        <v>54</v>
      </c>
    </row>
    <row r="8551" spans="1:2" x14ac:dyDescent="0.2">
      <c r="A8551" s="117">
        <v>43248</v>
      </c>
      <c r="B8551" s="116">
        <f t="shared" si="136"/>
        <v>54</v>
      </c>
    </row>
    <row r="8552" spans="1:2" x14ac:dyDescent="0.2">
      <c r="A8552" s="117">
        <v>43249</v>
      </c>
      <c r="B8552" s="116">
        <f t="shared" si="136"/>
        <v>54</v>
      </c>
    </row>
    <row r="8553" spans="1:2" x14ac:dyDescent="0.2">
      <c r="A8553" s="117">
        <v>43250</v>
      </c>
      <c r="B8553" s="116">
        <f t="shared" si="136"/>
        <v>54</v>
      </c>
    </row>
    <row r="8554" spans="1:2" x14ac:dyDescent="0.2">
      <c r="A8554" s="117">
        <v>43251</v>
      </c>
      <c r="B8554" s="116">
        <f t="shared" si="136"/>
        <v>54</v>
      </c>
    </row>
    <row r="8555" spans="1:2" x14ac:dyDescent="0.2">
      <c r="A8555" s="117">
        <v>43252</v>
      </c>
      <c r="B8555" s="116">
        <f t="shared" si="136"/>
        <v>54</v>
      </c>
    </row>
    <row r="8556" spans="1:2" x14ac:dyDescent="0.2">
      <c r="A8556" s="117">
        <v>43253</v>
      </c>
      <c r="B8556" s="116">
        <f t="shared" si="136"/>
        <v>54</v>
      </c>
    </row>
    <row r="8557" spans="1:2" x14ac:dyDescent="0.2">
      <c r="A8557" s="117">
        <v>43254</v>
      </c>
      <c r="B8557" s="116">
        <f t="shared" si="136"/>
        <v>61</v>
      </c>
    </row>
    <row r="8558" spans="1:2" x14ac:dyDescent="0.2">
      <c r="A8558" s="117">
        <v>43255</v>
      </c>
      <c r="B8558" s="116">
        <f t="shared" si="136"/>
        <v>61</v>
      </c>
    </row>
    <row r="8559" spans="1:2" x14ac:dyDescent="0.2">
      <c r="A8559" s="117">
        <v>43256</v>
      </c>
      <c r="B8559" s="116">
        <f t="shared" si="136"/>
        <v>61</v>
      </c>
    </row>
    <row r="8560" spans="1:2" x14ac:dyDescent="0.2">
      <c r="A8560" s="117">
        <v>43257</v>
      </c>
      <c r="B8560" s="116">
        <f t="shared" si="136"/>
        <v>61</v>
      </c>
    </row>
    <row r="8561" spans="1:2" x14ac:dyDescent="0.2">
      <c r="A8561" s="117">
        <v>43258</v>
      </c>
      <c r="B8561" s="116">
        <f t="shared" si="136"/>
        <v>61</v>
      </c>
    </row>
    <row r="8562" spans="1:2" x14ac:dyDescent="0.2">
      <c r="A8562" s="117">
        <v>43259</v>
      </c>
      <c r="B8562" s="116">
        <f t="shared" si="136"/>
        <v>61</v>
      </c>
    </row>
    <row r="8563" spans="1:2" x14ac:dyDescent="0.2">
      <c r="A8563" s="117">
        <v>43260</v>
      </c>
      <c r="B8563" s="116">
        <f t="shared" si="136"/>
        <v>61</v>
      </c>
    </row>
    <row r="8564" spans="1:2" x14ac:dyDescent="0.2">
      <c r="A8564" s="117">
        <v>43261</v>
      </c>
      <c r="B8564" s="116">
        <f t="shared" si="136"/>
        <v>62</v>
      </c>
    </row>
    <row r="8565" spans="1:2" x14ac:dyDescent="0.2">
      <c r="A8565" s="117">
        <v>43262</v>
      </c>
      <c r="B8565" s="116">
        <f t="shared" si="136"/>
        <v>62</v>
      </c>
    </row>
    <row r="8566" spans="1:2" x14ac:dyDescent="0.2">
      <c r="A8566" s="117">
        <v>43263</v>
      </c>
      <c r="B8566" s="116">
        <f t="shared" si="136"/>
        <v>62</v>
      </c>
    </row>
    <row r="8567" spans="1:2" x14ac:dyDescent="0.2">
      <c r="A8567" s="117">
        <v>43264</v>
      </c>
      <c r="B8567" s="116">
        <f t="shared" si="136"/>
        <v>62</v>
      </c>
    </row>
    <row r="8568" spans="1:2" x14ac:dyDescent="0.2">
      <c r="A8568" s="117">
        <v>43265</v>
      </c>
      <c r="B8568" s="116">
        <f t="shared" si="136"/>
        <v>62</v>
      </c>
    </row>
    <row r="8569" spans="1:2" x14ac:dyDescent="0.2">
      <c r="A8569" s="117">
        <v>43266</v>
      </c>
      <c r="B8569" s="116">
        <f t="shared" si="136"/>
        <v>62</v>
      </c>
    </row>
    <row r="8570" spans="1:2" x14ac:dyDescent="0.2">
      <c r="A8570" s="117">
        <v>43267</v>
      </c>
      <c r="B8570" s="116">
        <f t="shared" si="136"/>
        <v>62</v>
      </c>
    </row>
    <row r="8571" spans="1:2" x14ac:dyDescent="0.2">
      <c r="A8571" s="117">
        <v>43268</v>
      </c>
      <c r="B8571" s="116">
        <f t="shared" si="136"/>
        <v>63</v>
      </c>
    </row>
    <row r="8572" spans="1:2" x14ac:dyDescent="0.2">
      <c r="A8572" s="117">
        <v>43269</v>
      </c>
      <c r="B8572" s="116">
        <f t="shared" si="136"/>
        <v>63</v>
      </c>
    </row>
    <row r="8573" spans="1:2" x14ac:dyDescent="0.2">
      <c r="A8573" s="117">
        <v>43270</v>
      </c>
      <c r="B8573" s="116">
        <f t="shared" si="136"/>
        <v>63</v>
      </c>
    </row>
    <row r="8574" spans="1:2" x14ac:dyDescent="0.2">
      <c r="A8574" s="117">
        <v>43271</v>
      </c>
      <c r="B8574" s="116">
        <f t="shared" si="136"/>
        <v>63</v>
      </c>
    </row>
    <row r="8575" spans="1:2" x14ac:dyDescent="0.2">
      <c r="A8575" s="117">
        <v>43272</v>
      </c>
      <c r="B8575" s="116">
        <f t="shared" si="136"/>
        <v>63</v>
      </c>
    </row>
    <row r="8576" spans="1:2" x14ac:dyDescent="0.2">
      <c r="A8576" s="117">
        <v>43273</v>
      </c>
      <c r="B8576" s="116">
        <f t="shared" si="136"/>
        <v>63</v>
      </c>
    </row>
    <row r="8577" spans="1:2" x14ac:dyDescent="0.2">
      <c r="A8577" s="117">
        <v>43274</v>
      </c>
      <c r="B8577" s="116">
        <f t="shared" si="136"/>
        <v>63</v>
      </c>
    </row>
    <row r="8578" spans="1:2" x14ac:dyDescent="0.2">
      <c r="A8578" s="117">
        <v>43275</v>
      </c>
      <c r="B8578" s="116">
        <f t="shared" si="136"/>
        <v>64</v>
      </c>
    </row>
    <row r="8579" spans="1:2" x14ac:dyDescent="0.2">
      <c r="A8579" s="117">
        <v>43276</v>
      </c>
      <c r="B8579" s="116">
        <f t="shared" si="136"/>
        <v>64</v>
      </c>
    </row>
    <row r="8580" spans="1:2" x14ac:dyDescent="0.2">
      <c r="A8580" s="117">
        <v>43277</v>
      </c>
      <c r="B8580" s="116">
        <f t="shared" si="136"/>
        <v>64</v>
      </c>
    </row>
    <row r="8581" spans="1:2" x14ac:dyDescent="0.2">
      <c r="A8581" s="117">
        <v>43278</v>
      </c>
      <c r="B8581" s="116">
        <f t="shared" si="136"/>
        <v>64</v>
      </c>
    </row>
    <row r="8582" spans="1:2" x14ac:dyDescent="0.2">
      <c r="A8582" s="117">
        <v>43279</v>
      </c>
      <c r="B8582" s="116">
        <f t="shared" si="136"/>
        <v>64</v>
      </c>
    </row>
    <row r="8583" spans="1:2" x14ac:dyDescent="0.2">
      <c r="A8583" s="117">
        <v>43280</v>
      </c>
      <c r="B8583" s="116">
        <f t="shared" si="136"/>
        <v>64</v>
      </c>
    </row>
    <row r="8584" spans="1:2" x14ac:dyDescent="0.2">
      <c r="A8584" s="117">
        <v>43281</v>
      </c>
      <c r="B8584" s="116">
        <f t="shared" si="136"/>
        <v>64</v>
      </c>
    </row>
    <row r="8585" spans="1:2" x14ac:dyDescent="0.2">
      <c r="A8585" s="117">
        <v>43282</v>
      </c>
      <c r="B8585" s="116">
        <f t="shared" si="136"/>
        <v>71</v>
      </c>
    </row>
    <row r="8586" spans="1:2" x14ac:dyDescent="0.2">
      <c r="A8586" s="117">
        <v>43283</v>
      </c>
      <c r="B8586" s="116">
        <f t="shared" si="136"/>
        <v>71</v>
      </c>
    </row>
    <row r="8587" spans="1:2" x14ac:dyDescent="0.2">
      <c r="A8587" s="117">
        <v>43284</v>
      </c>
      <c r="B8587" s="116">
        <f t="shared" si="136"/>
        <v>71</v>
      </c>
    </row>
    <row r="8588" spans="1:2" x14ac:dyDescent="0.2">
      <c r="A8588" s="117">
        <v>43285</v>
      </c>
      <c r="B8588" s="116">
        <f t="shared" si="136"/>
        <v>71</v>
      </c>
    </row>
    <row r="8589" spans="1:2" x14ac:dyDescent="0.2">
      <c r="A8589" s="117">
        <v>43286</v>
      </c>
      <c r="B8589" s="116">
        <f t="shared" si="136"/>
        <v>71</v>
      </c>
    </row>
    <row r="8590" spans="1:2" x14ac:dyDescent="0.2">
      <c r="A8590" s="117">
        <v>43287</v>
      </c>
      <c r="B8590" s="116">
        <f t="shared" si="136"/>
        <v>71</v>
      </c>
    </row>
    <row r="8591" spans="1:2" x14ac:dyDescent="0.2">
      <c r="A8591" s="117">
        <v>43288</v>
      </c>
      <c r="B8591" s="116">
        <f t="shared" si="136"/>
        <v>71</v>
      </c>
    </row>
    <row r="8592" spans="1:2" x14ac:dyDescent="0.2">
      <c r="A8592" s="117">
        <v>43289</v>
      </c>
      <c r="B8592" s="116">
        <f t="shared" si="136"/>
        <v>72</v>
      </c>
    </row>
    <row r="8593" spans="1:2" x14ac:dyDescent="0.2">
      <c r="A8593" s="117">
        <v>43290</v>
      </c>
      <c r="B8593" s="116">
        <f t="shared" si="136"/>
        <v>72</v>
      </c>
    </row>
    <row r="8594" spans="1:2" x14ac:dyDescent="0.2">
      <c r="A8594" s="117">
        <v>43291</v>
      </c>
      <c r="B8594" s="116">
        <f t="shared" si="136"/>
        <v>72</v>
      </c>
    </row>
    <row r="8595" spans="1:2" x14ac:dyDescent="0.2">
      <c r="A8595" s="117">
        <v>43292</v>
      </c>
      <c r="B8595" s="116">
        <f t="shared" si="136"/>
        <v>72</v>
      </c>
    </row>
    <row r="8596" spans="1:2" x14ac:dyDescent="0.2">
      <c r="A8596" s="117">
        <v>43293</v>
      </c>
      <c r="B8596" s="116">
        <f t="shared" si="136"/>
        <v>72</v>
      </c>
    </row>
    <row r="8597" spans="1:2" x14ac:dyDescent="0.2">
      <c r="A8597" s="117">
        <v>43294</v>
      </c>
      <c r="B8597" s="116">
        <f t="shared" si="136"/>
        <v>72</v>
      </c>
    </row>
    <row r="8598" spans="1:2" x14ac:dyDescent="0.2">
      <c r="A8598" s="117">
        <v>43295</v>
      </c>
      <c r="B8598" s="116">
        <f t="shared" si="136"/>
        <v>72</v>
      </c>
    </row>
    <row r="8599" spans="1:2" x14ac:dyDescent="0.2">
      <c r="A8599" s="117">
        <v>43296</v>
      </c>
      <c r="B8599" s="116">
        <f t="shared" si="136"/>
        <v>73</v>
      </c>
    </row>
    <row r="8600" spans="1:2" x14ac:dyDescent="0.2">
      <c r="A8600" s="117">
        <v>43297</v>
      </c>
      <c r="B8600" s="116">
        <f t="shared" si="136"/>
        <v>73</v>
      </c>
    </row>
    <row r="8601" spans="1:2" x14ac:dyDescent="0.2">
      <c r="A8601" s="117">
        <v>43298</v>
      </c>
      <c r="B8601" s="116">
        <f t="shared" si="136"/>
        <v>73</v>
      </c>
    </row>
    <row r="8602" spans="1:2" x14ac:dyDescent="0.2">
      <c r="A8602" s="117">
        <v>43299</v>
      </c>
      <c r="B8602" s="116">
        <f t="shared" si="136"/>
        <v>73</v>
      </c>
    </row>
    <row r="8603" spans="1:2" x14ac:dyDescent="0.2">
      <c r="A8603" s="117">
        <v>43300</v>
      </c>
      <c r="B8603" s="116">
        <f t="shared" si="136"/>
        <v>73</v>
      </c>
    </row>
    <row r="8604" spans="1:2" x14ac:dyDescent="0.2">
      <c r="A8604" s="117">
        <v>43301</v>
      </c>
      <c r="B8604" s="116">
        <f t="shared" si="136"/>
        <v>73</v>
      </c>
    </row>
    <row r="8605" spans="1:2" x14ac:dyDescent="0.2">
      <c r="A8605" s="117">
        <v>43302</v>
      </c>
      <c r="B8605" s="116">
        <f t="shared" si="136"/>
        <v>73</v>
      </c>
    </row>
    <row r="8606" spans="1:2" x14ac:dyDescent="0.2">
      <c r="A8606" s="117">
        <v>43303</v>
      </c>
      <c r="B8606" s="116">
        <f t="shared" si="136"/>
        <v>74</v>
      </c>
    </row>
    <row r="8607" spans="1:2" x14ac:dyDescent="0.2">
      <c r="A8607" s="117">
        <v>43304</v>
      </c>
      <c r="B8607" s="116">
        <f t="shared" si="136"/>
        <v>74</v>
      </c>
    </row>
    <row r="8608" spans="1:2" x14ac:dyDescent="0.2">
      <c r="A8608" s="117">
        <v>43305</v>
      </c>
      <c r="B8608" s="116">
        <f t="shared" si="136"/>
        <v>74</v>
      </c>
    </row>
    <row r="8609" spans="1:2" x14ac:dyDescent="0.2">
      <c r="A8609" s="117">
        <v>43306</v>
      </c>
      <c r="B8609" s="116">
        <f t="shared" si="136"/>
        <v>74</v>
      </c>
    </row>
    <row r="8610" spans="1:2" x14ac:dyDescent="0.2">
      <c r="A8610" s="117">
        <v>43307</v>
      </c>
      <c r="B8610" s="116">
        <f t="shared" si="136"/>
        <v>74</v>
      </c>
    </row>
    <row r="8611" spans="1:2" x14ac:dyDescent="0.2">
      <c r="A8611" s="117">
        <v>43308</v>
      </c>
      <c r="B8611" s="116">
        <f t="shared" si="136"/>
        <v>74</v>
      </c>
    </row>
    <row r="8612" spans="1:2" x14ac:dyDescent="0.2">
      <c r="A8612" s="117">
        <v>43309</v>
      </c>
      <c r="B8612" s="116">
        <f t="shared" si="136"/>
        <v>74</v>
      </c>
    </row>
    <row r="8613" spans="1:2" x14ac:dyDescent="0.2">
      <c r="A8613" s="117">
        <v>43310</v>
      </c>
      <c r="B8613" s="116">
        <f t="shared" ref="B8613:B8676" si="137">VLOOKUP(WEEKNUM(A8613),$D$4:$E$59,2)</f>
        <v>75</v>
      </c>
    </row>
    <row r="8614" spans="1:2" x14ac:dyDescent="0.2">
      <c r="A8614" s="117">
        <v>43311</v>
      </c>
      <c r="B8614" s="116">
        <f t="shared" si="137"/>
        <v>75</v>
      </c>
    </row>
    <row r="8615" spans="1:2" x14ac:dyDescent="0.2">
      <c r="A8615" s="117">
        <v>43312</v>
      </c>
      <c r="B8615" s="116">
        <f t="shared" si="137"/>
        <v>75</v>
      </c>
    </row>
    <row r="8616" spans="1:2" x14ac:dyDescent="0.2">
      <c r="A8616" s="117">
        <v>43313</v>
      </c>
      <c r="B8616" s="116">
        <f t="shared" si="137"/>
        <v>75</v>
      </c>
    </row>
    <row r="8617" spans="1:2" x14ac:dyDescent="0.2">
      <c r="A8617" s="117">
        <v>43314</v>
      </c>
      <c r="B8617" s="116">
        <f t="shared" si="137"/>
        <v>75</v>
      </c>
    </row>
    <row r="8618" spans="1:2" x14ac:dyDescent="0.2">
      <c r="A8618" s="117">
        <v>43315</v>
      </c>
      <c r="B8618" s="116">
        <f t="shared" si="137"/>
        <v>75</v>
      </c>
    </row>
    <row r="8619" spans="1:2" x14ac:dyDescent="0.2">
      <c r="A8619" s="117">
        <v>43316</v>
      </c>
      <c r="B8619" s="116">
        <f t="shared" si="137"/>
        <v>75</v>
      </c>
    </row>
    <row r="8620" spans="1:2" x14ac:dyDescent="0.2">
      <c r="A8620" s="117">
        <v>43317</v>
      </c>
      <c r="B8620" s="116">
        <f t="shared" si="137"/>
        <v>81</v>
      </c>
    </row>
    <row r="8621" spans="1:2" x14ac:dyDescent="0.2">
      <c r="A8621" s="117">
        <v>43318</v>
      </c>
      <c r="B8621" s="116">
        <f t="shared" si="137"/>
        <v>81</v>
      </c>
    </row>
    <row r="8622" spans="1:2" x14ac:dyDescent="0.2">
      <c r="A8622" s="117">
        <v>43319</v>
      </c>
      <c r="B8622" s="116">
        <f t="shared" si="137"/>
        <v>81</v>
      </c>
    </row>
    <row r="8623" spans="1:2" x14ac:dyDescent="0.2">
      <c r="A8623" s="117">
        <v>43320</v>
      </c>
      <c r="B8623" s="116">
        <f t="shared" si="137"/>
        <v>81</v>
      </c>
    </row>
    <row r="8624" spans="1:2" x14ac:dyDescent="0.2">
      <c r="A8624" s="117">
        <v>43321</v>
      </c>
      <c r="B8624" s="116">
        <f t="shared" si="137"/>
        <v>81</v>
      </c>
    </row>
    <row r="8625" spans="1:2" x14ac:dyDescent="0.2">
      <c r="A8625" s="117">
        <v>43322</v>
      </c>
      <c r="B8625" s="116">
        <f t="shared" si="137"/>
        <v>81</v>
      </c>
    </row>
    <row r="8626" spans="1:2" x14ac:dyDescent="0.2">
      <c r="A8626" s="117">
        <v>43323</v>
      </c>
      <c r="B8626" s="116">
        <f t="shared" si="137"/>
        <v>81</v>
      </c>
    </row>
    <row r="8627" spans="1:2" x14ac:dyDescent="0.2">
      <c r="A8627" s="117">
        <v>43324</v>
      </c>
      <c r="B8627" s="116">
        <f t="shared" si="137"/>
        <v>82</v>
      </c>
    </row>
    <row r="8628" spans="1:2" x14ac:dyDescent="0.2">
      <c r="A8628" s="117">
        <v>43325</v>
      </c>
      <c r="B8628" s="116">
        <f t="shared" si="137"/>
        <v>82</v>
      </c>
    </row>
    <row r="8629" spans="1:2" x14ac:dyDescent="0.2">
      <c r="A8629" s="117">
        <v>43326</v>
      </c>
      <c r="B8629" s="116">
        <f t="shared" si="137"/>
        <v>82</v>
      </c>
    </row>
    <row r="8630" spans="1:2" x14ac:dyDescent="0.2">
      <c r="A8630" s="117">
        <v>43327</v>
      </c>
      <c r="B8630" s="116">
        <f t="shared" si="137"/>
        <v>82</v>
      </c>
    </row>
    <row r="8631" spans="1:2" x14ac:dyDescent="0.2">
      <c r="A8631" s="117">
        <v>43328</v>
      </c>
      <c r="B8631" s="116">
        <f t="shared" si="137"/>
        <v>82</v>
      </c>
    </row>
    <row r="8632" spans="1:2" x14ac:dyDescent="0.2">
      <c r="A8632" s="117">
        <v>43329</v>
      </c>
      <c r="B8632" s="116">
        <f t="shared" si="137"/>
        <v>82</v>
      </c>
    </row>
    <row r="8633" spans="1:2" x14ac:dyDescent="0.2">
      <c r="A8633" s="117">
        <v>43330</v>
      </c>
      <c r="B8633" s="116">
        <f t="shared" si="137"/>
        <v>82</v>
      </c>
    </row>
    <row r="8634" spans="1:2" x14ac:dyDescent="0.2">
      <c r="A8634" s="117">
        <v>43331</v>
      </c>
      <c r="B8634" s="116">
        <f t="shared" si="137"/>
        <v>83</v>
      </c>
    </row>
    <row r="8635" spans="1:2" x14ac:dyDescent="0.2">
      <c r="A8635" s="117">
        <v>43332</v>
      </c>
      <c r="B8635" s="116">
        <f t="shared" si="137"/>
        <v>83</v>
      </c>
    </row>
    <row r="8636" spans="1:2" x14ac:dyDescent="0.2">
      <c r="A8636" s="117">
        <v>43333</v>
      </c>
      <c r="B8636" s="116">
        <f t="shared" si="137"/>
        <v>83</v>
      </c>
    </row>
    <row r="8637" spans="1:2" x14ac:dyDescent="0.2">
      <c r="A8637" s="117">
        <v>43334</v>
      </c>
      <c r="B8637" s="116">
        <f t="shared" si="137"/>
        <v>83</v>
      </c>
    </row>
    <row r="8638" spans="1:2" x14ac:dyDescent="0.2">
      <c r="A8638" s="117">
        <v>43335</v>
      </c>
      <c r="B8638" s="116">
        <f t="shared" si="137"/>
        <v>83</v>
      </c>
    </row>
    <row r="8639" spans="1:2" x14ac:dyDescent="0.2">
      <c r="A8639" s="117">
        <v>43336</v>
      </c>
      <c r="B8639" s="116">
        <f t="shared" si="137"/>
        <v>83</v>
      </c>
    </row>
    <row r="8640" spans="1:2" x14ac:dyDescent="0.2">
      <c r="A8640" s="117">
        <v>43337</v>
      </c>
      <c r="B8640" s="116">
        <f t="shared" si="137"/>
        <v>83</v>
      </c>
    </row>
    <row r="8641" spans="1:2" x14ac:dyDescent="0.2">
      <c r="A8641" s="117">
        <v>43338</v>
      </c>
      <c r="B8641" s="116">
        <f t="shared" si="137"/>
        <v>84</v>
      </c>
    </row>
    <row r="8642" spans="1:2" x14ac:dyDescent="0.2">
      <c r="A8642" s="117">
        <v>43339</v>
      </c>
      <c r="B8642" s="116">
        <f t="shared" si="137"/>
        <v>84</v>
      </c>
    </row>
    <row r="8643" spans="1:2" x14ac:dyDescent="0.2">
      <c r="A8643" s="117">
        <v>43340</v>
      </c>
      <c r="B8643" s="116">
        <f t="shared" si="137"/>
        <v>84</v>
      </c>
    </row>
    <row r="8644" spans="1:2" x14ac:dyDescent="0.2">
      <c r="A8644" s="117">
        <v>43341</v>
      </c>
      <c r="B8644" s="116">
        <f t="shared" si="137"/>
        <v>84</v>
      </c>
    </row>
    <row r="8645" spans="1:2" x14ac:dyDescent="0.2">
      <c r="A8645" s="117">
        <v>43342</v>
      </c>
      <c r="B8645" s="116">
        <f t="shared" si="137"/>
        <v>84</v>
      </c>
    </row>
    <row r="8646" spans="1:2" x14ac:dyDescent="0.2">
      <c r="A8646" s="117">
        <v>43343</v>
      </c>
      <c r="B8646" s="116">
        <f t="shared" si="137"/>
        <v>84</v>
      </c>
    </row>
    <row r="8647" spans="1:2" x14ac:dyDescent="0.2">
      <c r="A8647" s="117">
        <v>43344</v>
      </c>
      <c r="B8647" s="116">
        <f t="shared" si="137"/>
        <v>84</v>
      </c>
    </row>
    <row r="8648" spans="1:2" x14ac:dyDescent="0.2">
      <c r="A8648" s="117">
        <v>43345</v>
      </c>
      <c r="B8648" s="116">
        <f t="shared" si="137"/>
        <v>91</v>
      </c>
    </row>
    <row r="8649" spans="1:2" x14ac:dyDescent="0.2">
      <c r="A8649" s="117">
        <v>43346</v>
      </c>
      <c r="B8649" s="116">
        <f t="shared" si="137"/>
        <v>91</v>
      </c>
    </row>
    <row r="8650" spans="1:2" x14ac:dyDescent="0.2">
      <c r="A8650" s="117">
        <v>43347</v>
      </c>
      <c r="B8650" s="116">
        <f t="shared" si="137"/>
        <v>91</v>
      </c>
    </row>
    <row r="8651" spans="1:2" x14ac:dyDescent="0.2">
      <c r="A8651" s="117">
        <v>43348</v>
      </c>
      <c r="B8651" s="116">
        <f t="shared" si="137"/>
        <v>91</v>
      </c>
    </row>
    <row r="8652" spans="1:2" x14ac:dyDescent="0.2">
      <c r="A8652" s="117">
        <v>43349</v>
      </c>
      <c r="B8652" s="116">
        <f t="shared" si="137"/>
        <v>91</v>
      </c>
    </row>
    <row r="8653" spans="1:2" x14ac:dyDescent="0.2">
      <c r="A8653" s="117">
        <v>43350</v>
      </c>
      <c r="B8653" s="116">
        <f t="shared" si="137"/>
        <v>91</v>
      </c>
    </row>
    <row r="8654" spans="1:2" x14ac:dyDescent="0.2">
      <c r="A8654" s="117">
        <v>43351</v>
      </c>
      <c r="B8654" s="116">
        <f t="shared" si="137"/>
        <v>91</v>
      </c>
    </row>
    <row r="8655" spans="1:2" x14ac:dyDescent="0.2">
      <c r="A8655" s="117">
        <v>43352</v>
      </c>
      <c r="B8655" s="116">
        <f t="shared" si="137"/>
        <v>92</v>
      </c>
    </row>
    <row r="8656" spans="1:2" x14ac:dyDescent="0.2">
      <c r="A8656" s="117">
        <v>43353</v>
      </c>
      <c r="B8656" s="116">
        <f t="shared" si="137"/>
        <v>92</v>
      </c>
    </row>
    <row r="8657" spans="1:2" x14ac:dyDescent="0.2">
      <c r="A8657" s="117">
        <v>43354</v>
      </c>
      <c r="B8657" s="116">
        <f t="shared" si="137"/>
        <v>92</v>
      </c>
    </row>
    <row r="8658" spans="1:2" x14ac:dyDescent="0.2">
      <c r="A8658" s="117">
        <v>43355</v>
      </c>
      <c r="B8658" s="116">
        <f t="shared" si="137"/>
        <v>92</v>
      </c>
    </row>
    <row r="8659" spans="1:2" x14ac:dyDescent="0.2">
      <c r="A8659" s="117">
        <v>43356</v>
      </c>
      <c r="B8659" s="116">
        <f t="shared" si="137"/>
        <v>92</v>
      </c>
    </row>
    <row r="8660" spans="1:2" x14ac:dyDescent="0.2">
      <c r="A8660" s="117">
        <v>43357</v>
      </c>
      <c r="B8660" s="116">
        <f t="shared" si="137"/>
        <v>92</v>
      </c>
    </row>
    <row r="8661" spans="1:2" x14ac:dyDescent="0.2">
      <c r="A8661" s="117">
        <v>43358</v>
      </c>
      <c r="B8661" s="116">
        <f t="shared" si="137"/>
        <v>92</v>
      </c>
    </row>
    <row r="8662" spans="1:2" x14ac:dyDescent="0.2">
      <c r="A8662" s="117">
        <v>43359</v>
      </c>
      <c r="B8662" s="116">
        <f t="shared" si="137"/>
        <v>93</v>
      </c>
    </row>
    <row r="8663" spans="1:2" x14ac:dyDescent="0.2">
      <c r="A8663" s="117">
        <v>43360</v>
      </c>
      <c r="B8663" s="116">
        <f t="shared" si="137"/>
        <v>93</v>
      </c>
    </row>
    <row r="8664" spans="1:2" x14ac:dyDescent="0.2">
      <c r="A8664" s="117">
        <v>43361</v>
      </c>
      <c r="B8664" s="116">
        <f t="shared" si="137"/>
        <v>93</v>
      </c>
    </row>
    <row r="8665" spans="1:2" x14ac:dyDescent="0.2">
      <c r="A8665" s="117">
        <v>43362</v>
      </c>
      <c r="B8665" s="116">
        <f t="shared" si="137"/>
        <v>93</v>
      </c>
    </row>
    <row r="8666" spans="1:2" x14ac:dyDescent="0.2">
      <c r="A8666" s="117">
        <v>43363</v>
      </c>
      <c r="B8666" s="116">
        <f t="shared" si="137"/>
        <v>93</v>
      </c>
    </row>
    <row r="8667" spans="1:2" x14ac:dyDescent="0.2">
      <c r="A8667" s="117">
        <v>43364</v>
      </c>
      <c r="B8667" s="116">
        <f t="shared" si="137"/>
        <v>93</v>
      </c>
    </row>
    <row r="8668" spans="1:2" x14ac:dyDescent="0.2">
      <c r="A8668" s="117">
        <v>43365</v>
      </c>
      <c r="B8668" s="116">
        <f t="shared" si="137"/>
        <v>93</v>
      </c>
    </row>
    <row r="8669" spans="1:2" x14ac:dyDescent="0.2">
      <c r="A8669" s="117">
        <v>43366</v>
      </c>
      <c r="B8669" s="116">
        <f t="shared" si="137"/>
        <v>94</v>
      </c>
    </row>
    <row r="8670" spans="1:2" x14ac:dyDescent="0.2">
      <c r="A8670" s="117">
        <v>43367</v>
      </c>
      <c r="B8670" s="116">
        <f t="shared" si="137"/>
        <v>94</v>
      </c>
    </row>
    <row r="8671" spans="1:2" x14ac:dyDescent="0.2">
      <c r="A8671" s="117">
        <v>43368</v>
      </c>
      <c r="B8671" s="116">
        <f t="shared" si="137"/>
        <v>94</v>
      </c>
    </row>
    <row r="8672" spans="1:2" x14ac:dyDescent="0.2">
      <c r="A8672" s="117">
        <v>43369</v>
      </c>
      <c r="B8672" s="116">
        <f t="shared" si="137"/>
        <v>94</v>
      </c>
    </row>
    <row r="8673" spans="1:2" x14ac:dyDescent="0.2">
      <c r="A8673" s="117">
        <v>43370</v>
      </c>
      <c r="B8673" s="116">
        <f t="shared" si="137"/>
        <v>94</v>
      </c>
    </row>
    <row r="8674" spans="1:2" x14ac:dyDescent="0.2">
      <c r="A8674" s="117">
        <v>43371</v>
      </c>
      <c r="B8674" s="116">
        <f t="shared" si="137"/>
        <v>94</v>
      </c>
    </row>
    <row r="8675" spans="1:2" x14ac:dyDescent="0.2">
      <c r="A8675" s="117">
        <v>43372</v>
      </c>
      <c r="B8675" s="116">
        <f t="shared" si="137"/>
        <v>94</v>
      </c>
    </row>
    <row r="8676" spans="1:2" x14ac:dyDescent="0.2">
      <c r="A8676" s="117">
        <v>43373</v>
      </c>
      <c r="B8676" s="116">
        <f t="shared" si="137"/>
        <v>101</v>
      </c>
    </row>
    <row r="8677" spans="1:2" x14ac:dyDescent="0.2">
      <c r="A8677" s="117">
        <v>43374</v>
      </c>
      <c r="B8677" s="116">
        <f t="shared" ref="B8677:B8740" si="138">VLOOKUP(WEEKNUM(A8677),$D$4:$E$59,2)</f>
        <v>101</v>
      </c>
    </row>
    <row r="8678" spans="1:2" x14ac:dyDescent="0.2">
      <c r="A8678" s="117">
        <v>43375</v>
      </c>
      <c r="B8678" s="116">
        <f t="shared" si="138"/>
        <v>101</v>
      </c>
    </row>
    <row r="8679" spans="1:2" x14ac:dyDescent="0.2">
      <c r="A8679" s="117">
        <v>43376</v>
      </c>
      <c r="B8679" s="116">
        <f t="shared" si="138"/>
        <v>101</v>
      </c>
    </row>
    <row r="8680" spans="1:2" x14ac:dyDescent="0.2">
      <c r="A8680" s="117">
        <v>43377</v>
      </c>
      <c r="B8680" s="116">
        <f t="shared" si="138"/>
        <v>101</v>
      </c>
    </row>
    <row r="8681" spans="1:2" x14ac:dyDescent="0.2">
      <c r="A8681" s="117">
        <v>43378</v>
      </c>
      <c r="B8681" s="116">
        <f t="shared" si="138"/>
        <v>101</v>
      </c>
    </row>
    <row r="8682" spans="1:2" x14ac:dyDescent="0.2">
      <c r="A8682" s="117">
        <v>43379</v>
      </c>
      <c r="B8682" s="116">
        <f t="shared" si="138"/>
        <v>101</v>
      </c>
    </row>
    <row r="8683" spans="1:2" x14ac:dyDescent="0.2">
      <c r="A8683" s="117">
        <v>43380</v>
      </c>
      <c r="B8683" s="116">
        <f t="shared" si="138"/>
        <v>102</v>
      </c>
    </row>
    <row r="8684" spans="1:2" x14ac:dyDescent="0.2">
      <c r="A8684" s="117">
        <v>43381</v>
      </c>
      <c r="B8684" s="116">
        <f t="shared" si="138"/>
        <v>102</v>
      </c>
    </row>
    <row r="8685" spans="1:2" x14ac:dyDescent="0.2">
      <c r="A8685" s="117">
        <v>43382</v>
      </c>
      <c r="B8685" s="116">
        <f t="shared" si="138"/>
        <v>102</v>
      </c>
    </row>
    <row r="8686" spans="1:2" x14ac:dyDescent="0.2">
      <c r="A8686" s="117">
        <v>43383</v>
      </c>
      <c r="B8686" s="116">
        <f t="shared" si="138"/>
        <v>102</v>
      </c>
    </row>
    <row r="8687" spans="1:2" x14ac:dyDescent="0.2">
      <c r="A8687" s="117">
        <v>43384</v>
      </c>
      <c r="B8687" s="116">
        <f t="shared" si="138"/>
        <v>102</v>
      </c>
    </row>
    <row r="8688" spans="1:2" x14ac:dyDescent="0.2">
      <c r="A8688" s="117">
        <v>43385</v>
      </c>
      <c r="B8688" s="116">
        <f t="shared" si="138"/>
        <v>102</v>
      </c>
    </row>
    <row r="8689" spans="1:2" x14ac:dyDescent="0.2">
      <c r="A8689" s="117">
        <v>43386</v>
      </c>
      <c r="B8689" s="116">
        <f t="shared" si="138"/>
        <v>102</v>
      </c>
    </row>
    <row r="8690" spans="1:2" x14ac:dyDescent="0.2">
      <c r="A8690" s="117">
        <v>43387</v>
      </c>
      <c r="B8690" s="116">
        <f t="shared" si="138"/>
        <v>103</v>
      </c>
    </row>
    <row r="8691" spans="1:2" x14ac:dyDescent="0.2">
      <c r="A8691" s="117">
        <v>43388</v>
      </c>
      <c r="B8691" s="116">
        <f t="shared" si="138"/>
        <v>103</v>
      </c>
    </row>
    <row r="8692" spans="1:2" x14ac:dyDescent="0.2">
      <c r="A8692" s="117">
        <v>43389</v>
      </c>
      <c r="B8692" s="116">
        <f t="shared" si="138"/>
        <v>103</v>
      </c>
    </row>
    <row r="8693" spans="1:2" x14ac:dyDescent="0.2">
      <c r="A8693" s="117">
        <v>43390</v>
      </c>
      <c r="B8693" s="116">
        <f t="shared" si="138"/>
        <v>103</v>
      </c>
    </row>
    <row r="8694" spans="1:2" x14ac:dyDescent="0.2">
      <c r="A8694" s="117">
        <v>43391</v>
      </c>
      <c r="B8694" s="116">
        <f t="shared" si="138"/>
        <v>103</v>
      </c>
    </row>
    <row r="8695" spans="1:2" x14ac:dyDescent="0.2">
      <c r="A8695" s="117">
        <v>43392</v>
      </c>
      <c r="B8695" s="116">
        <f t="shared" si="138"/>
        <v>103</v>
      </c>
    </row>
    <row r="8696" spans="1:2" x14ac:dyDescent="0.2">
      <c r="A8696" s="117">
        <v>43393</v>
      </c>
      <c r="B8696" s="116">
        <f t="shared" si="138"/>
        <v>103</v>
      </c>
    </row>
    <row r="8697" spans="1:2" x14ac:dyDescent="0.2">
      <c r="A8697" s="117">
        <v>43394</v>
      </c>
      <c r="B8697" s="116">
        <f t="shared" si="138"/>
        <v>104</v>
      </c>
    </row>
    <row r="8698" spans="1:2" x14ac:dyDescent="0.2">
      <c r="A8698" s="117">
        <v>43395</v>
      </c>
      <c r="B8698" s="116">
        <f t="shared" si="138"/>
        <v>104</v>
      </c>
    </row>
    <row r="8699" spans="1:2" x14ac:dyDescent="0.2">
      <c r="A8699" s="117">
        <v>43396</v>
      </c>
      <c r="B8699" s="116">
        <f t="shared" si="138"/>
        <v>104</v>
      </c>
    </row>
    <row r="8700" spans="1:2" x14ac:dyDescent="0.2">
      <c r="A8700" s="117">
        <v>43397</v>
      </c>
      <c r="B8700" s="116">
        <f t="shared" si="138"/>
        <v>104</v>
      </c>
    </row>
    <row r="8701" spans="1:2" x14ac:dyDescent="0.2">
      <c r="A8701" s="117">
        <v>43398</v>
      </c>
      <c r="B8701" s="116">
        <f t="shared" si="138"/>
        <v>104</v>
      </c>
    </row>
    <row r="8702" spans="1:2" x14ac:dyDescent="0.2">
      <c r="A8702" s="117">
        <v>43399</v>
      </c>
      <c r="B8702" s="116">
        <f t="shared" si="138"/>
        <v>104</v>
      </c>
    </row>
    <row r="8703" spans="1:2" x14ac:dyDescent="0.2">
      <c r="A8703" s="117">
        <v>43400</v>
      </c>
      <c r="B8703" s="116">
        <f t="shared" si="138"/>
        <v>104</v>
      </c>
    </row>
    <row r="8704" spans="1:2" x14ac:dyDescent="0.2">
      <c r="A8704" s="117">
        <v>43401</v>
      </c>
      <c r="B8704" s="116">
        <f t="shared" si="138"/>
        <v>105</v>
      </c>
    </row>
    <row r="8705" spans="1:2" x14ac:dyDescent="0.2">
      <c r="A8705" s="117">
        <v>43402</v>
      </c>
      <c r="B8705" s="116">
        <f t="shared" si="138"/>
        <v>105</v>
      </c>
    </row>
    <row r="8706" spans="1:2" x14ac:dyDescent="0.2">
      <c r="A8706" s="117">
        <v>43403</v>
      </c>
      <c r="B8706" s="116">
        <f t="shared" si="138"/>
        <v>105</v>
      </c>
    </row>
    <row r="8707" spans="1:2" x14ac:dyDescent="0.2">
      <c r="A8707" s="117">
        <v>43404</v>
      </c>
      <c r="B8707" s="116">
        <f t="shared" si="138"/>
        <v>105</v>
      </c>
    </row>
    <row r="8708" spans="1:2" x14ac:dyDescent="0.2">
      <c r="A8708" s="117">
        <v>43405</v>
      </c>
      <c r="B8708" s="116">
        <f t="shared" si="138"/>
        <v>105</v>
      </c>
    </row>
    <row r="8709" spans="1:2" x14ac:dyDescent="0.2">
      <c r="A8709" s="117">
        <v>43406</v>
      </c>
      <c r="B8709" s="116">
        <f t="shared" si="138"/>
        <v>105</v>
      </c>
    </row>
    <row r="8710" spans="1:2" x14ac:dyDescent="0.2">
      <c r="A8710" s="117">
        <v>43407</v>
      </c>
      <c r="B8710" s="116">
        <f t="shared" si="138"/>
        <v>105</v>
      </c>
    </row>
    <row r="8711" spans="1:2" x14ac:dyDescent="0.2">
      <c r="A8711" s="117">
        <v>43408</v>
      </c>
      <c r="B8711" s="116">
        <f t="shared" si="138"/>
        <v>111</v>
      </c>
    </row>
    <row r="8712" spans="1:2" x14ac:dyDescent="0.2">
      <c r="A8712" s="117">
        <v>43409</v>
      </c>
      <c r="B8712" s="116">
        <f t="shared" si="138"/>
        <v>111</v>
      </c>
    </row>
    <row r="8713" spans="1:2" x14ac:dyDescent="0.2">
      <c r="A8713" s="117">
        <v>43410</v>
      </c>
      <c r="B8713" s="116">
        <f t="shared" si="138"/>
        <v>111</v>
      </c>
    </row>
    <row r="8714" spans="1:2" x14ac:dyDescent="0.2">
      <c r="A8714" s="117">
        <v>43411</v>
      </c>
      <c r="B8714" s="116">
        <f t="shared" si="138"/>
        <v>111</v>
      </c>
    </row>
    <row r="8715" spans="1:2" x14ac:dyDescent="0.2">
      <c r="A8715" s="117">
        <v>43412</v>
      </c>
      <c r="B8715" s="116">
        <f t="shared" si="138"/>
        <v>111</v>
      </c>
    </row>
    <row r="8716" spans="1:2" x14ac:dyDescent="0.2">
      <c r="A8716" s="117">
        <v>43413</v>
      </c>
      <c r="B8716" s="116">
        <f t="shared" si="138"/>
        <v>111</v>
      </c>
    </row>
    <row r="8717" spans="1:2" x14ac:dyDescent="0.2">
      <c r="A8717" s="117">
        <v>43414</v>
      </c>
      <c r="B8717" s="116">
        <f t="shared" si="138"/>
        <v>111</v>
      </c>
    </row>
    <row r="8718" spans="1:2" x14ac:dyDescent="0.2">
      <c r="A8718" s="117">
        <v>43415</v>
      </c>
      <c r="B8718" s="116">
        <f t="shared" si="138"/>
        <v>112</v>
      </c>
    </row>
    <row r="8719" spans="1:2" x14ac:dyDescent="0.2">
      <c r="A8719" s="117">
        <v>43416</v>
      </c>
      <c r="B8719" s="116">
        <f t="shared" si="138"/>
        <v>112</v>
      </c>
    </row>
    <row r="8720" spans="1:2" x14ac:dyDescent="0.2">
      <c r="A8720" s="117">
        <v>43417</v>
      </c>
      <c r="B8720" s="116">
        <f t="shared" si="138"/>
        <v>112</v>
      </c>
    </row>
    <row r="8721" spans="1:2" x14ac:dyDescent="0.2">
      <c r="A8721" s="117">
        <v>43418</v>
      </c>
      <c r="B8721" s="116">
        <f t="shared" si="138"/>
        <v>112</v>
      </c>
    </row>
    <row r="8722" spans="1:2" x14ac:dyDescent="0.2">
      <c r="A8722" s="117">
        <v>43419</v>
      </c>
      <c r="B8722" s="116">
        <f t="shared" si="138"/>
        <v>112</v>
      </c>
    </row>
    <row r="8723" spans="1:2" x14ac:dyDescent="0.2">
      <c r="A8723" s="117">
        <v>43420</v>
      </c>
      <c r="B8723" s="116">
        <f t="shared" si="138"/>
        <v>112</v>
      </c>
    </row>
    <row r="8724" spans="1:2" x14ac:dyDescent="0.2">
      <c r="A8724" s="117">
        <v>43421</v>
      </c>
      <c r="B8724" s="116">
        <f t="shared" si="138"/>
        <v>112</v>
      </c>
    </row>
    <row r="8725" spans="1:2" x14ac:dyDescent="0.2">
      <c r="A8725" s="117">
        <v>43422</v>
      </c>
      <c r="B8725" s="116">
        <f t="shared" si="138"/>
        <v>113</v>
      </c>
    </row>
    <row r="8726" spans="1:2" x14ac:dyDescent="0.2">
      <c r="A8726" s="117">
        <v>43423</v>
      </c>
      <c r="B8726" s="116">
        <f t="shared" si="138"/>
        <v>113</v>
      </c>
    </row>
    <row r="8727" spans="1:2" x14ac:dyDescent="0.2">
      <c r="A8727" s="117">
        <v>43424</v>
      </c>
      <c r="B8727" s="116">
        <f t="shared" si="138"/>
        <v>113</v>
      </c>
    </row>
    <row r="8728" spans="1:2" x14ac:dyDescent="0.2">
      <c r="A8728" s="117">
        <v>43425</v>
      </c>
      <c r="B8728" s="116">
        <f t="shared" si="138"/>
        <v>113</v>
      </c>
    </row>
    <row r="8729" spans="1:2" x14ac:dyDescent="0.2">
      <c r="A8729" s="117">
        <v>43426</v>
      </c>
      <c r="B8729" s="116">
        <f t="shared" si="138"/>
        <v>113</v>
      </c>
    </row>
    <row r="8730" spans="1:2" x14ac:dyDescent="0.2">
      <c r="A8730" s="117">
        <v>43427</v>
      </c>
      <c r="B8730" s="116">
        <f t="shared" si="138"/>
        <v>113</v>
      </c>
    </row>
    <row r="8731" spans="1:2" x14ac:dyDescent="0.2">
      <c r="A8731" s="117">
        <v>43428</v>
      </c>
      <c r="B8731" s="116">
        <f t="shared" si="138"/>
        <v>113</v>
      </c>
    </row>
    <row r="8732" spans="1:2" x14ac:dyDescent="0.2">
      <c r="A8732" s="117">
        <v>43429</v>
      </c>
      <c r="B8732" s="116">
        <f t="shared" si="138"/>
        <v>114</v>
      </c>
    </row>
    <row r="8733" spans="1:2" x14ac:dyDescent="0.2">
      <c r="A8733" s="117">
        <v>43430</v>
      </c>
      <c r="B8733" s="116">
        <f t="shared" si="138"/>
        <v>114</v>
      </c>
    </row>
    <row r="8734" spans="1:2" x14ac:dyDescent="0.2">
      <c r="A8734" s="117">
        <v>43431</v>
      </c>
      <c r="B8734" s="116">
        <f t="shared" si="138"/>
        <v>114</v>
      </c>
    </row>
    <row r="8735" spans="1:2" x14ac:dyDescent="0.2">
      <c r="A8735" s="117">
        <v>43432</v>
      </c>
      <c r="B8735" s="116">
        <f t="shared" si="138"/>
        <v>114</v>
      </c>
    </row>
    <row r="8736" spans="1:2" x14ac:dyDescent="0.2">
      <c r="A8736" s="117">
        <v>43433</v>
      </c>
      <c r="B8736" s="116">
        <f t="shared" si="138"/>
        <v>114</v>
      </c>
    </row>
    <row r="8737" spans="1:2" x14ac:dyDescent="0.2">
      <c r="A8737" s="117">
        <v>43434</v>
      </c>
      <c r="B8737" s="116">
        <f t="shared" si="138"/>
        <v>114</v>
      </c>
    </row>
    <row r="8738" spans="1:2" x14ac:dyDescent="0.2">
      <c r="A8738" s="117">
        <v>43435</v>
      </c>
      <c r="B8738" s="116">
        <f t="shared" si="138"/>
        <v>114</v>
      </c>
    </row>
    <row r="8739" spans="1:2" x14ac:dyDescent="0.2">
      <c r="A8739" s="117">
        <v>43436</v>
      </c>
      <c r="B8739" s="116">
        <f t="shared" si="138"/>
        <v>115</v>
      </c>
    </row>
    <row r="8740" spans="1:2" x14ac:dyDescent="0.2">
      <c r="A8740" s="117">
        <v>43437</v>
      </c>
      <c r="B8740" s="116">
        <f t="shared" si="138"/>
        <v>115</v>
      </c>
    </row>
    <row r="8741" spans="1:2" x14ac:dyDescent="0.2">
      <c r="A8741" s="117">
        <v>43438</v>
      </c>
      <c r="B8741" s="116">
        <f t="shared" ref="B8741:B8768" si="139">VLOOKUP(WEEKNUM(A8741),$D$4:$E$59,2)</f>
        <v>115</v>
      </c>
    </row>
    <row r="8742" spans="1:2" x14ac:dyDescent="0.2">
      <c r="A8742" s="117">
        <v>43439</v>
      </c>
      <c r="B8742" s="116">
        <f t="shared" si="139"/>
        <v>115</v>
      </c>
    </row>
    <row r="8743" spans="1:2" x14ac:dyDescent="0.2">
      <c r="A8743" s="117">
        <v>43440</v>
      </c>
      <c r="B8743" s="116">
        <f t="shared" si="139"/>
        <v>115</v>
      </c>
    </row>
    <row r="8744" spans="1:2" x14ac:dyDescent="0.2">
      <c r="A8744" s="117">
        <v>43441</v>
      </c>
      <c r="B8744" s="116">
        <f t="shared" si="139"/>
        <v>115</v>
      </c>
    </row>
    <row r="8745" spans="1:2" x14ac:dyDescent="0.2">
      <c r="A8745" s="117">
        <v>43442</v>
      </c>
      <c r="B8745" s="116">
        <f t="shared" si="139"/>
        <v>115</v>
      </c>
    </row>
    <row r="8746" spans="1:2" x14ac:dyDescent="0.2">
      <c r="A8746" s="117">
        <v>43443</v>
      </c>
      <c r="B8746" s="116">
        <f t="shared" si="139"/>
        <v>121</v>
      </c>
    </row>
    <row r="8747" spans="1:2" x14ac:dyDescent="0.2">
      <c r="A8747" s="117">
        <v>43444</v>
      </c>
      <c r="B8747" s="116">
        <f t="shared" si="139"/>
        <v>121</v>
      </c>
    </row>
    <row r="8748" spans="1:2" x14ac:dyDescent="0.2">
      <c r="A8748" s="117">
        <v>43445</v>
      </c>
      <c r="B8748" s="116">
        <f t="shared" si="139"/>
        <v>121</v>
      </c>
    </row>
    <row r="8749" spans="1:2" x14ac:dyDescent="0.2">
      <c r="A8749" s="117">
        <v>43446</v>
      </c>
      <c r="B8749" s="116">
        <f t="shared" si="139"/>
        <v>121</v>
      </c>
    </row>
    <row r="8750" spans="1:2" x14ac:dyDescent="0.2">
      <c r="A8750" s="117">
        <v>43447</v>
      </c>
      <c r="B8750" s="116">
        <f t="shared" si="139"/>
        <v>121</v>
      </c>
    </row>
    <row r="8751" spans="1:2" x14ac:dyDescent="0.2">
      <c r="A8751" s="117">
        <v>43448</v>
      </c>
      <c r="B8751" s="116">
        <f t="shared" si="139"/>
        <v>121</v>
      </c>
    </row>
    <row r="8752" spans="1:2" x14ac:dyDescent="0.2">
      <c r="A8752" s="117">
        <v>43449</v>
      </c>
      <c r="B8752" s="116">
        <f t="shared" si="139"/>
        <v>121</v>
      </c>
    </row>
    <row r="8753" spans="1:2" x14ac:dyDescent="0.2">
      <c r="A8753" s="117">
        <v>43450</v>
      </c>
      <c r="B8753" s="116">
        <f t="shared" si="139"/>
        <v>122</v>
      </c>
    </row>
    <row r="8754" spans="1:2" x14ac:dyDescent="0.2">
      <c r="A8754" s="117">
        <v>43451</v>
      </c>
      <c r="B8754" s="116">
        <f t="shared" si="139"/>
        <v>122</v>
      </c>
    </row>
    <row r="8755" spans="1:2" x14ac:dyDescent="0.2">
      <c r="A8755" s="117">
        <v>43452</v>
      </c>
      <c r="B8755" s="116">
        <f t="shared" si="139"/>
        <v>122</v>
      </c>
    </row>
    <row r="8756" spans="1:2" x14ac:dyDescent="0.2">
      <c r="A8756" s="117">
        <v>43453</v>
      </c>
      <c r="B8756" s="116">
        <f t="shared" si="139"/>
        <v>122</v>
      </c>
    </row>
    <row r="8757" spans="1:2" x14ac:dyDescent="0.2">
      <c r="A8757" s="117">
        <v>43454</v>
      </c>
      <c r="B8757" s="116">
        <f t="shared" si="139"/>
        <v>122</v>
      </c>
    </row>
    <row r="8758" spans="1:2" x14ac:dyDescent="0.2">
      <c r="A8758" s="117">
        <v>43455</v>
      </c>
      <c r="B8758" s="116">
        <f t="shared" si="139"/>
        <v>122</v>
      </c>
    </row>
    <row r="8759" spans="1:2" x14ac:dyDescent="0.2">
      <c r="A8759" s="117">
        <v>43456</v>
      </c>
      <c r="B8759" s="116">
        <f t="shared" si="139"/>
        <v>122</v>
      </c>
    </row>
    <row r="8760" spans="1:2" x14ac:dyDescent="0.2">
      <c r="A8760" s="117">
        <v>43457</v>
      </c>
      <c r="B8760" s="116">
        <f t="shared" si="139"/>
        <v>123</v>
      </c>
    </row>
    <row r="8761" spans="1:2" x14ac:dyDescent="0.2">
      <c r="A8761" s="117">
        <v>43458</v>
      </c>
      <c r="B8761" s="116">
        <f t="shared" si="139"/>
        <v>123</v>
      </c>
    </row>
    <row r="8762" spans="1:2" x14ac:dyDescent="0.2">
      <c r="A8762" s="117">
        <v>43459</v>
      </c>
      <c r="B8762" s="116">
        <f t="shared" si="139"/>
        <v>123</v>
      </c>
    </row>
    <row r="8763" spans="1:2" x14ac:dyDescent="0.2">
      <c r="A8763" s="117">
        <v>43460</v>
      </c>
      <c r="B8763" s="116">
        <f t="shared" si="139"/>
        <v>123</v>
      </c>
    </row>
    <row r="8764" spans="1:2" x14ac:dyDescent="0.2">
      <c r="A8764" s="117">
        <v>43461</v>
      </c>
      <c r="B8764" s="116">
        <f t="shared" si="139"/>
        <v>123</v>
      </c>
    </row>
    <row r="8765" spans="1:2" x14ac:dyDescent="0.2">
      <c r="A8765" s="117">
        <v>43462</v>
      </c>
      <c r="B8765" s="116">
        <f t="shared" si="139"/>
        <v>123</v>
      </c>
    </row>
    <row r="8766" spans="1:2" x14ac:dyDescent="0.2">
      <c r="A8766" s="117">
        <v>43463</v>
      </c>
      <c r="B8766" s="116">
        <f t="shared" si="139"/>
        <v>123</v>
      </c>
    </row>
    <row r="8767" spans="1:2" x14ac:dyDescent="0.2">
      <c r="A8767" s="117">
        <v>43464</v>
      </c>
      <c r="B8767" s="116">
        <f t="shared" si="139"/>
        <v>124</v>
      </c>
    </row>
    <row r="8768" spans="1:2" x14ac:dyDescent="0.2">
      <c r="A8768" s="117">
        <v>43465</v>
      </c>
      <c r="B8768" s="116">
        <f t="shared" si="139"/>
        <v>124</v>
      </c>
    </row>
    <row r="8769" spans="1:2" x14ac:dyDescent="0.2">
      <c r="A8769" s="117">
        <v>43466</v>
      </c>
      <c r="B8769" s="116">
        <f t="shared" ref="B8769:B8832" si="140">VLOOKUP(WEEKNUM(A8769),$D$4:$E$59,2)</f>
        <v>11</v>
      </c>
    </row>
    <row r="8770" spans="1:2" x14ac:dyDescent="0.2">
      <c r="A8770" s="117">
        <v>43467</v>
      </c>
      <c r="B8770" s="116">
        <f t="shared" si="140"/>
        <v>11</v>
      </c>
    </row>
    <row r="8771" spans="1:2" x14ac:dyDescent="0.2">
      <c r="A8771" s="117">
        <v>43468</v>
      </c>
      <c r="B8771" s="116">
        <f t="shared" si="140"/>
        <v>11</v>
      </c>
    </row>
    <row r="8772" spans="1:2" x14ac:dyDescent="0.2">
      <c r="A8772" s="117">
        <v>43469</v>
      </c>
      <c r="B8772" s="116">
        <f t="shared" si="140"/>
        <v>11</v>
      </c>
    </row>
    <row r="8773" spans="1:2" x14ac:dyDescent="0.2">
      <c r="A8773" s="117">
        <v>43470</v>
      </c>
      <c r="B8773" s="116">
        <f t="shared" si="140"/>
        <v>11</v>
      </c>
    </row>
    <row r="8774" spans="1:2" x14ac:dyDescent="0.2">
      <c r="A8774" s="117">
        <v>43471</v>
      </c>
      <c r="B8774" s="116">
        <f t="shared" si="140"/>
        <v>12</v>
      </c>
    </row>
    <row r="8775" spans="1:2" x14ac:dyDescent="0.2">
      <c r="A8775" s="117">
        <v>43472</v>
      </c>
      <c r="B8775" s="116">
        <f t="shared" si="140"/>
        <v>12</v>
      </c>
    </row>
    <row r="8776" spans="1:2" x14ac:dyDescent="0.2">
      <c r="A8776" s="117">
        <v>43473</v>
      </c>
      <c r="B8776" s="116">
        <f t="shared" si="140"/>
        <v>12</v>
      </c>
    </row>
    <row r="8777" spans="1:2" x14ac:dyDescent="0.2">
      <c r="A8777" s="117">
        <v>43474</v>
      </c>
      <c r="B8777" s="116">
        <f t="shared" si="140"/>
        <v>12</v>
      </c>
    </row>
    <row r="8778" spans="1:2" x14ac:dyDescent="0.2">
      <c r="A8778" s="117">
        <v>43475</v>
      </c>
      <c r="B8778" s="116">
        <f t="shared" si="140"/>
        <v>12</v>
      </c>
    </row>
    <row r="8779" spans="1:2" x14ac:dyDescent="0.2">
      <c r="A8779" s="117">
        <v>43476</v>
      </c>
      <c r="B8779" s="116">
        <f t="shared" si="140"/>
        <v>12</v>
      </c>
    </row>
    <row r="8780" spans="1:2" x14ac:dyDescent="0.2">
      <c r="A8780" s="117">
        <v>43477</v>
      </c>
      <c r="B8780" s="116">
        <f t="shared" si="140"/>
        <v>12</v>
      </c>
    </row>
    <row r="8781" spans="1:2" x14ac:dyDescent="0.2">
      <c r="A8781" s="117">
        <v>43478</v>
      </c>
      <c r="B8781" s="116">
        <f t="shared" si="140"/>
        <v>13</v>
      </c>
    </row>
    <row r="8782" spans="1:2" x14ac:dyDescent="0.2">
      <c r="A8782" s="117">
        <v>43479</v>
      </c>
      <c r="B8782" s="116">
        <f t="shared" si="140"/>
        <v>13</v>
      </c>
    </row>
    <row r="8783" spans="1:2" x14ac:dyDescent="0.2">
      <c r="A8783" s="117">
        <v>43480</v>
      </c>
      <c r="B8783" s="116">
        <f t="shared" si="140"/>
        <v>13</v>
      </c>
    </row>
    <row r="8784" spans="1:2" x14ac:dyDescent="0.2">
      <c r="A8784" s="117">
        <v>43481</v>
      </c>
      <c r="B8784" s="116">
        <f t="shared" si="140"/>
        <v>13</v>
      </c>
    </row>
    <row r="8785" spans="1:2" x14ac:dyDescent="0.2">
      <c r="A8785" s="117">
        <v>43482</v>
      </c>
      <c r="B8785" s="116">
        <f t="shared" si="140"/>
        <v>13</v>
      </c>
    </row>
    <row r="8786" spans="1:2" x14ac:dyDescent="0.2">
      <c r="A8786" s="117">
        <v>43483</v>
      </c>
      <c r="B8786" s="116">
        <f t="shared" si="140"/>
        <v>13</v>
      </c>
    </row>
    <row r="8787" spans="1:2" x14ac:dyDescent="0.2">
      <c r="A8787" s="117">
        <v>43484</v>
      </c>
      <c r="B8787" s="116">
        <f t="shared" si="140"/>
        <v>13</v>
      </c>
    </row>
    <row r="8788" spans="1:2" x14ac:dyDescent="0.2">
      <c r="A8788" s="117">
        <v>43485</v>
      </c>
      <c r="B8788" s="116">
        <f t="shared" si="140"/>
        <v>14</v>
      </c>
    </row>
    <row r="8789" spans="1:2" x14ac:dyDescent="0.2">
      <c r="A8789" s="117">
        <v>43486</v>
      </c>
      <c r="B8789" s="116">
        <f t="shared" si="140"/>
        <v>14</v>
      </c>
    </row>
    <row r="8790" spans="1:2" x14ac:dyDescent="0.2">
      <c r="A8790" s="117">
        <v>43487</v>
      </c>
      <c r="B8790" s="116">
        <f t="shared" si="140"/>
        <v>14</v>
      </c>
    </row>
    <row r="8791" spans="1:2" x14ac:dyDescent="0.2">
      <c r="A8791" s="117">
        <v>43488</v>
      </c>
      <c r="B8791" s="116">
        <f t="shared" si="140"/>
        <v>14</v>
      </c>
    </row>
    <row r="8792" spans="1:2" x14ac:dyDescent="0.2">
      <c r="A8792" s="117">
        <v>43489</v>
      </c>
      <c r="B8792" s="116">
        <f t="shared" si="140"/>
        <v>14</v>
      </c>
    </row>
    <row r="8793" spans="1:2" x14ac:dyDescent="0.2">
      <c r="A8793" s="117">
        <v>43490</v>
      </c>
      <c r="B8793" s="116">
        <f t="shared" si="140"/>
        <v>14</v>
      </c>
    </row>
    <row r="8794" spans="1:2" x14ac:dyDescent="0.2">
      <c r="A8794" s="117">
        <v>43491</v>
      </c>
      <c r="B8794" s="116">
        <f t="shared" si="140"/>
        <v>14</v>
      </c>
    </row>
    <row r="8795" spans="1:2" x14ac:dyDescent="0.2">
      <c r="A8795" s="117">
        <v>43492</v>
      </c>
      <c r="B8795" s="116">
        <f t="shared" si="140"/>
        <v>15</v>
      </c>
    </row>
    <row r="8796" spans="1:2" x14ac:dyDescent="0.2">
      <c r="A8796" s="117">
        <v>43493</v>
      </c>
      <c r="B8796" s="116">
        <f t="shared" si="140"/>
        <v>15</v>
      </c>
    </row>
    <row r="8797" spans="1:2" x14ac:dyDescent="0.2">
      <c r="A8797" s="117">
        <v>43494</v>
      </c>
      <c r="B8797" s="116">
        <f t="shared" si="140"/>
        <v>15</v>
      </c>
    </row>
    <row r="8798" spans="1:2" x14ac:dyDescent="0.2">
      <c r="A8798" s="117">
        <v>43495</v>
      </c>
      <c r="B8798" s="116">
        <f t="shared" si="140"/>
        <v>15</v>
      </c>
    </row>
    <row r="8799" spans="1:2" x14ac:dyDescent="0.2">
      <c r="A8799" s="117">
        <v>43496</v>
      </c>
      <c r="B8799" s="116">
        <f t="shared" si="140"/>
        <v>15</v>
      </c>
    </row>
    <row r="8800" spans="1:2" x14ac:dyDescent="0.2">
      <c r="A8800" s="117">
        <v>43497</v>
      </c>
      <c r="B8800" s="116">
        <f t="shared" si="140"/>
        <v>15</v>
      </c>
    </row>
    <row r="8801" spans="1:2" x14ac:dyDescent="0.2">
      <c r="A8801" s="117">
        <v>43498</v>
      </c>
      <c r="B8801" s="116">
        <f t="shared" si="140"/>
        <v>15</v>
      </c>
    </row>
    <row r="8802" spans="1:2" x14ac:dyDescent="0.2">
      <c r="A8802" s="117">
        <v>43499</v>
      </c>
      <c r="B8802" s="116">
        <f t="shared" si="140"/>
        <v>21</v>
      </c>
    </row>
    <row r="8803" spans="1:2" x14ac:dyDescent="0.2">
      <c r="A8803" s="117">
        <v>43500</v>
      </c>
      <c r="B8803" s="116">
        <f t="shared" si="140"/>
        <v>21</v>
      </c>
    </row>
    <row r="8804" spans="1:2" x14ac:dyDescent="0.2">
      <c r="A8804" s="117">
        <v>43501</v>
      </c>
      <c r="B8804" s="116">
        <f t="shared" si="140"/>
        <v>21</v>
      </c>
    </row>
    <row r="8805" spans="1:2" x14ac:dyDescent="0.2">
      <c r="A8805" s="117">
        <v>43502</v>
      </c>
      <c r="B8805" s="116">
        <f t="shared" si="140"/>
        <v>21</v>
      </c>
    </row>
    <row r="8806" spans="1:2" x14ac:dyDescent="0.2">
      <c r="A8806" s="117">
        <v>43503</v>
      </c>
      <c r="B8806" s="116">
        <f t="shared" si="140"/>
        <v>21</v>
      </c>
    </row>
    <row r="8807" spans="1:2" x14ac:dyDescent="0.2">
      <c r="A8807" s="117">
        <v>43504</v>
      </c>
      <c r="B8807" s="116">
        <f t="shared" si="140"/>
        <v>21</v>
      </c>
    </row>
    <row r="8808" spans="1:2" x14ac:dyDescent="0.2">
      <c r="A8808" s="117">
        <v>43505</v>
      </c>
      <c r="B8808" s="116">
        <f t="shared" si="140"/>
        <v>21</v>
      </c>
    </row>
    <row r="8809" spans="1:2" x14ac:dyDescent="0.2">
      <c r="A8809" s="117">
        <v>43506</v>
      </c>
      <c r="B8809" s="116">
        <f t="shared" si="140"/>
        <v>22</v>
      </c>
    </row>
    <row r="8810" spans="1:2" x14ac:dyDescent="0.2">
      <c r="A8810" s="117">
        <v>43507</v>
      </c>
      <c r="B8810" s="116">
        <f t="shared" si="140"/>
        <v>22</v>
      </c>
    </row>
    <row r="8811" spans="1:2" x14ac:dyDescent="0.2">
      <c r="A8811" s="117">
        <v>43508</v>
      </c>
      <c r="B8811" s="116">
        <f t="shared" si="140"/>
        <v>22</v>
      </c>
    </row>
    <row r="8812" spans="1:2" x14ac:dyDescent="0.2">
      <c r="A8812" s="117">
        <v>43509</v>
      </c>
      <c r="B8812" s="116">
        <f t="shared" si="140"/>
        <v>22</v>
      </c>
    </row>
    <row r="8813" spans="1:2" x14ac:dyDescent="0.2">
      <c r="A8813" s="117">
        <v>43510</v>
      </c>
      <c r="B8813" s="116">
        <f t="shared" si="140"/>
        <v>22</v>
      </c>
    </row>
    <row r="8814" spans="1:2" x14ac:dyDescent="0.2">
      <c r="A8814" s="117">
        <v>43511</v>
      </c>
      <c r="B8814" s="116">
        <f t="shared" si="140"/>
        <v>22</v>
      </c>
    </row>
    <row r="8815" spans="1:2" x14ac:dyDescent="0.2">
      <c r="A8815" s="117">
        <v>43512</v>
      </c>
      <c r="B8815" s="116">
        <f t="shared" si="140"/>
        <v>22</v>
      </c>
    </row>
    <row r="8816" spans="1:2" x14ac:dyDescent="0.2">
      <c r="A8816" s="117">
        <v>43513</v>
      </c>
      <c r="B8816" s="116">
        <f t="shared" si="140"/>
        <v>23</v>
      </c>
    </row>
    <row r="8817" spans="1:2" x14ac:dyDescent="0.2">
      <c r="A8817" s="117">
        <v>43514</v>
      </c>
      <c r="B8817" s="116">
        <f t="shared" si="140"/>
        <v>23</v>
      </c>
    </row>
    <row r="8818" spans="1:2" x14ac:dyDescent="0.2">
      <c r="A8818" s="117">
        <v>43515</v>
      </c>
      <c r="B8818" s="116">
        <f t="shared" si="140"/>
        <v>23</v>
      </c>
    </row>
    <row r="8819" spans="1:2" x14ac:dyDescent="0.2">
      <c r="A8819" s="117">
        <v>43516</v>
      </c>
      <c r="B8819" s="116">
        <f t="shared" si="140"/>
        <v>23</v>
      </c>
    </row>
    <row r="8820" spans="1:2" x14ac:dyDescent="0.2">
      <c r="A8820" s="117">
        <v>43517</v>
      </c>
      <c r="B8820" s="116">
        <f t="shared" si="140"/>
        <v>23</v>
      </c>
    </row>
    <row r="8821" spans="1:2" x14ac:dyDescent="0.2">
      <c r="A8821" s="117">
        <v>43518</v>
      </c>
      <c r="B8821" s="116">
        <f t="shared" si="140"/>
        <v>23</v>
      </c>
    </row>
    <row r="8822" spans="1:2" x14ac:dyDescent="0.2">
      <c r="A8822" s="117">
        <v>43519</v>
      </c>
      <c r="B8822" s="116">
        <f t="shared" si="140"/>
        <v>23</v>
      </c>
    </row>
    <row r="8823" spans="1:2" x14ac:dyDescent="0.2">
      <c r="A8823" s="117">
        <v>43520</v>
      </c>
      <c r="B8823" s="116">
        <f t="shared" si="140"/>
        <v>24</v>
      </c>
    </row>
    <row r="8824" spans="1:2" x14ac:dyDescent="0.2">
      <c r="A8824" s="117">
        <v>43521</v>
      </c>
      <c r="B8824" s="116">
        <f t="shared" si="140"/>
        <v>24</v>
      </c>
    </row>
    <row r="8825" spans="1:2" x14ac:dyDescent="0.2">
      <c r="A8825" s="117">
        <v>43522</v>
      </c>
      <c r="B8825" s="116">
        <f t="shared" si="140"/>
        <v>24</v>
      </c>
    </row>
    <row r="8826" spans="1:2" x14ac:dyDescent="0.2">
      <c r="A8826" s="117">
        <v>43523</v>
      </c>
      <c r="B8826" s="116">
        <f t="shared" si="140"/>
        <v>24</v>
      </c>
    </row>
    <row r="8827" spans="1:2" x14ac:dyDescent="0.2">
      <c r="A8827" s="117">
        <v>43524</v>
      </c>
      <c r="B8827" s="116">
        <f t="shared" si="140"/>
        <v>24</v>
      </c>
    </row>
    <row r="8828" spans="1:2" x14ac:dyDescent="0.2">
      <c r="A8828" s="117">
        <v>43525</v>
      </c>
      <c r="B8828" s="116">
        <f t="shared" si="140"/>
        <v>24</v>
      </c>
    </row>
    <row r="8829" spans="1:2" x14ac:dyDescent="0.2">
      <c r="A8829" s="117">
        <v>43526</v>
      </c>
      <c r="B8829" s="116">
        <f t="shared" si="140"/>
        <v>24</v>
      </c>
    </row>
    <row r="8830" spans="1:2" x14ac:dyDescent="0.2">
      <c r="A8830" s="117">
        <v>43527</v>
      </c>
      <c r="B8830" s="116">
        <f t="shared" si="140"/>
        <v>31</v>
      </c>
    </row>
    <row r="8831" spans="1:2" x14ac:dyDescent="0.2">
      <c r="A8831" s="117">
        <v>43528</v>
      </c>
      <c r="B8831" s="116">
        <f t="shared" si="140"/>
        <v>31</v>
      </c>
    </row>
    <row r="8832" spans="1:2" x14ac:dyDescent="0.2">
      <c r="A8832" s="117">
        <v>43529</v>
      </c>
      <c r="B8832" s="116">
        <f t="shared" si="140"/>
        <v>31</v>
      </c>
    </row>
    <row r="8833" spans="1:2" x14ac:dyDescent="0.2">
      <c r="A8833" s="117">
        <v>43530</v>
      </c>
      <c r="B8833" s="116">
        <f t="shared" ref="B8833:B8896" si="141">VLOOKUP(WEEKNUM(A8833),$D$4:$E$59,2)</f>
        <v>31</v>
      </c>
    </row>
    <row r="8834" spans="1:2" x14ac:dyDescent="0.2">
      <c r="A8834" s="117">
        <v>43531</v>
      </c>
      <c r="B8834" s="116">
        <f t="shared" si="141"/>
        <v>31</v>
      </c>
    </row>
    <row r="8835" spans="1:2" x14ac:dyDescent="0.2">
      <c r="A8835" s="117">
        <v>43532</v>
      </c>
      <c r="B8835" s="116">
        <f t="shared" si="141"/>
        <v>31</v>
      </c>
    </row>
    <row r="8836" spans="1:2" x14ac:dyDescent="0.2">
      <c r="A8836" s="117">
        <v>43533</v>
      </c>
      <c r="B8836" s="116">
        <f t="shared" si="141"/>
        <v>31</v>
      </c>
    </row>
    <row r="8837" spans="1:2" x14ac:dyDescent="0.2">
      <c r="A8837" s="117">
        <v>43534</v>
      </c>
      <c r="B8837" s="116">
        <f t="shared" si="141"/>
        <v>32</v>
      </c>
    </row>
    <row r="8838" spans="1:2" x14ac:dyDescent="0.2">
      <c r="A8838" s="117">
        <v>43535</v>
      </c>
      <c r="B8838" s="116">
        <f t="shared" si="141"/>
        <v>32</v>
      </c>
    </row>
    <row r="8839" spans="1:2" x14ac:dyDescent="0.2">
      <c r="A8839" s="117">
        <v>43536</v>
      </c>
      <c r="B8839" s="116">
        <f t="shared" si="141"/>
        <v>32</v>
      </c>
    </row>
    <row r="8840" spans="1:2" x14ac:dyDescent="0.2">
      <c r="A8840" s="117">
        <v>43537</v>
      </c>
      <c r="B8840" s="116">
        <f t="shared" si="141"/>
        <v>32</v>
      </c>
    </row>
    <row r="8841" spans="1:2" x14ac:dyDescent="0.2">
      <c r="A8841" s="117">
        <v>43538</v>
      </c>
      <c r="B8841" s="116">
        <f t="shared" si="141"/>
        <v>32</v>
      </c>
    </row>
    <row r="8842" spans="1:2" x14ac:dyDescent="0.2">
      <c r="A8842" s="117">
        <v>43539</v>
      </c>
      <c r="B8842" s="116">
        <f t="shared" si="141"/>
        <v>32</v>
      </c>
    </row>
    <row r="8843" spans="1:2" x14ac:dyDescent="0.2">
      <c r="A8843" s="117">
        <v>43540</v>
      </c>
      <c r="B8843" s="116">
        <f t="shared" si="141"/>
        <v>32</v>
      </c>
    </row>
    <row r="8844" spans="1:2" x14ac:dyDescent="0.2">
      <c r="A8844" s="117">
        <v>43541</v>
      </c>
      <c r="B8844" s="116">
        <f t="shared" si="141"/>
        <v>33</v>
      </c>
    </row>
    <row r="8845" spans="1:2" x14ac:dyDescent="0.2">
      <c r="A8845" s="117">
        <v>43542</v>
      </c>
      <c r="B8845" s="116">
        <f t="shared" si="141"/>
        <v>33</v>
      </c>
    </row>
    <row r="8846" spans="1:2" x14ac:dyDescent="0.2">
      <c r="A8846" s="117">
        <v>43543</v>
      </c>
      <c r="B8846" s="116">
        <f t="shared" si="141"/>
        <v>33</v>
      </c>
    </row>
    <row r="8847" spans="1:2" x14ac:dyDescent="0.2">
      <c r="A8847" s="117">
        <v>43544</v>
      </c>
      <c r="B8847" s="116">
        <f t="shared" si="141"/>
        <v>33</v>
      </c>
    </row>
    <row r="8848" spans="1:2" x14ac:dyDescent="0.2">
      <c r="A8848" s="117">
        <v>43545</v>
      </c>
      <c r="B8848" s="116">
        <f t="shared" si="141"/>
        <v>33</v>
      </c>
    </row>
    <row r="8849" spans="1:2" x14ac:dyDescent="0.2">
      <c r="A8849" s="117">
        <v>43546</v>
      </c>
      <c r="B8849" s="116">
        <f t="shared" si="141"/>
        <v>33</v>
      </c>
    </row>
    <row r="8850" spans="1:2" x14ac:dyDescent="0.2">
      <c r="A8850" s="117">
        <v>43547</v>
      </c>
      <c r="B8850" s="116">
        <f t="shared" si="141"/>
        <v>33</v>
      </c>
    </row>
    <row r="8851" spans="1:2" x14ac:dyDescent="0.2">
      <c r="A8851" s="117">
        <v>43548</v>
      </c>
      <c r="B8851" s="116">
        <f t="shared" si="141"/>
        <v>34</v>
      </c>
    </row>
    <row r="8852" spans="1:2" x14ac:dyDescent="0.2">
      <c r="A8852" s="117">
        <v>43549</v>
      </c>
      <c r="B8852" s="116">
        <f t="shared" si="141"/>
        <v>34</v>
      </c>
    </row>
    <row r="8853" spans="1:2" x14ac:dyDescent="0.2">
      <c r="A8853" s="117">
        <v>43550</v>
      </c>
      <c r="B8853" s="116">
        <f t="shared" si="141"/>
        <v>34</v>
      </c>
    </row>
    <row r="8854" spans="1:2" x14ac:dyDescent="0.2">
      <c r="A8854" s="117">
        <v>43551</v>
      </c>
      <c r="B8854" s="116">
        <f t="shared" si="141"/>
        <v>34</v>
      </c>
    </row>
    <row r="8855" spans="1:2" x14ac:dyDescent="0.2">
      <c r="A8855" s="117">
        <v>43552</v>
      </c>
      <c r="B8855" s="116">
        <f t="shared" si="141"/>
        <v>34</v>
      </c>
    </row>
    <row r="8856" spans="1:2" x14ac:dyDescent="0.2">
      <c r="A8856" s="117">
        <v>43553</v>
      </c>
      <c r="B8856" s="116">
        <f t="shared" si="141"/>
        <v>34</v>
      </c>
    </row>
    <row r="8857" spans="1:2" x14ac:dyDescent="0.2">
      <c r="A8857" s="117">
        <v>43554</v>
      </c>
      <c r="B8857" s="116">
        <f t="shared" si="141"/>
        <v>34</v>
      </c>
    </row>
    <row r="8858" spans="1:2" x14ac:dyDescent="0.2">
      <c r="A8858" s="117">
        <v>43555</v>
      </c>
      <c r="B8858" s="116">
        <f t="shared" si="141"/>
        <v>41</v>
      </c>
    </row>
    <row r="8859" spans="1:2" x14ac:dyDescent="0.2">
      <c r="A8859" s="117">
        <v>43556</v>
      </c>
      <c r="B8859" s="116">
        <f t="shared" si="141"/>
        <v>41</v>
      </c>
    </row>
    <row r="8860" spans="1:2" x14ac:dyDescent="0.2">
      <c r="A8860" s="117">
        <v>43557</v>
      </c>
      <c r="B8860" s="116">
        <f t="shared" si="141"/>
        <v>41</v>
      </c>
    </row>
    <row r="8861" spans="1:2" x14ac:dyDescent="0.2">
      <c r="A8861" s="117">
        <v>43558</v>
      </c>
      <c r="B8861" s="116">
        <f t="shared" si="141"/>
        <v>41</v>
      </c>
    </row>
    <row r="8862" spans="1:2" x14ac:dyDescent="0.2">
      <c r="A8862" s="117">
        <v>43559</v>
      </c>
      <c r="B8862" s="116">
        <f t="shared" si="141"/>
        <v>41</v>
      </c>
    </row>
    <row r="8863" spans="1:2" x14ac:dyDescent="0.2">
      <c r="A8863" s="117">
        <v>43560</v>
      </c>
      <c r="B8863" s="116">
        <f t="shared" si="141"/>
        <v>41</v>
      </c>
    </row>
    <row r="8864" spans="1:2" x14ac:dyDescent="0.2">
      <c r="A8864" s="117">
        <v>43561</v>
      </c>
      <c r="B8864" s="116">
        <f t="shared" si="141"/>
        <v>41</v>
      </c>
    </row>
    <row r="8865" spans="1:2" x14ac:dyDescent="0.2">
      <c r="A8865" s="117">
        <v>43562</v>
      </c>
      <c r="B8865" s="116">
        <f t="shared" si="141"/>
        <v>42</v>
      </c>
    </row>
    <row r="8866" spans="1:2" x14ac:dyDescent="0.2">
      <c r="A8866" s="117">
        <v>43563</v>
      </c>
      <c r="B8866" s="116">
        <f t="shared" si="141"/>
        <v>42</v>
      </c>
    </row>
    <row r="8867" spans="1:2" x14ac:dyDescent="0.2">
      <c r="A8867" s="117">
        <v>43564</v>
      </c>
      <c r="B8867" s="116">
        <f t="shared" si="141"/>
        <v>42</v>
      </c>
    </row>
    <row r="8868" spans="1:2" x14ac:dyDescent="0.2">
      <c r="A8868" s="117">
        <v>43565</v>
      </c>
      <c r="B8868" s="116">
        <f t="shared" si="141"/>
        <v>42</v>
      </c>
    </row>
    <row r="8869" spans="1:2" x14ac:dyDescent="0.2">
      <c r="A8869" s="117">
        <v>43566</v>
      </c>
      <c r="B8869" s="116">
        <f t="shared" si="141"/>
        <v>42</v>
      </c>
    </row>
    <row r="8870" spans="1:2" x14ac:dyDescent="0.2">
      <c r="A8870" s="117">
        <v>43567</v>
      </c>
      <c r="B8870" s="116">
        <f t="shared" si="141"/>
        <v>42</v>
      </c>
    </row>
    <row r="8871" spans="1:2" x14ac:dyDescent="0.2">
      <c r="A8871" s="117">
        <v>43568</v>
      </c>
      <c r="B8871" s="116">
        <f t="shared" si="141"/>
        <v>42</v>
      </c>
    </row>
    <row r="8872" spans="1:2" x14ac:dyDescent="0.2">
      <c r="A8872" s="117">
        <v>43569</v>
      </c>
      <c r="B8872" s="116">
        <f t="shared" si="141"/>
        <v>43</v>
      </c>
    </row>
    <row r="8873" spans="1:2" x14ac:dyDescent="0.2">
      <c r="A8873" s="117">
        <v>43570</v>
      </c>
      <c r="B8873" s="116">
        <f t="shared" si="141"/>
        <v>43</v>
      </c>
    </row>
    <row r="8874" spans="1:2" x14ac:dyDescent="0.2">
      <c r="A8874" s="117">
        <v>43571</v>
      </c>
      <c r="B8874" s="116">
        <f t="shared" si="141"/>
        <v>43</v>
      </c>
    </row>
    <row r="8875" spans="1:2" x14ac:dyDescent="0.2">
      <c r="A8875" s="117">
        <v>43572</v>
      </c>
      <c r="B8875" s="116">
        <f t="shared" si="141"/>
        <v>43</v>
      </c>
    </row>
    <row r="8876" spans="1:2" x14ac:dyDescent="0.2">
      <c r="A8876" s="117">
        <v>43573</v>
      </c>
      <c r="B8876" s="116">
        <f t="shared" si="141"/>
        <v>43</v>
      </c>
    </row>
    <row r="8877" spans="1:2" x14ac:dyDescent="0.2">
      <c r="A8877" s="117">
        <v>43574</v>
      </c>
      <c r="B8877" s="116">
        <f t="shared" si="141"/>
        <v>43</v>
      </c>
    </row>
    <row r="8878" spans="1:2" x14ac:dyDescent="0.2">
      <c r="A8878" s="117">
        <v>43575</v>
      </c>
      <c r="B8878" s="116">
        <f t="shared" si="141"/>
        <v>43</v>
      </c>
    </row>
    <row r="8879" spans="1:2" x14ac:dyDescent="0.2">
      <c r="A8879" s="117">
        <v>43576</v>
      </c>
      <c r="B8879" s="116">
        <f t="shared" si="141"/>
        <v>44</v>
      </c>
    </row>
    <row r="8880" spans="1:2" x14ac:dyDescent="0.2">
      <c r="A8880" s="117">
        <v>43577</v>
      </c>
      <c r="B8880" s="116">
        <f t="shared" si="141"/>
        <v>44</v>
      </c>
    </row>
    <row r="8881" spans="1:2" x14ac:dyDescent="0.2">
      <c r="A8881" s="117">
        <v>43578</v>
      </c>
      <c r="B8881" s="116">
        <f t="shared" si="141"/>
        <v>44</v>
      </c>
    </row>
    <row r="8882" spans="1:2" x14ac:dyDescent="0.2">
      <c r="A8882" s="117">
        <v>43579</v>
      </c>
      <c r="B8882" s="116">
        <f t="shared" si="141"/>
        <v>44</v>
      </c>
    </row>
    <row r="8883" spans="1:2" x14ac:dyDescent="0.2">
      <c r="A8883" s="117">
        <v>43580</v>
      </c>
      <c r="B8883" s="116">
        <f t="shared" si="141"/>
        <v>44</v>
      </c>
    </row>
    <row r="8884" spans="1:2" x14ac:dyDescent="0.2">
      <c r="A8884" s="117">
        <v>43581</v>
      </c>
      <c r="B8884" s="116">
        <f t="shared" si="141"/>
        <v>44</v>
      </c>
    </row>
    <row r="8885" spans="1:2" x14ac:dyDescent="0.2">
      <c r="A8885" s="117">
        <v>43582</v>
      </c>
      <c r="B8885" s="116">
        <f t="shared" si="141"/>
        <v>44</v>
      </c>
    </row>
    <row r="8886" spans="1:2" x14ac:dyDescent="0.2">
      <c r="A8886" s="117">
        <v>43583</v>
      </c>
      <c r="B8886" s="116">
        <f t="shared" si="141"/>
        <v>45</v>
      </c>
    </row>
    <row r="8887" spans="1:2" x14ac:dyDescent="0.2">
      <c r="A8887" s="117">
        <v>43584</v>
      </c>
      <c r="B8887" s="116">
        <f t="shared" si="141"/>
        <v>45</v>
      </c>
    </row>
    <row r="8888" spans="1:2" x14ac:dyDescent="0.2">
      <c r="A8888" s="117">
        <v>43585</v>
      </c>
      <c r="B8888" s="116">
        <f t="shared" si="141"/>
        <v>45</v>
      </c>
    </row>
    <row r="8889" spans="1:2" x14ac:dyDescent="0.2">
      <c r="A8889" s="117">
        <v>43586</v>
      </c>
      <c r="B8889" s="116">
        <f t="shared" si="141"/>
        <v>45</v>
      </c>
    </row>
    <row r="8890" spans="1:2" x14ac:dyDescent="0.2">
      <c r="A8890" s="117">
        <v>43587</v>
      </c>
      <c r="B8890" s="116">
        <f t="shared" si="141"/>
        <v>45</v>
      </c>
    </row>
    <row r="8891" spans="1:2" x14ac:dyDescent="0.2">
      <c r="A8891" s="117">
        <v>43588</v>
      </c>
      <c r="B8891" s="116">
        <f t="shared" si="141"/>
        <v>45</v>
      </c>
    </row>
    <row r="8892" spans="1:2" x14ac:dyDescent="0.2">
      <c r="A8892" s="117">
        <v>43589</v>
      </c>
      <c r="B8892" s="116">
        <f t="shared" si="141"/>
        <v>45</v>
      </c>
    </row>
    <row r="8893" spans="1:2" x14ac:dyDescent="0.2">
      <c r="A8893" s="117">
        <v>43590</v>
      </c>
      <c r="B8893" s="116">
        <f t="shared" si="141"/>
        <v>51</v>
      </c>
    </row>
    <row r="8894" spans="1:2" x14ac:dyDescent="0.2">
      <c r="A8894" s="117">
        <v>43591</v>
      </c>
      <c r="B8894" s="116">
        <f t="shared" si="141"/>
        <v>51</v>
      </c>
    </row>
    <row r="8895" spans="1:2" x14ac:dyDescent="0.2">
      <c r="A8895" s="117">
        <v>43592</v>
      </c>
      <c r="B8895" s="116">
        <f t="shared" si="141"/>
        <v>51</v>
      </c>
    </row>
    <row r="8896" spans="1:2" x14ac:dyDescent="0.2">
      <c r="A8896" s="117">
        <v>43593</v>
      </c>
      <c r="B8896" s="116">
        <f t="shared" si="141"/>
        <v>51</v>
      </c>
    </row>
    <row r="8897" spans="1:2" x14ac:dyDescent="0.2">
      <c r="A8897" s="117">
        <v>43594</v>
      </c>
      <c r="B8897" s="116">
        <f t="shared" ref="B8897:B8960" si="142">VLOOKUP(WEEKNUM(A8897),$D$4:$E$59,2)</f>
        <v>51</v>
      </c>
    </row>
    <row r="8898" spans="1:2" x14ac:dyDescent="0.2">
      <c r="A8898" s="117">
        <v>43595</v>
      </c>
      <c r="B8898" s="116">
        <f t="shared" si="142"/>
        <v>51</v>
      </c>
    </row>
    <row r="8899" spans="1:2" x14ac:dyDescent="0.2">
      <c r="A8899" s="117">
        <v>43596</v>
      </c>
      <c r="B8899" s="116">
        <f t="shared" si="142"/>
        <v>51</v>
      </c>
    </row>
    <row r="8900" spans="1:2" x14ac:dyDescent="0.2">
      <c r="A8900" s="117">
        <v>43597</v>
      </c>
      <c r="B8900" s="116">
        <f t="shared" si="142"/>
        <v>52</v>
      </c>
    </row>
    <row r="8901" spans="1:2" x14ac:dyDescent="0.2">
      <c r="A8901" s="117">
        <v>43598</v>
      </c>
      <c r="B8901" s="116">
        <f t="shared" si="142"/>
        <v>52</v>
      </c>
    </row>
    <row r="8902" spans="1:2" x14ac:dyDescent="0.2">
      <c r="A8902" s="117">
        <v>43599</v>
      </c>
      <c r="B8902" s="116">
        <f t="shared" si="142"/>
        <v>52</v>
      </c>
    </row>
    <row r="8903" spans="1:2" x14ac:dyDescent="0.2">
      <c r="A8903" s="117">
        <v>43600</v>
      </c>
      <c r="B8903" s="116">
        <f t="shared" si="142"/>
        <v>52</v>
      </c>
    </row>
    <row r="8904" spans="1:2" x14ac:dyDescent="0.2">
      <c r="A8904" s="117">
        <v>43601</v>
      </c>
      <c r="B8904" s="116">
        <f t="shared" si="142"/>
        <v>52</v>
      </c>
    </row>
    <row r="8905" spans="1:2" x14ac:dyDescent="0.2">
      <c r="A8905" s="117">
        <v>43602</v>
      </c>
      <c r="B8905" s="116">
        <f t="shared" si="142"/>
        <v>52</v>
      </c>
    </row>
    <row r="8906" spans="1:2" x14ac:dyDescent="0.2">
      <c r="A8906" s="117">
        <v>43603</v>
      </c>
      <c r="B8906" s="116">
        <f t="shared" si="142"/>
        <v>52</v>
      </c>
    </row>
    <row r="8907" spans="1:2" x14ac:dyDescent="0.2">
      <c r="A8907" s="117">
        <v>43604</v>
      </c>
      <c r="B8907" s="116">
        <f t="shared" si="142"/>
        <v>53</v>
      </c>
    </row>
    <row r="8908" spans="1:2" x14ac:dyDescent="0.2">
      <c r="A8908" s="117">
        <v>43605</v>
      </c>
      <c r="B8908" s="116">
        <f t="shared" si="142"/>
        <v>53</v>
      </c>
    </row>
    <row r="8909" spans="1:2" x14ac:dyDescent="0.2">
      <c r="A8909" s="117">
        <v>43606</v>
      </c>
      <c r="B8909" s="116">
        <f t="shared" si="142"/>
        <v>53</v>
      </c>
    </row>
    <row r="8910" spans="1:2" x14ac:dyDescent="0.2">
      <c r="A8910" s="117">
        <v>43607</v>
      </c>
      <c r="B8910" s="116">
        <f t="shared" si="142"/>
        <v>53</v>
      </c>
    </row>
    <row r="8911" spans="1:2" x14ac:dyDescent="0.2">
      <c r="A8911" s="117">
        <v>43608</v>
      </c>
      <c r="B8911" s="116">
        <f t="shared" si="142"/>
        <v>53</v>
      </c>
    </row>
    <row r="8912" spans="1:2" x14ac:dyDescent="0.2">
      <c r="A8912" s="117">
        <v>43609</v>
      </c>
      <c r="B8912" s="116">
        <f t="shared" si="142"/>
        <v>53</v>
      </c>
    </row>
    <row r="8913" spans="1:2" x14ac:dyDescent="0.2">
      <c r="A8913" s="117">
        <v>43610</v>
      </c>
      <c r="B8913" s="116">
        <f t="shared" si="142"/>
        <v>53</v>
      </c>
    </row>
    <row r="8914" spans="1:2" x14ac:dyDescent="0.2">
      <c r="A8914" s="117">
        <v>43611</v>
      </c>
      <c r="B8914" s="116">
        <f t="shared" si="142"/>
        <v>54</v>
      </c>
    </row>
    <row r="8915" spans="1:2" x14ac:dyDescent="0.2">
      <c r="A8915" s="117">
        <v>43612</v>
      </c>
      <c r="B8915" s="116">
        <f t="shared" si="142"/>
        <v>54</v>
      </c>
    </row>
    <row r="8916" spans="1:2" x14ac:dyDescent="0.2">
      <c r="A8916" s="117">
        <v>43613</v>
      </c>
      <c r="B8916" s="116">
        <f t="shared" si="142"/>
        <v>54</v>
      </c>
    </row>
    <row r="8917" spans="1:2" x14ac:dyDescent="0.2">
      <c r="A8917" s="117">
        <v>43614</v>
      </c>
      <c r="B8917" s="116">
        <f t="shared" si="142"/>
        <v>54</v>
      </c>
    </row>
    <row r="8918" spans="1:2" x14ac:dyDescent="0.2">
      <c r="A8918" s="117">
        <v>43615</v>
      </c>
      <c r="B8918" s="116">
        <f t="shared" si="142"/>
        <v>54</v>
      </c>
    </row>
    <row r="8919" spans="1:2" x14ac:dyDescent="0.2">
      <c r="A8919" s="117">
        <v>43616</v>
      </c>
      <c r="B8919" s="116">
        <f t="shared" si="142"/>
        <v>54</v>
      </c>
    </row>
    <row r="8920" spans="1:2" x14ac:dyDescent="0.2">
      <c r="A8920" s="117">
        <v>43617</v>
      </c>
      <c r="B8920" s="116">
        <f t="shared" si="142"/>
        <v>54</v>
      </c>
    </row>
    <row r="8921" spans="1:2" x14ac:dyDescent="0.2">
      <c r="A8921" s="117">
        <v>43618</v>
      </c>
      <c r="B8921" s="116">
        <f t="shared" si="142"/>
        <v>61</v>
      </c>
    </row>
    <row r="8922" spans="1:2" x14ac:dyDescent="0.2">
      <c r="A8922" s="117">
        <v>43619</v>
      </c>
      <c r="B8922" s="116">
        <f t="shared" si="142"/>
        <v>61</v>
      </c>
    </row>
    <row r="8923" spans="1:2" x14ac:dyDescent="0.2">
      <c r="A8923" s="117">
        <v>43620</v>
      </c>
      <c r="B8923" s="116">
        <f t="shared" si="142"/>
        <v>61</v>
      </c>
    </row>
    <row r="8924" spans="1:2" x14ac:dyDescent="0.2">
      <c r="A8924" s="117">
        <v>43621</v>
      </c>
      <c r="B8924" s="116">
        <f t="shared" si="142"/>
        <v>61</v>
      </c>
    </row>
    <row r="8925" spans="1:2" x14ac:dyDescent="0.2">
      <c r="A8925" s="117">
        <v>43622</v>
      </c>
      <c r="B8925" s="116">
        <f t="shared" si="142"/>
        <v>61</v>
      </c>
    </row>
    <row r="8926" spans="1:2" x14ac:dyDescent="0.2">
      <c r="A8926" s="117">
        <v>43623</v>
      </c>
      <c r="B8926" s="116">
        <f t="shared" si="142"/>
        <v>61</v>
      </c>
    </row>
    <row r="8927" spans="1:2" x14ac:dyDescent="0.2">
      <c r="A8927" s="117">
        <v>43624</v>
      </c>
      <c r="B8927" s="116">
        <f t="shared" si="142"/>
        <v>61</v>
      </c>
    </row>
    <row r="8928" spans="1:2" x14ac:dyDescent="0.2">
      <c r="A8928" s="117">
        <v>43625</v>
      </c>
      <c r="B8928" s="116">
        <f t="shared" si="142"/>
        <v>62</v>
      </c>
    </row>
    <row r="8929" spans="1:2" x14ac:dyDescent="0.2">
      <c r="A8929" s="117">
        <v>43626</v>
      </c>
      <c r="B8929" s="116">
        <f t="shared" si="142"/>
        <v>62</v>
      </c>
    </row>
    <row r="8930" spans="1:2" x14ac:dyDescent="0.2">
      <c r="A8930" s="117">
        <v>43627</v>
      </c>
      <c r="B8930" s="116">
        <f t="shared" si="142"/>
        <v>62</v>
      </c>
    </row>
    <row r="8931" spans="1:2" x14ac:dyDescent="0.2">
      <c r="A8931" s="117">
        <v>43628</v>
      </c>
      <c r="B8931" s="116">
        <f t="shared" si="142"/>
        <v>62</v>
      </c>
    </row>
    <row r="8932" spans="1:2" x14ac:dyDescent="0.2">
      <c r="A8932" s="117">
        <v>43629</v>
      </c>
      <c r="B8932" s="116">
        <f t="shared" si="142"/>
        <v>62</v>
      </c>
    </row>
    <row r="8933" spans="1:2" x14ac:dyDescent="0.2">
      <c r="A8933" s="117">
        <v>43630</v>
      </c>
      <c r="B8933" s="116">
        <f t="shared" si="142"/>
        <v>62</v>
      </c>
    </row>
    <row r="8934" spans="1:2" x14ac:dyDescent="0.2">
      <c r="A8934" s="117">
        <v>43631</v>
      </c>
      <c r="B8934" s="116">
        <f t="shared" si="142"/>
        <v>62</v>
      </c>
    </row>
    <row r="8935" spans="1:2" x14ac:dyDescent="0.2">
      <c r="A8935" s="117">
        <v>43632</v>
      </c>
      <c r="B8935" s="116">
        <f t="shared" si="142"/>
        <v>63</v>
      </c>
    </row>
    <row r="8936" spans="1:2" x14ac:dyDescent="0.2">
      <c r="A8936" s="117">
        <v>43633</v>
      </c>
      <c r="B8936" s="116">
        <f t="shared" si="142"/>
        <v>63</v>
      </c>
    </row>
    <row r="8937" spans="1:2" x14ac:dyDescent="0.2">
      <c r="A8937" s="117">
        <v>43634</v>
      </c>
      <c r="B8937" s="116">
        <f t="shared" si="142"/>
        <v>63</v>
      </c>
    </row>
    <row r="8938" spans="1:2" x14ac:dyDescent="0.2">
      <c r="A8938" s="117">
        <v>43635</v>
      </c>
      <c r="B8938" s="116">
        <f t="shared" si="142"/>
        <v>63</v>
      </c>
    </row>
    <row r="8939" spans="1:2" x14ac:dyDescent="0.2">
      <c r="A8939" s="117">
        <v>43636</v>
      </c>
      <c r="B8939" s="116">
        <f t="shared" si="142"/>
        <v>63</v>
      </c>
    </row>
    <row r="8940" spans="1:2" x14ac:dyDescent="0.2">
      <c r="A8940" s="117">
        <v>43637</v>
      </c>
      <c r="B8940" s="116">
        <f t="shared" si="142"/>
        <v>63</v>
      </c>
    </row>
    <row r="8941" spans="1:2" x14ac:dyDescent="0.2">
      <c r="A8941" s="117">
        <v>43638</v>
      </c>
      <c r="B8941" s="116">
        <f t="shared" si="142"/>
        <v>63</v>
      </c>
    </row>
    <row r="8942" spans="1:2" x14ac:dyDescent="0.2">
      <c r="A8942" s="117">
        <v>43639</v>
      </c>
      <c r="B8942" s="116">
        <f t="shared" si="142"/>
        <v>64</v>
      </c>
    </row>
    <row r="8943" spans="1:2" x14ac:dyDescent="0.2">
      <c r="A8943" s="117">
        <v>43640</v>
      </c>
      <c r="B8943" s="116">
        <f t="shared" si="142"/>
        <v>64</v>
      </c>
    </row>
    <row r="8944" spans="1:2" x14ac:dyDescent="0.2">
      <c r="A8944" s="117">
        <v>43641</v>
      </c>
      <c r="B8944" s="116">
        <f t="shared" si="142"/>
        <v>64</v>
      </c>
    </row>
    <row r="8945" spans="1:2" x14ac:dyDescent="0.2">
      <c r="A8945" s="117">
        <v>43642</v>
      </c>
      <c r="B8945" s="116">
        <f t="shared" si="142"/>
        <v>64</v>
      </c>
    </row>
    <row r="8946" spans="1:2" x14ac:dyDescent="0.2">
      <c r="A8946" s="117">
        <v>43643</v>
      </c>
      <c r="B8946" s="116">
        <f t="shared" si="142"/>
        <v>64</v>
      </c>
    </row>
    <row r="8947" spans="1:2" x14ac:dyDescent="0.2">
      <c r="A8947" s="117">
        <v>43644</v>
      </c>
      <c r="B8947" s="116">
        <f t="shared" si="142"/>
        <v>64</v>
      </c>
    </row>
    <row r="8948" spans="1:2" x14ac:dyDescent="0.2">
      <c r="A8948" s="117">
        <v>43645</v>
      </c>
      <c r="B8948" s="116">
        <f t="shared" si="142"/>
        <v>64</v>
      </c>
    </row>
    <row r="8949" spans="1:2" x14ac:dyDescent="0.2">
      <c r="A8949" s="117">
        <v>43646</v>
      </c>
      <c r="B8949" s="116">
        <f t="shared" si="142"/>
        <v>71</v>
      </c>
    </row>
    <row r="8950" spans="1:2" x14ac:dyDescent="0.2">
      <c r="A8950" s="117">
        <v>43647</v>
      </c>
      <c r="B8950" s="116">
        <f t="shared" si="142"/>
        <v>71</v>
      </c>
    </row>
    <row r="8951" spans="1:2" x14ac:dyDescent="0.2">
      <c r="A8951" s="117">
        <v>43648</v>
      </c>
      <c r="B8951" s="116">
        <f t="shared" si="142"/>
        <v>71</v>
      </c>
    </row>
    <row r="8952" spans="1:2" x14ac:dyDescent="0.2">
      <c r="A8952" s="117">
        <v>43649</v>
      </c>
      <c r="B8952" s="116">
        <f t="shared" si="142"/>
        <v>71</v>
      </c>
    </row>
    <row r="8953" spans="1:2" x14ac:dyDescent="0.2">
      <c r="A8953" s="117">
        <v>43650</v>
      </c>
      <c r="B8953" s="116">
        <f t="shared" si="142"/>
        <v>71</v>
      </c>
    </row>
    <row r="8954" spans="1:2" x14ac:dyDescent="0.2">
      <c r="A8954" s="117">
        <v>43651</v>
      </c>
      <c r="B8954" s="116">
        <f t="shared" si="142"/>
        <v>71</v>
      </c>
    </row>
    <row r="8955" spans="1:2" x14ac:dyDescent="0.2">
      <c r="A8955" s="117">
        <v>43652</v>
      </c>
      <c r="B8955" s="116">
        <f t="shared" si="142"/>
        <v>71</v>
      </c>
    </row>
    <row r="8956" spans="1:2" x14ac:dyDescent="0.2">
      <c r="A8956" s="117">
        <v>43653</v>
      </c>
      <c r="B8956" s="116">
        <f t="shared" si="142"/>
        <v>72</v>
      </c>
    </row>
    <row r="8957" spans="1:2" x14ac:dyDescent="0.2">
      <c r="A8957" s="117">
        <v>43654</v>
      </c>
      <c r="B8957" s="116">
        <f t="shared" si="142"/>
        <v>72</v>
      </c>
    </row>
    <row r="8958" spans="1:2" x14ac:dyDescent="0.2">
      <c r="A8958" s="117">
        <v>43655</v>
      </c>
      <c r="B8958" s="116">
        <f t="shared" si="142"/>
        <v>72</v>
      </c>
    </row>
    <row r="8959" spans="1:2" x14ac:dyDescent="0.2">
      <c r="A8959" s="117">
        <v>43656</v>
      </c>
      <c r="B8959" s="116">
        <f t="shared" si="142"/>
        <v>72</v>
      </c>
    </row>
    <row r="8960" spans="1:2" x14ac:dyDescent="0.2">
      <c r="A8960" s="117">
        <v>43657</v>
      </c>
      <c r="B8960" s="116">
        <f t="shared" si="142"/>
        <v>72</v>
      </c>
    </row>
    <row r="8961" spans="1:2" x14ac:dyDescent="0.2">
      <c r="A8961" s="117">
        <v>43658</v>
      </c>
      <c r="B8961" s="116">
        <f t="shared" ref="B8961:B9024" si="143">VLOOKUP(WEEKNUM(A8961),$D$4:$E$59,2)</f>
        <v>72</v>
      </c>
    </row>
    <row r="8962" spans="1:2" x14ac:dyDescent="0.2">
      <c r="A8962" s="117">
        <v>43659</v>
      </c>
      <c r="B8962" s="116">
        <f t="shared" si="143"/>
        <v>72</v>
      </c>
    </row>
    <row r="8963" spans="1:2" x14ac:dyDescent="0.2">
      <c r="A8963" s="117">
        <v>43660</v>
      </c>
      <c r="B8963" s="116">
        <f t="shared" si="143"/>
        <v>73</v>
      </c>
    </row>
    <row r="8964" spans="1:2" x14ac:dyDescent="0.2">
      <c r="A8964" s="117">
        <v>43661</v>
      </c>
      <c r="B8964" s="116">
        <f t="shared" si="143"/>
        <v>73</v>
      </c>
    </row>
    <row r="8965" spans="1:2" x14ac:dyDescent="0.2">
      <c r="A8965" s="117">
        <v>43662</v>
      </c>
      <c r="B8965" s="116">
        <f t="shared" si="143"/>
        <v>73</v>
      </c>
    </row>
    <row r="8966" spans="1:2" x14ac:dyDescent="0.2">
      <c r="A8966" s="117">
        <v>43663</v>
      </c>
      <c r="B8966" s="116">
        <f t="shared" si="143"/>
        <v>73</v>
      </c>
    </row>
    <row r="8967" spans="1:2" x14ac:dyDescent="0.2">
      <c r="A8967" s="117">
        <v>43664</v>
      </c>
      <c r="B8967" s="116">
        <f t="shared" si="143"/>
        <v>73</v>
      </c>
    </row>
    <row r="8968" spans="1:2" x14ac:dyDescent="0.2">
      <c r="A8968" s="117">
        <v>43665</v>
      </c>
      <c r="B8968" s="116">
        <f t="shared" si="143"/>
        <v>73</v>
      </c>
    </row>
    <row r="8969" spans="1:2" x14ac:dyDescent="0.2">
      <c r="A8969" s="117">
        <v>43666</v>
      </c>
      <c r="B8969" s="116">
        <f t="shared" si="143"/>
        <v>73</v>
      </c>
    </row>
    <row r="8970" spans="1:2" x14ac:dyDescent="0.2">
      <c r="A8970" s="117">
        <v>43667</v>
      </c>
      <c r="B8970" s="116">
        <f t="shared" si="143"/>
        <v>74</v>
      </c>
    </row>
    <row r="8971" spans="1:2" x14ac:dyDescent="0.2">
      <c r="A8971" s="117">
        <v>43668</v>
      </c>
      <c r="B8971" s="116">
        <f t="shared" si="143"/>
        <v>74</v>
      </c>
    </row>
    <row r="8972" spans="1:2" x14ac:dyDescent="0.2">
      <c r="A8972" s="117">
        <v>43669</v>
      </c>
      <c r="B8972" s="116">
        <f t="shared" si="143"/>
        <v>74</v>
      </c>
    </row>
    <row r="8973" spans="1:2" x14ac:dyDescent="0.2">
      <c r="A8973" s="117">
        <v>43670</v>
      </c>
      <c r="B8973" s="116">
        <f t="shared" si="143"/>
        <v>74</v>
      </c>
    </row>
    <row r="8974" spans="1:2" x14ac:dyDescent="0.2">
      <c r="A8974" s="117">
        <v>43671</v>
      </c>
      <c r="B8974" s="116">
        <f t="shared" si="143"/>
        <v>74</v>
      </c>
    </row>
    <row r="8975" spans="1:2" x14ac:dyDescent="0.2">
      <c r="A8975" s="117">
        <v>43672</v>
      </c>
      <c r="B8975" s="116">
        <f t="shared" si="143"/>
        <v>74</v>
      </c>
    </row>
    <row r="8976" spans="1:2" x14ac:dyDescent="0.2">
      <c r="A8976" s="117">
        <v>43673</v>
      </c>
      <c r="B8976" s="116">
        <f t="shared" si="143"/>
        <v>74</v>
      </c>
    </row>
    <row r="8977" spans="1:2" x14ac:dyDescent="0.2">
      <c r="A8977" s="117">
        <v>43674</v>
      </c>
      <c r="B8977" s="116">
        <f t="shared" si="143"/>
        <v>75</v>
      </c>
    </row>
    <row r="8978" spans="1:2" x14ac:dyDescent="0.2">
      <c r="A8978" s="117">
        <v>43675</v>
      </c>
      <c r="B8978" s="116">
        <f t="shared" si="143"/>
        <v>75</v>
      </c>
    </row>
    <row r="8979" spans="1:2" x14ac:dyDescent="0.2">
      <c r="A8979" s="117">
        <v>43676</v>
      </c>
      <c r="B8979" s="116">
        <f t="shared" si="143"/>
        <v>75</v>
      </c>
    </row>
    <row r="8980" spans="1:2" x14ac:dyDescent="0.2">
      <c r="A8980" s="117">
        <v>43677</v>
      </c>
      <c r="B8980" s="116">
        <f t="shared" si="143"/>
        <v>75</v>
      </c>
    </row>
    <row r="8981" spans="1:2" x14ac:dyDescent="0.2">
      <c r="A8981" s="117">
        <v>43678</v>
      </c>
      <c r="B8981" s="116">
        <f t="shared" si="143"/>
        <v>75</v>
      </c>
    </row>
    <row r="8982" spans="1:2" x14ac:dyDescent="0.2">
      <c r="A8982" s="117">
        <v>43679</v>
      </c>
      <c r="B8982" s="116">
        <f t="shared" si="143"/>
        <v>75</v>
      </c>
    </row>
    <row r="8983" spans="1:2" x14ac:dyDescent="0.2">
      <c r="A8983" s="117">
        <v>43680</v>
      </c>
      <c r="B8983" s="116">
        <f t="shared" si="143"/>
        <v>75</v>
      </c>
    </row>
    <row r="8984" spans="1:2" x14ac:dyDescent="0.2">
      <c r="A8984" s="117">
        <v>43681</v>
      </c>
      <c r="B8984" s="116">
        <f t="shared" si="143"/>
        <v>81</v>
      </c>
    </row>
    <row r="8985" spans="1:2" x14ac:dyDescent="0.2">
      <c r="A8985" s="117">
        <v>43682</v>
      </c>
      <c r="B8985" s="116">
        <f t="shared" si="143"/>
        <v>81</v>
      </c>
    </row>
    <row r="8986" spans="1:2" x14ac:dyDescent="0.2">
      <c r="A8986" s="117">
        <v>43683</v>
      </c>
      <c r="B8986" s="116">
        <f t="shared" si="143"/>
        <v>81</v>
      </c>
    </row>
    <row r="8987" spans="1:2" x14ac:dyDescent="0.2">
      <c r="A8987" s="117">
        <v>43684</v>
      </c>
      <c r="B8987" s="116">
        <f t="shared" si="143"/>
        <v>81</v>
      </c>
    </row>
    <row r="8988" spans="1:2" x14ac:dyDescent="0.2">
      <c r="A8988" s="117">
        <v>43685</v>
      </c>
      <c r="B8988" s="116">
        <f t="shared" si="143"/>
        <v>81</v>
      </c>
    </row>
    <row r="8989" spans="1:2" x14ac:dyDescent="0.2">
      <c r="A8989" s="117">
        <v>43686</v>
      </c>
      <c r="B8989" s="116">
        <f t="shared" si="143"/>
        <v>81</v>
      </c>
    </row>
    <row r="8990" spans="1:2" x14ac:dyDescent="0.2">
      <c r="A8990" s="117">
        <v>43687</v>
      </c>
      <c r="B8990" s="116">
        <f t="shared" si="143"/>
        <v>81</v>
      </c>
    </row>
    <row r="8991" spans="1:2" x14ac:dyDescent="0.2">
      <c r="A8991" s="117">
        <v>43688</v>
      </c>
      <c r="B8991" s="116">
        <f t="shared" si="143"/>
        <v>82</v>
      </c>
    </row>
    <row r="8992" spans="1:2" x14ac:dyDescent="0.2">
      <c r="A8992" s="117">
        <v>43689</v>
      </c>
      <c r="B8992" s="116">
        <f t="shared" si="143"/>
        <v>82</v>
      </c>
    </row>
    <row r="8993" spans="1:2" x14ac:dyDescent="0.2">
      <c r="A8993" s="117">
        <v>43690</v>
      </c>
      <c r="B8993" s="116">
        <f t="shared" si="143"/>
        <v>82</v>
      </c>
    </row>
    <row r="8994" spans="1:2" x14ac:dyDescent="0.2">
      <c r="A8994" s="117">
        <v>43691</v>
      </c>
      <c r="B8994" s="116">
        <f t="shared" si="143"/>
        <v>82</v>
      </c>
    </row>
    <row r="8995" spans="1:2" x14ac:dyDescent="0.2">
      <c r="A8995" s="117">
        <v>43692</v>
      </c>
      <c r="B8995" s="116">
        <f t="shared" si="143"/>
        <v>82</v>
      </c>
    </row>
    <row r="8996" spans="1:2" x14ac:dyDescent="0.2">
      <c r="A8996" s="117">
        <v>43693</v>
      </c>
      <c r="B8996" s="116">
        <f t="shared" si="143"/>
        <v>82</v>
      </c>
    </row>
    <row r="8997" spans="1:2" x14ac:dyDescent="0.2">
      <c r="A8997" s="117">
        <v>43694</v>
      </c>
      <c r="B8997" s="116">
        <f t="shared" si="143"/>
        <v>82</v>
      </c>
    </row>
    <row r="8998" spans="1:2" x14ac:dyDescent="0.2">
      <c r="A8998" s="117">
        <v>43695</v>
      </c>
      <c r="B8998" s="116">
        <f t="shared" si="143"/>
        <v>83</v>
      </c>
    </row>
    <row r="8999" spans="1:2" x14ac:dyDescent="0.2">
      <c r="A8999" s="117">
        <v>43696</v>
      </c>
      <c r="B8999" s="116">
        <f t="shared" si="143"/>
        <v>83</v>
      </c>
    </row>
    <row r="9000" spans="1:2" x14ac:dyDescent="0.2">
      <c r="A9000" s="117">
        <v>43697</v>
      </c>
      <c r="B9000" s="116">
        <f t="shared" si="143"/>
        <v>83</v>
      </c>
    </row>
    <row r="9001" spans="1:2" x14ac:dyDescent="0.2">
      <c r="A9001" s="117">
        <v>43698</v>
      </c>
      <c r="B9001" s="116">
        <f t="shared" si="143"/>
        <v>83</v>
      </c>
    </row>
    <row r="9002" spans="1:2" x14ac:dyDescent="0.2">
      <c r="A9002" s="117">
        <v>43699</v>
      </c>
      <c r="B9002" s="116">
        <f t="shared" si="143"/>
        <v>83</v>
      </c>
    </row>
    <row r="9003" spans="1:2" x14ac:dyDescent="0.2">
      <c r="A9003" s="117">
        <v>43700</v>
      </c>
      <c r="B9003" s="116">
        <f t="shared" si="143"/>
        <v>83</v>
      </c>
    </row>
    <row r="9004" spans="1:2" x14ac:dyDescent="0.2">
      <c r="A9004" s="117">
        <v>43701</v>
      </c>
      <c r="B9004" s="116">
        <f t="shared" si="143"/>
        <v>83</v>
      </c>
    </row>
    <row r="9005" spans="1:2" x14ac:dyDescent="0.2">
      <c r="A9005" s="117">
        <v>43702</v>
      </c>
      <c r="B9005" s="116">
        <f t="shared" si="143"/>
        <v>84</v>
      </c>
    </row>
    <row r="9006" spans="1:2" x14ac:dyDescent="0.2">
      <c r="A9006" s="117">
        <v>43703</v>
      </c>
      <c r="B9006" s="116">
        <f t="shared" si="143"/>
        <v>84</v>
      </c>
    </row>
    <row r="9007" spans="1:2" x14ac:dyDescent="0.2">
      <c r="A9007" s="117">
        <v>43704</v>
      </c>
      <c r="B9007" s="116">
        <f t="shared" si="143"/>
        <v>84</v>
      </c>
    </row>
    <row r="9008" spans="1:2" x14ac:dyDescent="0.2">
      <c r="A9008" s="117">
        <v>43705</v>
      </c>
      <c r="B9008" s="116">
        <f t="shared" si="143"/>
        <v>84</v>
      </c>
    </row>
    <row r="9009" spans="1:2" x14ac:dyDescent="0.2">
      <c r="A9009" s="117">
        <v>43706</v>
      </c>
      <c r="B9009" s="116">
        <f t="shared" si="143"/>
        <v>84</v>
      </c>
    </row>
    <row r="9010" spans="1:2" x14ac:dyDescent="0.2">
      <c r="A9010" s="117">
        <v>43707</v>
      </c>
      <c r="B9010" s="116">
        <f t="shared" si="143"/>
        <v>84</v>
      </c>
    </row>
    <row r="9011" spans="1:2" x14ac:dyDescent="0.2">
      <c r="A9011" s="117">
        <v>43708</v>
      </c>
      <c r="B9011" s="116">
        <f t="shared" si="143"/>
        <v>84</v>
      </c>
    </row>
    <row r="9012" spans="1:2" x14ac:dyDescent="0.2">
      <c r="A9012" s="117">
        <v>43709</v>
      </c>
      <c r="B9012" s="116">
        <f t="shared" si="143"/>
        <v>91</v>
      </c>
    </row>
    <row r="9013" spans="1:2" x14ac:dyDescent="0.2">
      <c r="A9013" s="117">
        <v>43710</v>
      </c>
      <c r="B9013" s="116">
        <f t="shared" si="143"/>
        <v>91</v>
      </c>
    </row>
    <row r="9014" spans="1:2" x14ac:dyDescent="0.2">
      <c r="A9014" s="117">
        <v>43711</v>
      </c>
      <c r="B9014" s="116">
        <f t="shared" si="143"/>
        <v>91</v>
      </c>
    </row>
    <row r="9015" spans="1:2" x14ac:dyDescent="0.2">
      <c r="A9015" s="117">
        <v>43712</v>
      </c>
      <c r="B9015" s="116">
        <f t="shared" si="143"/>
        <v>91</v>
      </c>
    </row>
    <row r="9016" spans="1:2" x14ac:dyDescent="0.2">
      <c r="A9016" s="117">
        <v>43713</v>
      </c>
      <c r="B9016" s="116">
        <f t="shared" si="143"/>
        <v>91</v>
      </c>
    </row>
    <row r="9017" spans="1:2" x14ac:dyDescent="0.2">
      <c r="A9017" s="117">
        <v>43714</v>
      </c>
      <c r="B9017" s="116">
        <f t="shared" si="143"/>
        <v>91</v>
      </c>
    </row>
    <row r="9018" spans="1:2" x14ac:dyDescent="0.2">
      <c r="A9018" s="117">
        <v>43715</v>
      </c>
      <c r="B9018" s="116">
        <f t="shared" si="143"/>
        <v>91</v>
      </c>
    </row>
    <row r="9019" spans="1:2" x14ac:dyDescent="0.2">
      <c r="A9019" s="117">
        <v>43716</v>
      </c>
      <c r="B9019" s="116">
        <f t="shared" si="143"/>
        <v>92</v>
      </c>
    </row>
    <row r="9020" spans="1:2" x14ac:dyDescent="0.2">
      <c r="A9020" s="117">
        <v>43717</v>
      </c>
      <c r="B9020" s="116">
        <f t="shared" si="143"/>
        <v>92</v>
      </c>
    </row>
    <row r="9021" spans="1:2" x14ac:dyDescent="0.2">
      <c r="A9021" s="117">
        <v>43718</v>
      </c>
      <c r="B9021" s="116">
        <f t="shared" si="143"/>
        <v>92</v>
      </c>
    </row>
    <row r="9022" spans="1:2" x14ac:dyDescent="0.2">
      <c r="A9022" s="117">
        <v>43719</v>
      </c>
      <c r="B9022" s="116">
        <f t="shared" si="143"/>
        <v>92</v>
      </c>
    </row>
    <row r="9023" spans="1:2" x14ac:dyDescent="0.2">
      <c r="A9023" s="117">
        <v>43720</v>
      </c>
      <c r="B9023" s="116">
        <f t="shared" si="143"/>
        <v>92</v>
      </c>
    </row>
    <row r="9024" spans="1:2" x14ac:dyDescent="0.2">
      <c r="A9024" s="117">
        <v>43721</v>
      </c>
      <c r="B9024" s="116">
        <f t="shared" si="143"/>
        <v>92</v>
      </c>
    </row>
    <row r="9025" spans="1:2" x14ac:dyDescent="0.2">
      <c r="A9025" s="117">
        <v>43722</v>
      </c>
      <c r="B9025" s="116">
        <f t="shared" ref="B9025:B9088" si="144">VLOOKUP(WEEKNUM(A9025),$D$4:$E$59,2)</f>
        <v>92</v>
      </c>
    </row>
    <row r="9026" spans="1:2" x14ac:dyDescent="0.2">
      <c r="A9026" s="117">
        <v>43723</v>
      </c>
      <c r="B9026" s="116">
        <f t="shared" si="144"/>
        <v>93</v>
      </c>
    </row>
    <row r="9027" spans="1:2" x14ac:dyDescent="0.2">
      <c r="A9027" s="117">
        <v>43724</v>
      </c>
      <c r="B9027" s="116">
        <f t="shared" si="144"/>
        <v>93</v>
      </c>
    </row>
    <row r="9028" spans="1:2" x14ac:dyDescent="0.2">
      <c r="A9028" s="117">
        <v>43725</v>
      </c>
      <c r="B9028" s="116">
        <f t="shared" si="144"/>
        <v>93</v>
      </c>
    </row>
    <row r="9029" spans="1:2" x14ac:dyDescent="0.2">
      <c r="A9029" s="117">
        <v>43726</v>
      </c>
      <c r="B9029" s="116">
        <f t="shared" si="144"/>
        <v>93</v>
      </c>
    </row>
    <row r="9030" spans="1:2" x14ac:dyDescent="0.2">
      <c r="A9030" s="117">
        <v>43727</v>
      </c>
      <c r="B9030" s="116">
        <f t="shared" si="144"/>
        <v>93</v>
      </c>
    </row>
    <row r="9031" spans="1:2" x14ac:dyDescent="0.2">
      <c r="A9031" s="117">
        <v>43728</v>
      </c>
      <c r="B9031" s="116">
        <f t="shared" si="144"/>
        <v>93</v>
      </c>
    </row>
    <row r="9032" spans="1:2" x14ac:dyDescent="0.2">
      <c r="A9032" s="117">
        <v>43729</v>
      </c>
      <c r="B9032" s="116">
        <f t="shared" si="144"/>
        <v>93</v>
      </c>
    </row>
    <row r="9033" spans="1:2" x14ac:dyDescent="0.2">
      <c r="A9033" s="117">
        <v>43730</v>
      </c>
      <c r="B9033" s="116">
        <f t="shared" si="144"/>
        <v>94</v>
      </c>
    </row>
    <row r="9034" spans="1:2" x14ac:dyDescent="0.2">
      <c r="A9034" s="117">
        <v>43731</v>
      </c>
      <c r="B9034" s="116">
        <f t="shared" si="144"/>
        <v>94</v>
      </c>
    </row>
    <row r="9035" spans="1:2" x14ac:dyDescent="0.2">
      <c r="A9035" s="117">
        <v>43732</v>
      </c>
      <c r="B9035" s="116">
        <f t="shared" si="144"/>
        <v>94</v>
      </c>
    </row>
    <row r="9036" spans="1:2" x14ac:dyDescent="0.2">
      <c r="A9036" s="117">
        <v>43733</v>
      </c>
      <c r="B9036" s="116">
        <f t="shared" si="144"/>
        <v>94</v>
      </c>
    </row>
    <row r="9037" spans="1:2" x14ac:dyDescent="0.2">
      <c r="A9037" s="117">
        <v>43734</v>
      </c>
      <c r="B9037" s="116">
        <f t="shared" si="144"/>
        <v>94</v>
      </c>
    </row>
    <row r="9038" spans="1:2" x14ac:dyDescent="0.2">
      <c r="A9038" s="117">
        <v>43735</v>
      </c>
      <c r="B9038" s="116">
        <f t="shared" si="144"/>
        <v>94</v>
      </c>
    </row>
    <row r="9039" spans="1:2" x14ac:dyDescent="0.2">
      <c r="A9039" s="117">
        <v>43736</v>
      </c>
      <c r="B9039" s="116">
        <f t="shared" si="144"/>
        <v>94</v>
      </c>
    </row>
    <row r="9040" spans="1:2" x14ac:dyDescent="0.2">
      <c r="A9040" s="117">
        <v>43737</v>
      </c>
      <c r="B9040" s="116">
        <f t="shared" si="144"/>
        <v>101</v>
      </c>
    </row>
    <row r="9041" spans="1:2" x14ac:dyDescent="0.2">
      <c r="A9041" s="117">
        <v>43738</v>
      </c>
      <c r="B9041" s="116">
        <f t="shared" si="144"/>
        <v>101</v>
      </c>
    </row>
    <row r="9042" spans="1:2" x14ac:dyDescent="0.2">
      <c r="A9042" s="117">
        <v>43739</v>
      </c>
      <c r="B9042" s="116">
        <f t="shared" si="144"/>
        <v>101</v>
      </c>
    </row>
    <row r="9043" spans="1:2" x14ac:dyDescent="0.2">
      <c r="A9043" s="117">
        <v>43740</v>
      </c>
      <c r="B9043" s="116">
        <f t="shared" si="144"/>
        <v>101</v>
      </c>
    </row>
    <row r="9044" spans="1:2" x14ac:dyDescent="0.2">
      <c r="A9044" s="117">
        <v>43741</v>
      </c>
      <c r="B9044" s="116">
        <f t="shared" si="144"/>
        <v>101</v>
      </c>
    </row>
    <row r="9045" spans="1:2" x14ac:dyDescent="0.2">
      <c r="A9045" s="117">
        <v>43742</v>
      </c>
      <c r="B9045" s="116">
        <f t="shared" si="144"/>
        <v>101</v>
      </c>
    </row>
    <row r="9046" spans="1:2" x14ac:dyDescent="0.2">
      <c r="A9046" s="117">
        <v>43743</v>
      </c>
      <c r="B9046" s="116">
        <f t="shared" si="144"/>
        <v>101</v>
      </c>
    </row>
    <row r="9047" spans="1:2" x14ac:dyDescent="0.2">
      <c r="A9047" s="117">
        <v>43744</v>
      </c>
      <c r="B9047" s="116">
        <f t="shared" si="144"/>
        <v>102</v>
      </c>
    </row>
    <row r="9048" spans="1:2" x14ac:dyDescent="0.2">
      <c r="A9048" s="117">
        <v>43745</v>
      </c>
      <c r="B9048" s="116">
        <f t="shared" si="144"/>
        <v>102</v>
      </c>
    </row>
    <row r="9049" spans="1:2" x14ac:dyDescent="0.2">
      <c r="A9049" s="117">
        <v>43746</v>
      </c>
      <c r="B9049" s="116">
        <f t="shared" si="144"/>
        <v>102</v>
      </c>
    </row>
    <row r="9050" spans="1:2" x14ac:dyDescent="0.2">
      <c r="A9050" s="117">
        <v>43747</v>
      </c>
      <c r="B9050" s="116">
        <f t="shared" si="144"/>
        <v>102</v>
      </c>
    </row>
    <row r="9051" spans="1:2" x14ac:dyDescent="0.2">
      <c r="A9051" s="117">
        <v>43748</v>
      </c>
      <c r="B9051" s="116">
        <f t="shared" si="144"/>
        <v>102</v>
      </c>
    </row>
    <row r="9052" spans="1:2" x14ac:dyDescent="0.2">
      <c r="A9052" s="117">
        <v>43749</v>
      </c>
      <c r="B9052" s="116">
        <f t="shared" si="144"/>
        <v>102</v>
      </c>
    </row>
    <row r="9053" spans="1:2" x14ac:dyDescent="0.2">
      <c r="A9053" s="117">
        <v>43750</v>
      </c>
      <c r="B9053" s="116">
        <f t="shared" si="144"/>
        <v>102</v>
      </c>
    </row>
    <row r="9054" spans="1:2" x14ac:dyDescent="0.2">
      <c r="A9054" s="117">
        <v>43751</v>
      </c>
      <c r="B9054" s="116">
        <f t="shared" si="144"/>
        <v>103</v>
      </c>
    </row>
    <row r="9055" spans="1:2" x14ac:dyDescent="0.2">
      <c r="A9055" s="117">
        <v>43752</v>
      </c>
      <c r="B9055" s="116">
        <f t="shared" si="144"/>
        <v>103</v>
      </c>
    </row>
    <row r="9056" spans="1:2" x14ac:dyDescent="0.2">
      <c r="A9056" s="117">
        <v>43753</v>
      </c>
      <c r="B9056" s="116">
        <f t="shared" si="144"/>
        <v>103</v>
      </c>
    </row>
    <row r="9057" spans="1:2" x14ac:dyDescent="0.2">
      <c r="A9057" s="117">
        <v>43754</v>
      </c>
      <c r="B9057" s="116">
        <f t="shared" si="144"/>
        <v>103</v>
      </c>
    </row>
    <row r="9058" spans="1:2" x14ac:dyDescent="0.2">
      <c r="A9058" s="117">
        <v>43755</v>
      </c>
      <c r="B9058" s="116">
        <f t="shared" si="144"/>
        <v>103</v>
      </c>
    </row>
    <row r="9059" spans="1:2" x14ac:dyDescent="0.2">
      <c r="A9059" s="117">
        <v>43756</v>
      </c>
      <c r="B9059" s="116">
        <f t="shared" si="144"/>
        <v>103</v>
      </c>
    </row>
    <row r="9060" spans="1:2" x14ac:dyDescent="0.2">
      <c r="A9060" s="117">
        <v>43757</v>
      </c>
      <c r="B9060" s="116">
        <f t="shared" si="144"/>
        <v>103</v>
      </c>
    </row>
    <row r="9061" spans="1:2" x14ac:dyDescent="0.2">
      <c r="A9061" s="117">
        <v>43758</v>
      </c>
      <c r="B9061" s="116">
        <f t="shared" si="144"/>
        <v>104</v>
      </c>
    </row>
    <row r="9062" spans="1:2" x14ac:dyDescent="0.2">
      <c r="A9062" s="117">
        <v>43759</v>
      </c>
      <c r="B9062" s="116">
        <f t="shared" si="144"/>
        <v>104</v>
      </c>
    </row>
    <row r="9063" spans="1:2" x14ac:dyDescent="0.2">
      <c r="A9063" s="117">
        <v>43760</v>
      </c>
      <c r="B9063" s="116">
        <f t="shared" si="144"/>
        <v>104</v>
      </c>
    </row>
    <row r="9064" spans="1:2" x14ac:dyDescent="0.2">
      <c r="A9064" s="117">
        <v>43761</v>
      </c>
      <c r="B9064" s="116">
        <f t="shared" si="144"/>
        <v>104</v>
      </c>
    </row>
    <row r="9065" spans="1:2" x14ac:dyDescent="0.2">
      <c r="A9065" s="117">
        <v>43762</v>
      </c>
      <c r="B9065" s="116">
        <f t="shared" si="144"/>
        <v>104</v>
      </c>
    </row>
    <row r="9066" spans="1:2" x14ac:dyDescent="0.2">
      <c r="A9066" s="117">
        <v>43763</v>
      </c>
      <c r="B9066" s="116">
        <f t="shared" si="144"/>
        <v>104</v>
      </c>
    </row>
    <row r="9067" spans="1:2" x14ac:dyDescent="0.2">
      <c r="A9067" s="117">
        <v>43764</v>
      </c>
      <c r="B9067" s="116">
        <f t="shared" si="144"/>
        <v>104</v>
      </c>
    </row>
    <row r="9068" spans="1:2" x14ac:dyDescent="0.2">
      <c r="A9068" s="117">
        <v>43765</v>
      </c>
      <c r="B9068" s="116">
        <f t="shared" si="144"/>
        <v>105</v>
      </c>
    </row>
    <row r="9069" spans="1:2" x14ac:dyDescent="0.2">
      <c r="A9069" s="117">
        <v>43766</v>
      </c>
      <c r="B9069" s="116">
        <f t="shared" si="144"/>
        <v>105</v>
      </c>
    </row>
    <row r="9070" spans="1:2" x14ac:dyDescent="0.2">
      <c r="A9070" s="117">
        <v>43767</v>
      </c>
      <c r="B9070" s="116">
        <f t="shared" si="144"/>
        <v>105</v>
      </c>
    </row>
    <row r="9071" spans="1:2" x14ac:dyDescent="0.2">
      <c r="A9071" s="117">
        <v>43768</v>
      </c>
      <c r="B9071" s="116">
        <f t="shared" si="144"/>
        <v>105</v>
      </c>
    </row>
    <row r="9072" spans="1:2" x14ac:dyDescent="0.2">
      <c r="A9072" s="117">
        <v>43769</v>
      </c>
      <c r="B9072" s="116">
        <f t="shared" si="144"/>
        <v>105</v>
      </c>
    </row>
    <row r="9073" spans="1:2" x14ac:dyDescent="0.2">
      <c r="A9073" s="117">
        <v>43770</v>
      </c>
      <c r="B9073" s="116">
        <f t="shared" si="144"/>
        <v>105</v>
      </c>
    </row>
    <row r="9074" spans="1:2" x14ac:dyDescent="0.2">
      <c r="A9074" s="117">
        <v>43771</v>
      </c>
      <c r="B9074" s="116">
        <f t="shared" si="144"/>
        <v>105</v>
      </c>
    </row>
    <row r="9075" spans="1:2" x14ac:dyDescent="0.2">
      <c r="A9075" s="117">
        <v>43772</v>
      </c>
      <c r="B9075" s="116">
        <f t="shared" si="144"/>
        <v>111</v>
      </c>
    </row>
    <row r="9076" spans="1:2" x14ac:dyDescent="0.2">
      <c r="A9076" s="117">
        <v>43773</v>
      </c>
      <c r="B9076" s="116">
        <f t="shared" si="144"/>
        <v>111</v>
      </c>
    </row>
    <row r="9077" spans="1:2" x14ac:dyDescent="0.2">
      <c r="A9077" s="117">
        <v>43774</v>
      </c>
      <c r="B9077" s="116">
        <f t="shared" si="144"/>
        <v>111</v>
      </c>
    </row>
    <row r="9078" spans="1:2" x14ac:dyDescent="0.2">
      <c r="A9078" s="117">
        <v>43775</v>
      </c>
      <c r="B9078" s="116">
        <f t="shared" si="144"/>
        <v>111</v>
      </c>
    </row>
    <row r="9079" spans="1:2" x14ac:dyDescent="0.2">
      <c r="A9079" s="117">
        <v>43776</v>
      </c>
      <c r="B9079" s="116">
        <f t="shared" si="144"/>
        <v>111</v>
      </c>
    </row>
    <row r="9080" spans="1:2" x14ac:dyDescent="0.2">
      <c r="A9080" s="117">
        <v>43777</v>
      </c>
      <c r="B9080" s="116">
        <f t="shared" si="144"/>
        <v>111</v>
      </c>
    </row>
    <row r="9081" spans="1:2" x14ac:dyDescent="0.2">
      <c r="A9081" s="117">
        <v>43778</v>
      </c>
      <c r="B9081" s="116">
        <f t="shared" si="144"/>
        <v>111</v>
      </c>
    </row>
    <row r="9082" spans="1:2" x14ac:dyDescent="0.2">
      <c r="A9082" s="117">
        <v>43779</v>
      </c>
      <c r="B9082" s="116">
        <f t="shared" si="144"/>
        <v>112</v>
      </c>
    </row>
    <row r="9083" spans="1:2" x14ac:dyDescent="0.2">
      <c r="A9083" s="117">
        <v>43780</v>
      </c>
      <c r="B9083" s="116">
        <f t="shared" si="144"/>
        <v>112</v>
      </c>
    </row>
    <row r="9084" spans="1:2" x14ac:dyDescent="0.2">
      <c r="A9084" s="117">
        <v>43781</v>
      </c>
      <c r="B9084" s="116">
        <f t="shared" si="144"/>
        <v>112</v>
      </c>
    </row>
    <row r="9085" spans="1:2" x14ac:dyDescent="0.2">
      <c r="A9085" s="117">
        <v>43782</v>
      </c>
      <c r="B9085" s="116">
        <f t="shared" si="144"/>
        <v>112</v>
      </c>
    </row>
    <row r="9086" spans="1:2" x14ac:dyDescent="0.2">
      <c r="A9086" s="117">
        <v>43783</v>
      </c>
      <c r="B9086" s="116">
        <f t="shared" si="144"/>
        <v>112</v>
      </c>
    </row>
    <row r="9087" spans="1:2" x14ac:dyDescent="0.2">
      <c r="A9087" s="117">
        <v>43784</v>
      </c>
      <c r="B9087" s="116">
        <f t="shared" si="144"/>
        <v>112</v>
      </c>
    </row>
    <row r="9088" spans="1:2" x14ac:dyDescent="0.2">
      <c r="A9088" s="117">
        <v>43785</v>
      </c>
      <c r="B9088" s="116">
        <f t="shared" si="144"/>
        <v>112</v>
      </c>
    </row>
    <row r="9089" spans="1:2" x14ac:dyDescent="0.2">
      <c r="A9089" s="117">
        <v>43786</v>
      </c>
      <c r="B9089" s="116">
        <f t="shared" ref="B9089:B9152" si="145">VLOOKUP(WEEKNUM(A9089),$D$4:$E$59,2)</f>
        <v>113</v>
      </c>
    </row>
    <row r="9090" spans="1:2" x14ac:dyDescent="0.2">
      <c r="A9090" s="117">
        <v>43787</v>
      </c>
      <c r="B9090" s="116">
        <f t="shared" si="145"/>
        <v>113</v>
      </c>
    </row>
    <row r="9091" spans="1:2" x14ac:dyDescent="0.2">
      <c r="A9091" s="117">
        <v>43788</v>
      </c>
      <c r="B9091" s="116">
        <f t="shared" si="145"/>
        <v>113</v>
      </c>
    </row>
    <row r="9092" spans="1:2" x14ac:dyDescent="0.2">
      <c r="A9092" s="117">
        <v>43789</v>
      </c>
      <c r="B9092" s="116">
        <f t="shared" si="145"/>
        <v>113</v>
      </c>
    </row>
    <row r="9093" spans="1:2" x14ac:dyDescent="0.2">
      <c r="A9093" s="117">
        <v>43790</v>
      </c>
      <c r="B9093" s="116">
        <f t="shared" si="145"/>
        <v>113</v>
      </c>
    </row>
    <row r="9094" spans="1:2" x14ac:dyDescent="0.2">
      <c r="A9094" s="117">
        <v>43791</v>
      </c>
      <c r="B9094" s="116">
        <f t="shared" si="145"/>
        <v>113</v>
      </c>
    </row>
    <row r="9095" spans="1:2" x14ac:dyDescent="0.2">
      <c r="A9095" s="117">
        <v>43792</v>
      </c>
      <c r="B9095" s="116">
        <f t="shared" si="145"/>
        <v>113</v>
      </c>
    </row>
    <row r="9096" spans="1:2" x14ac:dyDescent="0.2">
      <c r="A9096" s="117">
        <v>43793</v>
      </c>
      <c r="B9096" s="116">
        <f t="shared" si="145"/>
        <v>114</v>
      </c>
    </row>
    <row r="9097" spans="1:2" x14ac:dyDescent="0.2">
      <c r="A9097" s="117">
        <v>43794</v>
      </c>
      <c r="B9097" s="116">
        <f t="shared" si="145"/>
        <v>114</v>
      </c>
    </row>
    <row r="9098" spans="1:2" x14ac:dyDescent="0.2">
      <c r="A9098" s="117">
        <v>43795</v>
      </c>
      <c r="B9098" s="116">
        <f t="shared" si="145"/>
        <v>114</v>
      </c>
    </row>
    <row r="9099" spans="1:2" x14ac:dyDescent="0.2">
      <c r="A9099" s="117">
        <v>43796</v>
      </c>
      <c r="B9099" s="116">
        <f t="shared" si="145"/>
        <v>114</v>
      </c>
    </row>
    <row r="9100" spans="1:2" x14ac:dyDescent="0.2">
      <c r="A9100" s="117">
        <v>43797</v>
      </c>
      <c r="B9100" s="116">
        <f t="shared" si="145"/>
        <v>114</v>
      </c>
    </row>
    <row r="9101" spans="1:2" x14ac:dyDescent="0.2">
      <c r="A9101" s="117">
        <v>43798</v>
      </c>
      <c r="B9101" s="116">
        <f t="shared" si="145"/>
        <v>114</v>
      </c>
    </row>
    <row r="9102" spans="1:2" x14ac:dyDescent="0.2">
      <c r="A9102" s="117">
        <v>43799</v>
      </c>
      <c r="B9102" s="116">
        <f t="shared" si="145"/>
        <v>114</v>
      </c>
    </row>
    <row r="9103" spans="1:2" x14ac:dyDescent="0.2">
      <c r="A9103" s="117">
        <v>43800</v>
      </c>
      <c r="B9103" s="116">
        <f t="shared" si="145"/>
        <v>115</v>
      </c>
    </row>
    <row r="9104" spans="1:2" x14ac:dyDescent="0.2">
      <c r="A9104" s="117">
        <v>43801</v>
      </c>
      <c r="B9104" s="116">
        <f t="shared" si="145"/>
        <v>115</v>
      </c>
    </row>
    <row r="9105" spans="1:2" x14ac:dyDescent="0.2">
      <c r="A9105" s="117">
        <v>43802</v>
      </c>
      <c r="B9105" s="116">
        <f t="shared" si="145"/>
        <v>115</v>
      </c>
    </row>
    <row r="9106" spans="1:2" x14ac:dyDescent="0.2">
      <c r="A9106" s="117">
        <v>43803</v>
      </c>
      <c r="B9106" s="116">
        <f t="shared" si="145"/>
        <v>115</v>
      </c>
    </row>
    <row r="9107" spans="1:2" x14ac:dyDescent="0.2">
      <c r="A9107" s="117">
        <v>43804</v>
      </c>
      <c r="B9107" s="116">
        <f t="shared" si="145"/>
        <v>115</v>
      </c>
    </row>
    <row r="9108" spans="1:2" x14ac:dyDescent="0.2">
      <c r="A9108" s="117">
        <v>43805</v>
      </c>
      <c r="B9108" s="116">
        <f t="shared" si="145"/>
        <v>115</v>
      </c>
    </row>
    <row r="9109" spans="1:2" x14ac:dyDescent="0.2">
      <c r="A9109" s="117">
        <v>43806</v>
      </c>
      <c r="B9109" s="116">
        <f t="shared" si="145"/>
        <v>115</v>
      </c>
    </row>
    <row r="9110" spans="1:2" x14ac:dyDescent="0.2">
      <c r="A9110" s="117">
        <v>43807</v>
      </c>
      <c r="B9110" s="116">
        <f t="shared" si="145"/>
        <v>121</v>
      </c>
    </row>
    <row r="9111" spans="1:2" x14ac:dyDescent="0.2">
      <c r="A9111" s="117">
        <v>43808</v>
      </c>
      <c r="B9111" s="116">
        <f t="shared" si="145"/>
        <v>121</v>
      </c>
    </row>
    <row r="9112" spans="1:2" x14ac:dyDescent="0.2">
      <c r="A9112" s="117">
        <v>43809</v>
      </c>
      <c r="B9112" s="116">
        <f t="shared" si="145"/>
        <v>121</v>
      </c>
    </row>
    <row r="9113" spans="1:2" x14ac:dyDescent="0.2">
      <c r="A9113" s="117">
        <v>43810</v>
      </c>
      <c r="B9113" s="116">
        <f t="shared" si="145"/>
        <v>121</v>
      </c>
    </row>
    <row r="9114" spans="1:2" x14ac:dyDescent="0.2">
      <c r="A9114" s="117">
        <v>43811</v>
      </c>
      <c r="B9114" s="116">
        <f t="shared" si="145"/>
        <v>121</v>
      </c>
    </row>
    <row r="9115" spans="1:2" x14ac:dyDescent="0.2">
      <c r="A9115" s="117">
        <v>43812</v>
      </c>
      <c r="B9115" s="116">
        <f t="shared" si="145"/>
        <v>121</v>
      </c>
    </row>
    <row r="9116" spans="1:2" x14ac:dyDescent="0.2">
      <c r="A9116" s="117">
        <v>43813</v>
      </c>
      <c r="B9116" s="116">
        <f t="shared" si="145"/>
        <v>121</v>
      </c>
    </row>
    <row r="9117" spans="1:2" x14ac:dyDescent="0.2">
      <c r="A9117" s="117">
        <v>43814</v>
      </c>
      <c r="B9117" s="116">
        <f t="shared" si="145"/>
        <v>122</v>
      </c>
    </row>
    <row r="9118" spans="1:2" x14ac:dyDescent="0.2">
      <c r="A9118" s="117">
        <v>43815</v>
      </c>
      <c r="B9118" s="116">
        <f t="shared" si="145"/>
        <v>122</v>
      </c>
    </row>
    <row r="9119" spans="1:2" x14ac:dyDescent="0.2">
      <c r="A9119" s="117">
        <v>43816</v>
      </c>
      <c r="B9119" s="116">
        <f t="shared" si="145"/>
        <v>122</v>
      </c>
    </row>
    <row r="9120" spans="1:2" x14ac:dyDescent="0.2">
      <c r="A9120" s="117">
        <v>43817</v>
      </c>
      <c r="B9120" s="116">
        <f t="shared" si="145"/>
        <v>122</v>
      </c>
    </row>
    <row r="9121" spans="1:2" x14ac:dyDescent="0.2">
      <c r="A9121" s="117">
        <v>43818</v>
      </c>
      <c r="B9121" s="116">
        <f t="shared" si="145"/>
        <v>122</v>
      </c>
    </row>
    <row r="9122" spans="1:2" x14ac:dyDescent="0.2">
      <c r="A9122" s="117">
        <v>43819</v>
      </c>
      <c r="B9122" s="116">
        <f t="shared" si="145"/>
        <v>122</v>
      </c>
    </row>
    <row r="9123" spans="1:2" x14ac:dyDescent="0.2">
      <c r="A9123" s="117">
        <v>43820</v>
      </c>
      <c r="B9123" s="116">
        <f t="shared" si="145"/>
        <v>122</v>
      </c>
    </row>
    <row r="9124" spans="1:2" x14ac:dyDescent="0.2">
      <c r="A9124" s="117">
        <v>43821</v>
      </c>
      <c r="B9124" s="116">
        <f t="shared" si="145"/>
        <v>123</v>
      </c>
    </row>
    <row r="9125" spans="1:2" x14ac:dyDescent="0.2">
      <c r="A9125" s="117">
        <v>43822</v>
      </c>
      <c r="B9125" s="116">
        <f t="shared" si="145"/>
        <v>123</v>
      </c>
    </row>
    <row r="9126" spans="1:2" x14ac:dyDescent="0.2">
      <c r="A9126" s="117">
        <v>43823</v>
      </c>
      <c r="B9126" s="116">
        <f t="shared" si="145"/>
        <v>123</v>
      </c>
    </row>
    <row r="9127" spans="1:2" x14ac:dyDescent="0.2">
      <c r="A9127" s="117">
        <v>43824</v>
      </c>
      <c r="B9127" s="116">
        <f t="shared" si="145"/>
        <v>123</v>
      </c>
    </row>
    <row r="9128" spans="1:2" x14ac:dyDescent="0.2">
      <c r="A9128" s="117">
        <v>43825</v>
      </c>
      <c r="B9128" s="116">
        <f t="shared" si="145"/>
        <v>123</v>
      </c>
    </row>
    <row r="9129" spans="1:2" x14ac:dyDescent="0.2">
      <c r="A9129" s="117">
        <v>43826</v>
      </c>
      <c r="B9129" s="116">
        <f t="shared" si="145"/>
        <v>123</v>
      </c>
    </row>
    <row r="9130" spans="1:2" x14ac:dyDescent="0.2">
      <c r="A9130" s="117">
        <v>43827</v>
      </c>
      <c r="B9130" s="116">
        <f t="shared" si="145"/>
        <v>123</v>
      </c>
    </row>
    <row r="9131" spans="1:2" x14ac:dyDescent="0.2">
      <c r="A9131" s="117">
        <v>43828</v>
      </c>
      <c r="B9131" s="116">
        <f t="shared" si="145"/>
        <v>124</v>
      </c>
    </row>
    <row r="9132" spans="1:2" x14ac:dyDescent="0.2">
      <c r="A9132" s="117">
        <v>43829</v>
      </c>
      <c r="B9132" s="116">
        <f t="shared" si="145"/>
        <v>124</v>
      </c>
    </row>
    <row r="9133" spans="1:2" x14ac:dyDescent="0.2">
      <c r="A9133" s="117">
        <v>43830</v>
      </c>
      <c r="B9133" s="116">
        <f t="shared" si="145"/>
        <v>124</v>
      </c>
    </row>
    <row r="9134" spans="1:2" x14ac:dyDescent="0.2">
      <c r="A9134" s="117">
        <v>43831</v>
      </c>
      <c r="B9134" s="116">
        <f t="shared" si="145"/>
        <v>11</v>
      </c>
    </row>
    <row r="9135" spans="1:2" x14ac:dyDescent="0.2">
      <c r="A9135" s="117">
        <v>43832</v>
      </c>
      <c r="B9135" s="116">
        <f t="shared" si="145"/>
        <v>11</v>
      </c>
    </row>
    <row r="9136" spans="1:2" x14ac:dyDescent="0.2">
      <c r="A9136" s="117">
        <v>43833</v>
      </c>
      <c r="B9136" s="116">
        <f t="shared" si="145"/>
        <v>11</v>
      </c>
    </row>
    <row r="9137" spans="1:2" x14ac:dyDescent="0.2">
      <c r="A9137" s="117">
        <v>43834</v>
      </c>
      <c r="B9137" s="116">
        <f t="shared" si="145"/>
        <v>11</v>
      </c>
    </row>
    <row r="9138" spans="1:2" x14ac:dyDescent="0.2">
      <c r="A9138" s="117">
        <v>43835</v>
      </c>
      <c r="B9138" s="116">
        <f t="shared" si="145"/>
        <v>12</v>
      </c>
    </row>
    <row r="9139" spans="1:2" x14ac:dyDescent="0.2">
      <c r="A9139" s="117">
        <v>43836</v>
      </c>
      <c r="B9139" s="116">
        <f t="shared" si="145"/>
        <v>12</v>
      </c>
    </row>
    <row r="9140" spans="1:2" x14ac:dyDescent="0.2">
      <c r="A9140" s="117">
        <v>43837</v>
      </c>
      <c r="B9140" s="116">
        <f t="shared" si="145"/>
        <v>12</v>
      </c>
    </row>
    <row r="9141" spans="1:2" x14ac:dyDescent="0.2">
      <c r="A9141" s="117">
        <v>43838</v>
      </c>
      <c r="B9141" s="116">
        <f t="shared" si="145"/>
        <v>12</v>
      </c>
    </row>
    <row r="9142" spans="1:2" x14ac:dyDescent="0.2">
      <c r="A9142" s="117">
        <v>43839</v>
      </c>
      <c r="B9142" s="116">
        <f t="shared" si="145"/>
        <v>12</v>
      </c>
    </row>
    <row r="9143" spans="1:2" x14ac:dyDescent="0.2">
      <c r="A9143" s="117">
        <v>43840</v>
      </c>
      <c r="B9143" s="116">
        <f t="shared" si="145"/>
        <v>12</v>
      </c>
    </row>
    <row r="9144" spans="1:2" x14ac:dyDescent="0.2">
      <c r="A9144" s="117">
        <v>43841</v>
      </c>
      <c r="B9144" s="116">
        <f t="shared" si="145"/>
        <v>12</v>
      </c>
    </row>
    <row r="9145" spans="1:2" x14ac:dyDescent="0.2">
      <c r="A9145" s="117">
        <v>43842</v>
      </c>
      <c r="B9145" s="116">
        <f t="shared" si="145"/>
        <v>13</v>
      </c>
    </row>
    <row r="9146" spans="1:2" x14ac:dyDescent="0.2">
      <c r="A9146" s="117">
        <v>43843</v>
      </c>
      <c r="B9146" s="116">
        <f t="shared" si="145"/>
        <v>13</v>
      </c>
    </row>
    <row r="9147" spans="1:2" x14ac:dyDescent="0.2">
      <c r="A9147" s="117">
        <v>43844</v>
      </c>
      <c r="B9147" s="116">
        <f t="shared" si="145"/>
        <v>13</v>
      </c>
    </row>
    <row r="9148" spans="1:2" x14ac:dyDescent="0.2">
      <c r="A9148" s="117">
        <v>43845</v>
      </c>
      <c r="B9148" s="116">
        <f t="shared" si="145"/>
        <v>13</v>
      </c>
    </row>
    <row r="9149" spans="1:2" x14ac:dyDescent="0.2">
      <c r="A9149" s="117">
        <v>43846</v>
      </c>
      <c r="B9149" s="116">
        <f t="shared" si="145"/>
        <v>13</v>
      </c>
    </row>
    <row r="9150" spans="1:2" x14ac:dyDescent="0.2">
      <c r="A9150" s="117">
        <v>43847</v>
      </c>
      <c r="B9150" s="116">
        <f t="shared" si="145"/>
        <v>13</v>
      </c>
    </row>
    <row r="9151" spans="1:2" x14ac:dyDescent="0.2">
      <c r="A9151" s="117">
        <v>43848</v>
      </c>
      <c r="B9151" s="116">
        <f t="shared" si="145"/>
        <v>13</v>
      </c>
    </row>
    <row r="9152" spans="1:2" x14ac:dyDescent="0.2">
      <c r="A9152" s="117">
        <v>43849</v>
      </c>
      <c r="B9152" s="116">
        <f t="shared" si="145"/>
        <v>14</v>
      </c>
    </row>
    <row r="9153" spans="1:2" x14ac:dyDescent="0.2">
      <c r="A9153" s="117">
        <v>43850</v>
      </c>
      <c r="B9153" s="116">
        <f t="shared" ref="B9153:B9216" si="146">VLOOKUP(WEEKNUM(A9153),$D$4:$E$59,2)</f>
        <v>14</v>
      </c>
    </row>
    <row r="9154" spans="1:2" x14ac:dyDescent="0.2">
      <c r="A9154" s="117">
        <v>43851</v>
      </c>
      <c r="B9154" s="116">
        <f t="shared" si="146"/>
        <v>14</v>
      </c>
    </row>
    <row r="9155" spans="1:2" x14ac:dyDescent="0.2">
      <c r="A9155" s="117">
        <v>43852</v>
      </c>
      <c r="B9155" s="116">
        <f t="shared" si="146"/>
        <v>14</v>
      </c>
    </row>
    <row r="9156" spans="1:2" x14ac:dyDescent="0.2">
      <c r="A9156" s="117">
        <v>43853</v>
      </c>
      <c r="B9156" s="116">
        <f t="shared" si="146"/>
        <v>14</v>
      </c>
    </row>
    <row r="9157" spans="1:2" x14ac:dyDescent="0.2">
      <c r="A9157" s="117">
        <v>43854</v>
      </c>
      <c r="B9157" s="116">
        <f t="shared" si="146"/>
        <v>14</v>
      </c>
    </row>
    <row r="9158" spans="1:2" x14ac:dyDescent="0.2">
      <c r="A9158" s="117">
        <v>43855</v>
      </c>
      <c r="B9158" s="116">
        <f t="shared" si="146"/>
        <v>14</v>
      </c>
    </row>
    <row r="9159" spans="1:2" x14ac:dyDescent="0.2">
      <c r="A9159" s="117">
        <v>43856</v>
      </c>
      <c r="B9159" s="116">
        <f t="shared" si="146"/>
        <v>15</v>
      </c>
    </row>
    <row r="9160" spans="1:2" x14ac:dyDescent="0.2">
      <c r="A9160" s="117">
        <v>43857</v>
      </c>
      <c r="B9160" s="116">
        <f t="shared" si="146"/>
        <v>15</v>
      </c>
    </row>
    <row r="9161" spans="1:2" x14ac:dyDescent="0.2">
      <c r="A9161" s="117">
        <v>43858</v>
      </c>
      <c r="B9161" s="116">
        <f t="shared" si="146"/>
        <v>15</v>
      </c>
    </row>
    <row r="9162" spans="1:2" x14ac:dyDescent="0.2">
      <c r="A9162" s="117">
        <v>43859</v>
      </c>
      <c r="B9162" s="116">
        <f t="shared" si="146"/>
        <v>15</v>
      </c>
    </row>
    <row r="9163" spans="1:2" x14ac:dyDescent="0.2">
      <c r="A9163" s="117">
        <v>43860</v>
      </c>
      <c r="B9163" s="116">
        <f t="shared" si="146"/>
        <v>15</v>
      </c>
    </row>
    <row r="9164" spans="1:2" x14ac:dyDescent="0.2">
      <c r="A9164" s="117">
        <v>43861</v>
      </c>
      <c r="B9164" s="116">
        <f t="shared" si="146"/>
        <v>15</v>
      </c>
    </row>
    <row r="9165" spans="1:2" x14ac:dyDescent="0.2">
      <c r="A9165" s="117">
        <v>43862</v>
      </c>
      <c r="B9165" s="116">
        <f t="shared" si="146"/>
        <v>15</v>
      </c>
    </row>
    <row r="9166" spans="1:2" x14ac:dyDescent="0.2">
      <c r="A9166" s="117">
        <v>43863</v>
      </c>
      <c r="B9166" s="116">
        <f t="shared" si="146"/>
        <v>21</v>
      </c>
    </row>
    <row r="9167" spans="1:2" x14ac:dyDescent="0.2">
      <c r="A9167" s="117">
        <v>43864</v>
      </c>
      <c r="B9167" s="116">
        <f t="shared" si="146"/>
        <v>21</v>
      </c>
    </row>
    <row r="9168" spans="1:2" x14ac:dyDescent="0.2">
      <c r="A9168" s="117">
        <v>43865</v>
      </c>
      <c r="B9168" s="116">
        <f t="shared" si="146"/>
        <v>21</v>
      </c>
    </row>
    <row r="9169" spans="1:2" x14ac:dyDescent="0.2">
      <c r="A9169" s="117">
        <v>43866</v>
      </c>
      <c r="B9169" s="116">
        <f t="shared" si="146"/>
        <v>21</v>
      </c>
    </row>
    <row r="9170" spans="1:2" x14ac:dyDescent="0.2">
      <c r="A9170" s="117">
        <v>43867</v>
      </c>
      <c r="B9170" s="116">
        <f t="shared" si="146"/>
        <v>21</v>
      </c>
    </row>
    <row r="9171" spans="1:2" x14ac:dyDescent="0.2">
      <c r="A9171" s="117">
        <v>43868</v>
      </c>
      <c r="B9171" s="116">
        <f t="shared" si="146"/>
        <v>21</v>
      </c>
    </row>
    <row r="9172" spans="1:2" x14ac:dyDescent="0.2">
      <c r="A9172" s="117">
        <v>43869</v>
      </c>
      <c r="B9172" s="116">
        <f t="shared" si="146"/>
        <v>21</v>
      </c>
    </row>
    <row r="9173" spans="1:2" x14ac:dyDescent="0.2">
      <c r="A9173" s="117">
        <v>43870</v>
      </c>
      <c r="B9173" s="116">
        <f t="shared" si="146"/>
        <v>22</v>
      </c>
    </row>
    <row r="9174" spans="1:2" x14ac:dyDescent="0.2">
      <c r="A9174" s="117">
        <v>43871</v>
      </c>
      <c r="B9174" s="116">
        <f t="shared" si="146"/>
        <v>22</v>
      </c>
    </row>
    <row r="9175" spans="1:2" x14ac:dyDescent="0.2">
      <c r="A9175" s="117">
        <v>43872</v>
      </c>
      <c r="B9175" s="116">
        <f t="shared" si="146"/>
        <v>22</v>
      </c>
    </row>
    <row r="9176" spans="1:2" x14ac:dyDescent="0.2">
      <c r="A9176" s="117">
        <v>43873</v>
      </c>
      <c r="B9176" s="116">
        <f t="shared" si="146"/>
        <v>22</v>
      </c>
    </row>
    <row r="9177" spans="1:2" x14ac:dyDescent="0.2">
      <c r="A9177" s="117">
        <v>43874</v>
      </c>
      <c r="B9177" s="116">
        <f t="shared" si="146"/>
        <v>22</v>
      </c>
    </row>
    <row r="9178" spans="1:2" x14ac:dyDescent="0.2">
      <c r="A9178" s="117">
        <v>43875</v>
      </c>
      <c r="B9178" s="116">
        <f t="shared" si="146"/>
        <v>22</v>
      </c>
    </row>
    <row r="9179" spans="1:2" x14ac:dyDescent="0.2">
      <c r="A9179" s="117">
        <v>43876</v>
      </c>
      <c r="B9179" s="116">
        <f t="shared" si="146"/>
        <v>22</v>
      </c>
    </row>
    <row r="9180" spans="1:2" x14ac:dyDescent="0.2">
      <c r="A9180" s="117">
        <v>43877</v>
      </c>
      <c r="B9180" s="116">
        <f t="shared" si="146"/>
        <v>23</v>
      </c>
    </row>
    <row r="9181" spans="1:2" x14ac:dyDescent="0.2">
      <c r="A9181" s="117">
        <v>43878</v>
      </c>
      <c r="B9181" s="116">
        <f t="shared" si="146"/>
        <v>23</v>
      </c>
    </row>
    <row r="9182" spans="1:2" x14ac:dyDescent="0.2">
      <c r="A9182" s="117">
        <v>43879</v>
      </c>
      <c r="B9182" s="116">
        <f t="shared" si="146"/>
        <v>23</v>
      </c>
    </row>
    <row r="9183" spans="1:2" x14ac:dyDescent="0.2">
      <c r="A9183" s="117">
        <v>43880</v>
      </c>
      <c r="B9183" s="116">
        <f t="shared" si="146"/>
        <v>23</v>
      </c>
    </row>
    <row r="9184" spans="1:2" x14ac:dyDescent="0.2">
      <c r="A9184" s="117">
        <v>43881</v>
      </c>
      <c r="B9184" s="116">
        <f t="shared" si="146"/>
        <v>23</v>
      </c>
    </row>
    <row r="9185" spans="1:2" x14ac:dyDescent="0.2">
      <c r="A9185" s="117">
        <v>43882</v>
      </c>
      <c r="B9185" s="116">
        <f t="shared" si="146"/>
        <v>23</v>
      </c>
    </row>
    <row r="9186" spans="1:2" x14ac:dyDescent="0.2">
      <c r="A9186" s="117">
        <v>43883</v>
      </c>
      <c r="B9186" s="116">
        <f t="shared" si="146"/>
        <v>23</v>
      </c>
    </row>
    <row r="9187" spans="1:2" x14ac:dyDescent="0.2">
      <c r="A9187" s="117">
        <v>43884</v>
      </c>
      <c r="B9187" s="116">
        <f t="shared" si="146"/>
        <v>24</v>
      </c>
    </row>
    <row r="9188" spans="1:2" x14ac:dyDescent="0.2">
      <c r="A9188" s="117">
        <v>43885</v>
      </c>
      <c r="B9188" s="116">
        <f t="shared" si="146"/>
        <v>24</v>
      </c>
    </row>
    <row r="9189" spans="1:2" x14ac:dyDescent="0.2">
      <c r="A9189" s="117">
        <v>43886</v>
      </c>
      <c r="B9189" s="116">
        <f t="shared" si="146"/>
        <v>24</v>
      </c>
    </row>
    <row r="9190" spans="1:2" x14ac:dyDescent="0.2">
      <c r="A9190" s="117">
        <v>43887</v>
      </c>
      <c r="B9190" s="116">
        <f t="shared" si="146"/>
        <v>24</v>
      </c>
    </row>
    <row r="9191" spans="1:2" x14ac:dyDescent="0.2">
      <c r="A9191" s="117">
        <v>43888</v>
      </c>
      <c r="B9191" s="116">
        <f t="shared" si="146"/>
        <v>24</v>
      </c>
    </row>
    <row r="9192" spans="1:2" x14ac:dyDescent="0.2">
      <c r="A9192" s="117">
        <v>43889</v>
      </c>
      <c r="B9192" s="116">
        <f t="shared" si="146"/>
        <v>24</v>
      </c>
    </row>
    <row r="9193" spans="1:2" x14ac:dyDescent="0.2">
      <c r="A9193" s="117">
        <v>43890</v>
      </c>
      <c r="B9193" s="116">
        <f t="shared" si="146"/>
        <v>24</v>
      </c>
    </row>
    <row r="9194" spans="1:2" x14ac:dyDescent="0.2">
      <c r="A9194" s="117">
        <v>43891</v>
      </c>
      <c r="B9194" s="116">
        <f t="shared" si="146"/>
        <v>31</v>
      </c>
    </row>
    <row r="9195" spans="1:2" x14ac:dyDescent="0.2">
      <c r="A9195" s="117">
        <v>43892</v>
      </c>
      <c r="B9195" s="116">
        <f t="shared" si="146"/>
        <v>31</v>
      </c>
    </row>
    <row r="9196" spans="1:2" x14ac:dyDescent="0.2">
      <c r="A9196" s="117">
        <v>43893</v>
      </c>
      <c r="B9196" s="116">
        <f t="shared" si="146"/>
        <v>31</v>
      </c>
    </row>
    <row r="9197" spans="1:2" x14ac:dyDescent="0.2">
      <c r="A9197" s="117">
        <v>43894</v>
      </c>
      <c r="B9197" s="116">
        <f t="shared" si="146"/>
        <v>31</v>
      </c>
    </row>
    <row r="9198" spans="1:2" x14ac:dyDescent="0.2">
      <c r="A9198" s="117">
        <v>43895</v>
      </c>
      <c r="B9198" s="116">
        <f t="shared" si="146"/>
        <v>31</v>
      </c>
    </row>
    <row r="9199" spans="1:2" x14ac:dyDescent="0.2">
      <c r="A9199" s="117">
        <v>43896</v>
      </c>
      <c r="B9199" s="116">
        <f t="shared" si="146"/>
        <v>31</v>
      </c>
    </row>
    <row r="9200" spans="1:2" x14ac:dyDescent="0.2">
      <c r="A9200" s="117">
        <v>43897</v>
      </c>
      <c r="B9200" s="116">
        <f t="shared" si="146"/>
        <v>31</v>
      </c>
    </row>
    <row r="9201" spans="1:2" x14ac:dyDescent="0.2">
      <c r="A9201" s="117">
        <v>43898</v>
      </c>
      <c r="B9201" s="116">
        <f t="shared" si="146"/>
        <v>32</v>
      </c>
    </row>
    <row r="9202" spans="1:2" x14ac:dyDescent="0.2">
      <c r="A9202" s="117">
        <v>43899</v>
      </c>
      <c r="B9202" s="116">
        <f t="shared" si="146"/>
        <v>32</v>
      </c>
    </row>
    <row r="9203" spans="1:2" x14ac:dyDescent="0.2">
      <c r="A9203" s="117">
        <v>43900</v>
      </c>
      <c r="B9203" s="116">
        <f t="shared" si="146"/>
        <v>32</v>
      </c>
    </row>
    <row r="9204" spans="1:2" x14ac:dyDescent="0.2">
      <c r="A9204" s="117">
        <v>43901</v>
      </c>
      <c r="B9204" s="116">
        <f t="shared" si="146"/>
        <v>32</v>
      </c>
    </row>
    <row r="9205" spans="1:2" x14ac:dyDescent="0.2">
      <c r="A9205" s="117">
        <v>43902</v>
      </c>
      <c r="B9205" s="116">
        <f t="shared" si="146"/>
        <v>32</v>
      </c>
    </row>
    <row r="9206" spans="1:2" x14ac:dyDescent="0.2">
      <c r="A9206" s="117">
        <v>43903</v>
      </c>
      <c r="B9206" s="116">
        <f t="shared" si="146"/>
        <v>32</v>
      </c>
    </row>
    <row r="9207" spans="1:2" x14ac:dyDescent="0.2">
      <c r="A9207" s="117">
        <v>43904</v>
      </c>
      <c r="B9207" s="116">
        <f t="shared" si="146"/>
        <v>32</v>
      </c>
    </row>
    <row r="9208" spans="1:2" x14ac:dyDescent="0.2">
      <c r="A9208" s="117">
        <v>43905</v>
      </c>
      <c r="B9208" s="116">
        <f t="shared" si="146"/>
        <v>33</v>
      </c>
    </row>
    <row r="9209" spans="1:2" x14ac:dyDescent="0.2">
      <c r="A9209" s="117">
        <v>43906</v>
      </c>
      <c r="B9209" s="116">
        <f t="shared" si="146"/>
        <v>33</v>
      </c>
    </row>
    <row r="9210" spans="1:2" x14ac:dyDescent="0.2">
      <c r="A9210" s="117">
        <v>43907</v>
      </c>
      <c r="B9210" s="116">
        <f t="shared" si="146"/>
        <v>33</v>
      </c>
    </row>
    <row r="9211" spans="1:2" x14ac:dyDescent="0.2">
      <c r="A9211" s="117">
        <v>43908</v>
      </c>
      <c r="B9211" s="116">
        <f t="shared" si="146"/>
        <v>33</v>
      </c>
    </row>
    <row r="9212" spans="1:2" x14ac:dyDescent="0.2">
      <c r="A9212" s="117">
        <v>43909</v>
      </c>
      <c r="B9212" s="116">
        <f t="shared" si="146"/>
        <v>33</v>
      </c>
    </row>
    <row r="9213" spans="1:2" x14ac:dyDescent="0.2">
      <c r="A9213" s="117">
        <v>43910</v>
      </c>
      <c r="B9213" s="116">
        <f t="shared" si="146"/>
        <v>33</v>
      </c>
    </row>
    <row r="9214" spans="1:2" x14ac:dyDescent="0.2">
      <c r="A9214" s="117">
        <v>43911</v>
      </c>
      <c r="B9214" s="116">
        <f t="shared" si="146"/>
        <v>33</v>
      </c>
    </row>
    <row r="9215" spans="1:2" x14ac:dyDescent="0.2">
      <c r="A9215" s="117">
        <v>43912</v>
      </c>
      <c r="B9215" s="116">
        <f t="shared" si="146"/>
        <v>34</v>
      </c>
    </row>
    <row r="9216" spans="1:2" x14ac:dyDescent="0.2">
      <c r="A9216" s="117">
        <v>43913</v>
      </c>
      <c r="B9216" s="116">
        <f t="shared" si="146"/>
        <v>34</v>
      </c>
    </row>
    <row r="9217" spans="1:2" x14ac:dyDescent="0.2">
      <c r="A9217" s="117">
        <v>43914</v>
      </c>
      <c r="B9217" s="116">
        <f t="shared" ref="B9217:B9280" si="147">VLOOKUP(WEEKNUM(A9217),$D$4:$E$59,2)</f>
        <v>34</v>
      </c>
    </row>
    <row r="9218" spans="1:2" x14ac:dyDescent="0.2">
      <c r="A9218" s="117">
        <v>43915</v>
      </c>
      <c r="B9218" s="116">
        <f t="shared" si="147"/>
        <v>34</v>
      </c>
    </row>
    <row r="9219" spans="1:2" x14ac:dyDescent="0.2">
      <c r="A9219" s="117">
        <v>43916</v>
      </c>
      <c r="B9219" s="116">
        <f t="shared" si="147"/>
        <v>34</v>
      </c>
    </row>
    <row r="9220" spans="1:2" x14ac:dyDescent="0.2">
      <c r="A9220" s="117">
        <v>43917</v>
      </c>
      <c r="B9220" s="116">
        <f t="shared" si="147"/>
        <v>34</v>
      </c>
    </row>
    <row r="9221" spans="1:2" x14ac:dyDescent="0.2">
      <c r="A9221" s="117">
        <v>43918</v>
      </c>
      <c r="B9221" s="116">
        <f t="shared" si="147"/>
        <v>34</v>
      </c>
    </row>
    <row r="9222" spans="1:2" x14ac:dyDescent="0.2">
      <c r="A9222" s="117">
        <v>43919</v>
      </c>
      <c r="B9222" s="116">
        <f t="shared" si="147"/>
        <v>41</v>
      </c>
    </row>
    <row r="9223" spans="1:2" x14ac:dyDescent="0.2">
      <c r="A9223" s="117">
        <v>43920</v>
      </c>
      <c r="B9223" s="116">
        <f t="shared" si="147"/>
        <v>41</v>
      </c>
    </row>
    <row r="9224" spans="1:2" x14ac:dyDescent="0.2">
      <c r="A9224" s="117">
        <v>43921</v>
      </c>
      <c r="B9224" s="116">
        <f t="shared" si="147"/>
        <v>41</v>
      </c>
    </row>
    <row r="9225" spans="1:2" x14ac:dyDescent="0.2">
      <c r="A9225" s="117">
        <v>43922</v>
      </c>
      <c r="B9225" s="116">
        <f t="shared" si="147"/>
        <v>41</v>
      </c>
    </row>
    <row r="9226" spans="1:2" x14ac:dyDescent="0.2">
      <c r="A9226" s="117">
        <v>43923</v>
      </c>
      <c r="B9226" s="116">
        <f t="shared" si="147"/>
        <v>41</v>
      </c>
    </row>
    <row r="9227" spans="1:2" x14ac:dyDescent="0.2">
      <c r="A9227" s="117">
        <v>43924</v>
      </c>
      <c r="B9227" s="116">
        <f t="shared" si="147"/>
        <v>41</v>
      </c>
    </row>
    <row r="9228" spans="1:2" x14ac:dyDescent="0.2">
      <c r="A9228" s="117">
        <v>43925</v>
      </c>
      <c r="B9228" s="116">
        <f t="shared" si="147"/>
        <v>41</v>
      </c>
    </row>
    <row r="9229" spans="1:2" x14ac:dyDescent="0.2">
      <c r="A9229" s="117">
        <v>43926</v>
      </c>
      <c r="B9229" s="116">
        <f t="shared" si="147"/>
        <v>42</v>
      </c>
    </row>
    <row r="9230" spans="1:2" x14ac:dyDescent="0.2">
      <c r="A9230" s="117">
        <v>43927</v>
      </c>
      <c r="B9230" s="116">
        <f t="shared" si="147"/>
        <v>42</v>
      </c>
    </row>
    <row r="9231" spans="1:2" x14ac:dyDescent="0.2">
      <c r="A9231" s="117">
        <v>43928</v>
      </c>
      <c r="B9231" s="116">
        <f t="shared" si="147"/>
        <v>42</v>
      </c>
    </row>
    <row r="9232" spans="1:2" x14ac:dyDescent="0.2">
      <c r="A9232" s="117">
        <v>43929</v>
      </c>
      <c r="B9232" s="116">
        <f t="shared" si="147"/>
        <v>42</v>
      </c>
    </row>
    <row r="9233" spans="1:2" x14ac:dyDescent="0.2">
      <c r="A9233" s="117">
        <v>43930</v>
      </c>
      <c r="B9233" s="116">
        <f t="shared" si="147"/>
        <v>42</v>
      </c>
    </row>
    <row r="9234" spans="1:2" x14ac:dyDescent="0.2">
      <c r="A9234" s="117">
        <v>43931</v>
      </c>
      <c r="B9234" s="116">
        <f t="shared" si="147"/>
        <v>42</v>
      </c>
    </row>
    <row r="9235" spans="1:2" x14ac:dyDescent="0.2">
      <c r="A9235" s="117">
        <v>43932</v>
      </c>
      <c r="B9235" s="116">
        <f t="shared" si="147"/>
        <v>42</v>
      </c>
    </row>
    <row r="9236" spans="1:2" x14ac:dyDescent="0.2">
      <c r="A9236" s="117">
        <v>43933</v>
      </c>
      <c r="B9236" s="116">
        <f t="shared" si="147"/>
        <v>43</v>
      </c>
    </row>
    <row r="9237" spans="1:2" x14ac:dyDescent="0.2">
      <c r="A9237" s="117">
        <v>43934</v>
      </c>
      <c r="B9237" s="116">
        <f t="shared" si="147"/>
        <v>43</v>
      </c>
    </row>
    <row r="9238" spans="1:2" x14ac:dyDescent="0.2">
      <c r="A9238" s="117">
        <v>43935</v>
      </c>
      <c r="B9238" s="116">
        <f t="shared" si="147"/>
        <v>43</v>
      </c>
    </row>
    <row r="9239" spans="1:2" x14ac:dyDescent="0.2">
      <c r="A9239" s="117">
        <v>43936</v>
      </c>
      <c r="B9239" s="116">
        <f t="shared" si="147"/>
        <v>43</v>
      </c>
    </row>
    <row r="9240" spans="1:2" x14ac:dyDescent="0.2">
      <c r="A9240" s="117">
        <v>43937</v>
      </c>
      <c r="B9240" s="116">
        <f t="shared" si="147"/>
        <v>43</v>
      </c>
    </row>
    <row r="9241" spans="1:2" x14ac:dyDescent="0.2">
      <c r="A9241" s="117">
        <v>43938</v>
      </c>
      <c r="B9241" s="116">
        <f t="shared" si="147"/>
        <v>43</v>
      </c>
    </row>
    <row r="9242" spans="1:2" x14ac:dyDescent="0.2">
      <c r="A9242" s="117">
        <v>43939</v>
      </c>
      <c r="B9242" s="116">
        <f t="shared" si="147"/>
        <v>43</v>
      </c>
    </row>
    <row r="9243" spans="1:2" x14ac:dyDescent="0.2">
      <c r="A9243" s="117">
        <v>43940</v>
      </c>
      <c r="B9243" s="116">
        <f t="shared" si="147"/>
        <v>44</v>
      </c>
    </row>
    <row r="9244" spans="1:2" x14ac:dyDescent="0.2">
      <c r="A9244" s="117">
        <v>43941</v>
      </c>
      <c r="B9244" s="116">
        <f t="shared" si="147"/>
        <v>44</v>
      </c>
    </row>
    <row r="9245" spans="1:2" x14ac:dyDescent="0.2">
      <c r="A9245" s="117">
        <v>43942</v>
      </c>
      <c r="B9245" s="116">
        <f t="shared" si="147"/>
        <v>44</v>
      </c>
    </row>
    <row r="9246" spans="1:2" x14ac:dyDescent="0.2">
      <c r="A9246" s="117">
        <v>43943</v>
      </c>
      <c r="B9246" s="116">
        <f t="shared" si="147"/>
        <v>44</v>
      </c>
    </row>
    <row r="9247" spans="1:2" x14ac:dyDescent="0.2">
      <c r="A9247" s="117">
        <v>43944</v>
      </c>
      <c r="B9247" s="116">
        <f t="shared" si="147"/>
        <v>44</v>
      </c>
    </row>
    <row r="9248" spans="1:2" x14ac:dyDescent="0.2">
      <c r="A9248" s="117">
        <v>43945</v>
      </c>
      <c r="B9248" s="116">
        <f t="shared" si="147"/>
        <v>44</v>
      </c>
    </row>
    <row r="9249" spans="1:2" x14ac:dyDescent="0.2">
      <c r="A9249" s="117">
        <v>43946</v>
      </c>
      <c r="B9249" s="116">
        <f t="shared" si="147"/>
        <v>44</v>
      </c>
    </row>
    <row r="9250" spans="1:2" x14ac:dyDescent="0.2">
      <c r="A9250" s="117">
        <v>43947</v>
      </c>
      <c r="B9250" s="116">
        <f t="shared" si="147"/>
        <v>45</v>
      </c>
    </row>
    <row r="9251" spans="1:2" x14ac:dyDescent="0.2">
      <c r="A9251" s="117">
        <v>43948</v>
      </c>
      <c r="B9251" s="116">
        <f t="shared" si="147"/>
        <v>45</v>
      </c>
    </row>
    <row r="9252" spans="1:2" x14ac:dyDescent="0.2">
      <c r="A9252" s="117">
        <v>43949</v>
      </c>
      <c r="B9252" s="116">
        <f t="shared" si="147"/>
        <v>45</v>
      </c>
    </row>
    <row r="9253" spans="1:2" x14ac:dyDescent="0.2">
      <c r="A9253" s="117">
        <v>43950</v>
      </c>
      <c r="B9253" s="116">
        <f t="shared" si="147"/>
        <v>45</v>
      </c>
    </row>
    <row r="9254" spans="1:2" x14ac:dyDescent="0.2">
      <c r="A9254" s="117">
        <v>43951</v>
      </c>
      <c r="B9254" s="116">
        <f t="shared" si="147"/>
        <v>45</v>
      </c>
    </row>
    <row r="9255" spans="1:2" x14ac:dyDescent="0.2">
      <c r="A9255" s="117">
        <v>43952</v>
      </c>
      <c r="B9255" s="116">
        <f t="shared" si="147"/>
        <v>45</v>
      </c>
    </row>
    <row r="9256" spans="1:2" x14ac:dyDescent="0.2">
      <c r="A9256" s="117">
        <v>43953</v>
      </c>
      <c r="B9256" s="116">
        <f t="shared" si="147"/>
        <v>45</v>
      </c>
    </row>
    <row r="9257" spans="1:2" x14ac:dyDescent="0.2">
      <c r="A9257" s="117">
        <v>43954</v>
      </c>
      <c r="B9257" s="116">
        <f t="shared" si="147"/>
        <v>51</v>
      </c>
    </row>
    <row r="9258" spans="1:2" x14ac:dyDescent="0.2">
      <c r="A9258" s="117">
        <v>43955</v>
      </c>
      <c r="B9258" s="116">
        <f t="shared" si="147"/>
        <v>51</v>
      </c>
    </row>
    <row r="9259" spans="1:2" x14ac:dyDescent="0.2">
      <c r="A9259" s="117">
        <v>43956</v>
      </c>
      <c r="B9259" s="116">
        <f t="shared" si="147"/>
        <v>51</v>
      </c>
    </row>
    <row r="9260" spans="1:2" x14ac:dyDescent="0.2">
      <c r="A9260" s="117">
        <v>43957</v>
      </c>
      <c r="B9260" s="116">
        <f t="shared" si="147"/>
        <v>51</v>
      </c>
    </row>
    <row r="9261" spans="1:2" x14ac:dyDescent="0.2">
      <c r="A9261" s="117">
        <v>43958</v>
      </c>
      <c r="B9261" s="116">
        <f t="shared" si="147"/>
        <v>51</v>
      </c>
    </row>
    <row r="9262" spans="1:2" x14ac:dyDescent="0.2">
      <c r="A9262" s="117">
        <v>43959</v>
      </c>
      <c r="B9262" s="116">
        <f t="shared" si="147"/>
        <v>51</v>
      </c>
    </row>
    <row r="9263" spans="1:2" x14ac:dyDescent="0.2">
      <c r="A9263" s="117">
        <v>43960</v>
      </c>
      <c r="B9263" s="116">
        <f t="shared" si="147"/>
        <v>51</v>
      </c>
    </row>
    <row r="9264" spans="1:2" x14ac:dyDescent="0.2">
      <c r="A9264" s="117">
        <v>43961</v>
      </c>
      <c r="B9264" s="116">
        <f t="shared" si="147"/>
        <v>52</v>
      </c>
    </row>
    <row r="9265" spans="1:2" x14ac:dyDescent="0.2">
      <c r="A9265" s="117">
        <v>43962</v>
      </c>
      <c r="B9265" s="116">
        <f t="shared" si="147"/>
        <v>52</v>
      </c>
    </row>
    <row r="9266" spans="1:2" x14ac:dyDescent="0.2">
      <c r="A9266" s="117">
        <v>43963</v>
      </c>
      <c r="B9266" s="116">
        <f t="shared" si="147"/>
        <v>52</v>
      </c>
    </row>
    <row r="9267" spans="1:2" x14ac:dyDescent="0.2">
      <c r="A9267" s="117">
        <v>43964</v>
      </c>
      <c r="B9267" s="116">
        <f t="shared" si="147"/>
        <v>52</v>
      </c>
    </row>
    <row r="9268" spans="1:2" x14ac:dyDescent="0.2">
      <c r="A9268" s="117">
        <v>43965</v>
      </c>
      <c r="B9268" s="116">
        <f t="shared" si="147"/>
        <v>52</v>
      </c>
    </row>
    <row r="9269" spans="1:2" x14ac:dyDescent="0.2">
      <c r="A9269" s="117">
        <v>43966</v>
      </c>
      <c r="B9269" s="116">
        <f t="shared" si="147"/>
        <v>52</v>
      </c>
    </row>
    <row r="9270" spans="1:2" x14ac:dyDescent="0.2">
      <c r="A9270" s="117">
        <v>43967</v>
      </c>
      <c r="B9270" s="116">
        <f t="shared" si="147"/>
        <v>52</v>
      </c>
    </row>
    <row r="9271" spans="1:2" x14ac:dyDescent="0.2">
      <c r="A9271" s="117">
        <v>43968</v>
      </c>
      <c r="B9271" s="116">
        <f t="shared" si="147"/>
        <v>53</v>
      </c>
    </row>
    <row r="9272" spans="1:2" x14ac:dyDescent="0.2">
      <c r="A9272" s="117">
        <v>43969</v>
      </c>
      <c r="B9272" s="116">
        <f t="shared" si="147"/>
        <v>53</v>
      </c>
    </row>
    <row r="9273" spans="1:2" x14ac:dyDescent="0.2">
      <c r="A9273" s="117">
        <v>43970</v>
      </c>
      <c r="B9273" s="116">
        <f t="shared" si="147"/>
        <v>53</v>
      </c>
    </row>
    <row r="9274" spans="1:2" x14ac:dyDescent="0.2">
      <c r="A9274" s="117">
        <v>43971</v>
      </c>
      <c r="B9274" s="116">
        <f t="shared" si="147"/>
        <v>53</v>
      </c>
    </row>
    <row r="9275" spans="1:2" x14ac:dyDescent="0.2">
      <c r="A9275" s="117">
        <v>43972</v>
      </c>
      <c r="B9275" s="116">
        <f t="shared" si="147"/>
        <v>53</v>
      </c>
    </row>
    <row r="9276" spans="1:2" x14ac:dyDescent="0.2">
      <c r="A9276" s="117">
        <v>43973</v>
      </c>
      <c r="B9276" s="116">
        <f t="shared" si="147"/>
        <v>53</v>
      </c>
    </row>
    <row r="9277" spans="1:2" x14ac:dyDescent="0.2">
      <c r="A9277" s="117">
        <v>43974</v>
      </c>
      <c r="B9277" s="116">
        <f t="shared" si="147"/>
        <v>53</v>
      </c>
    </row>
    <row r="9278" spans="1:2" x14ac:dyDescent="0.2">
      <c r="A9278" s="117">
        <v>43975</v>
      </c>
      <c r="B9278" s="116">
        <f t="shared" si="147"/>
        <v>54</v>
      </c>
    </row>
    <row r="9279" spans="1:2" x14ac:dyDescent="0.2">
      <c r="A9279" s="117">
        <v>43976</v>
      </c>
      <c r="B9279" s="116">
        <f t="shared" si="147"/>
        <v>54</v>
      </c>
    </row>
    <row r="9280" spans="1:2" x14ac:dyDescent="0.2">
      <c r="A9280" s="117">
        <v>43977</v>
      </c>
      <c r="B9280" s="116">
        <f t="shared" si="147"/>
        <v>54</v>
      </c>
    </row>
    <row r="9281" spans="1:2" x14ac:dyDescent="0.2">
      <c r="A9281" s="117">
        <v>43978</v>
      </c>
      <c r="B9281" s="116">
        <f t="shared" ref="B9281:B9344" si="148">VLOOKUP(WEEKNUM(A9281),$D$4:$E$59,2)</f>
        <v>54</v>
      </c>
    </row>
    <row r="9282" spans="1:2" x14ac:dyDescent="0.2">
      <c r="A9282" s="117">
        <v>43979</v>
      </c>
      <c r="B9282" s="116">
        <f t="shared" si="148"/>
        <v>54</v>
      </c>
    </row>
    <row r="9283" spans="1:2" x14ac:dyDescent="0.2">
      <c r="A9283" s="117">
        <v>43980</v>
      </c>
      <c r="B9283" s="116">
        <f t="shared" si="148"/>
        <v>54</v>
      </c>
    </row>
    <row r="9284" spans="1:2" x14ac:dyDescent="0.2">
      <c r="A9284" s="117">
        <v>43981</v>
      </c>
      <c r="B9284" s="116">
        <f t="shared" si="148"/>
        <v>54</v>
      </c>
    </row>
    <row r="9285" spans="1:2" x14ac:dyDescent="0.2">
      <c r="A9285" s="117">
        <v>43982</v>
      </c>
      <c r="B9285" s="116">
        <f t="shared" si="148"/>
        <v>61</v>
      </c>
    </row>
    <row r="9286" spans="1:2" x14ac:dyDescent="0.2">
      <c r="A9286" s="117">
        <v>43983</v>
      </c>
      <c r="B9286" s="116">
        <f t="shared" si="148"/>
        <v>61</v>
      </c>
    </row>
    <row r="9287" spans="1:2" x14ac:dyDescent="0.2">
      <c r="A9287" s="117">
        <v>43984</v>
      </c>
      <c r="B9287" s="116">
        <f t="shared" si="148"/>
        <v>61</v>
      </c>
    </row>
    <row r="9288" spans="1:2" x14ac:dyDescent="0.2">
      <c r="A9288" s="117">
        <v>43985</v>
      </c>
      <c r="B9288" s="116">
        <f t="shared" si="148"/>
        <v>61</v>
      </c>
    </row>
    <row r="9289" spans="1:2" x14ac:dyDescent="0.2">
      <c r="A9289" s="117">
        <v>43986</v>
      </c>
      <c r="B9289" s="116">
        <f t="shared" si="148"/>
        <v>61</v>
      </c>
    </row>
    <row r="9290" spans="1:2" x14ac:dyDescent="0.2">
      <c r="A9290" s="117">
        <v>43987</v>
      </c>
      <c r="B9290" s="116">
        <f t="shared" si="148"/>
        <v>61</v>
      </c>
    </row>
    <row r="9291" spans="1:2" x14ac:dyDescent="0.2">
      <c r="A9291" s="117">
        <v>43988</v>
      </c>
      <c r="B9291" s="116">
        <f t="shared" si="148"/>
        <v>61</v>
      </c>
    </row>
    <row r="9292" spans="1:2" x14ac:dyDescent="0.2">
      <c r="A9292" s="117">
        <v>43989</v>
      </c>
      <c r="B9292" s="116">
        <f t="shared" si="148"/>
        <v>62</v>
      </c>
    </row>
    <row r="9293" spans="1:2" x14ac:dyDescent="0.2">
      <c r="A9293" s="117">
        <v>43990</v>
      </c>
      <c r="B9293" s="116">
        <f t="shared" si="148"/>
        <v>62</v>
      </c>
    </row>
    <row r="9294" spans="1:2" x14ac:dyDescent="0.2">
      <c r="A9294" s="117">
        <v>43991</v>
      </c>
      <c r="B9294" s="116">
        <f t="shared" si="148"/>
        <v>62</v>
      </c>
    </row>
    <row r="9295" spans="1:2" x14ac:dyDescent="0.2">
      <c r="A9295" s="117">
        <v>43992</v>
      </c>
      <c r="B9295" s="116">
        <f t="shared" si="148"/>
        <v>62</v>
      </c>
    </row>
    <row r="9296" spans="1:2" x14ac:dyDescent="0.2">
      <c r="A9296" s="117">
        <v>43993</v>
      </c>
      <c r="B9296" s="116">
        <f t="shared" si="148"/>
        <v>62</v>
      </c>
    </row>
    <row r="9297" spans="1:2" x14ac:dyDescent="0.2">
      <c r="A9297" s="117">
        <v>43994</v>
      </c>
      <c r="B9297" s="116">
        <f t="shared" si="148"/>
        <v>62</v>
      </c>
    </row>
    <row r="9298" spans="1:2" x14ac:dyDescent="0.2">
      <c r="A9298" s="117">
        <v>43995</v>
      </c>
      <c r="B9298" s="116">
        <f t="shared" si="148"/>
        <v>62</v>
      </c>
    </row>
    <row r="9299" spans="1:2" x14ac:dyDescent="0.2">
      <c r="A9299" s="117">
        <v>43996</v>
      </c>
      <c r="B9299" s="116">
        <f t="shared" si="148"/>
        <v>63</v>
      </c>
    </row>
    <row r="9300" spans="1:2" x14ac:dyDescent="0.2">
      <c r="A9300" s="117">
        <v>43997</v>
      </c>
      <c r="B9300" s="116">
        <f t="shared" si="148"/>
        <v>63</v>
      </c>
    </row>
    <row r="9301" spans="1:2" x14ac:dyDescent="0.2">
      <c r="A9301" s="117">
        <v>43998</v>
      </c>
      <c r="B9301" s="116">
        <f t="shared" si="148"/>
        <v>63</v>
      </c>
    </row>
    <row r="9302" spans="1:2" x14ac:dyDescent="0.2">
      <c r="A9302" s="117">
        <v>43999</v>
      </c>
      <c r="B9302" s="116">
        <f t="shared" si="148"/>
        <v>63</v>
      </c>
    </row>
    <row r="9303" spans="1:2" x14ac:dyDescent="0.2">
      <c r="A9303" s="117">
        <v>44000</v>
      </c>
      <c r="B9303" s="116">
        <f t="shared" si="148"/>
        <v>63</v>
      </c>
    </row>
    <row r="9304" spans="1:2" x14ac:dyDescent="0.2">
      <c r="A9304" s="117">
        <v>44001</v>
      </c>
      <c r="B9304" s="116">
        <f t="shared" si="148"/>
        <v>63</v>
      </c>
    </row>
    <row r="9305" spans="1:2" x14ac:dyDescent="0.2">
      <c r="A9305" s="117">
        <v>44002</v>
      </c>
      <c r="B9305" s="116">
        <f t="shared" si="148"/>
        <v>63</v>
      </c>
    </row>
    <row r="9306" spans="1:2" x14ac:dyDescent="0.2">
      <c r="A9306" s="117">
        <v>44003</v>
      </c>
      <c r="B9306" s="116">
        <f t="shared" si="148"/>
        <v>64</v>
      </c>
    </row>
    <row r="9307" spans="1:2" x14ac:dyDescent="0.2">
      <c r="A9307" s="117">
        <v>44004</v>
      </c>
      <c r="B9307" s="116">
        <f t="shared" si="148"/>
        <v>64</v>
      </c>
    </row>
    <row r="9308" spans="1:2" x14ac:dyDescent="0.2">
      <c r="A9308" s="117">
        <v>44005</v>
      </c>
      <c r="B9308" s="116">
        <f t="shared" si="148"/>
        <v>64</v>
      </c>
    </row>
    <row r="9309" spans="1:2" x14ac:dyDescent="0.2">
      <c r="A9309" s="117">
        <v>44006</v>
      </c>
      <c r="B9309" s="116">
        <f t="shared" si="148"/>
        <v>64</v>
      </c>
    </row>
    <row r="9310" spans="1:2" x14ac:dyDescent="0.2">
      <c r="A9310" s="117">
        <v>44007</v>
      </c>
      <c r="B9310" s="116">
        <f t="shared" si="148"/>
        <v>64</v>
      </c>
    </row>
    <row r="9311" spans="1:2" x14ac:dyDescent="0.2">
      <c r="A9311" s="117">
        <v>44008</v>
      </c>
      <c r="B9311" s="116">
        <f t="shared" si="148"/>
        <v>64</v>
      </c>
    </row>
    <row r="9312" spans="1:2" x14ac:dyDescent="0.2">
      <c r="A9312" s="117">
        <v>44009</v>
      </c>
      <c r="B9312" s="116">
        <f t="shared" si="148"/>
        <v>64</v>
      </c>
    </row>
    <row r="9313" spans="1:2" x14ac:dyDescent="0.2">
      <c r="A9313" s="117">
        <v>44010</v>
      </c>
      <c r="B9313" s="116">
        <f t="shared" si="148"/>
        <v>71</v>
      </c>
    </row>
    <row r="9314" spans="1:2" x14ac:dyDescent="0.2">
      <c r="A9314" s="117">
        <v>44011</v>
      </c>
      <c r="B9314" s="116">
        <f t="shared" si="148"/>
        <v>71</v>
      </c>
    </row>
    <row r="9315" spans="1:2" x14ac:dyDescent="0.2">
      <c r="A9315" s="117">
        <v>44012</v>
      </c>
      <c r="B9315" s="116">
        <f t="shared" si="148"/>
        <v>71</v>
      </c>
    </row>
    <row r="9316" spans="1:2" x14ac:dyDescent="0.2">
      <c r="A9316" s="117">
        <v>44013</v>
      </c>
      <c r="B9316" s="116">
        <f t="shared" si="148"/>
        <v>71</v>
      </c>
    </row>
    <row r="9317" spans="1:2" x14ac:dyDescent="0.2">
      <c r="A9317" s="117">
        <v>44014</v>
      </c>
      <c r="B9317" s="116">
        <f t="shared" si="148"/>
        <v>71</v>
      </c>
    </row>
    <row r="9318" spans="1:2" x14ac:dyDescent="0.2">
      <c r="A9318" s="117">
        <v>44015</v>
      </c>
      <c r="B9318" s="116">
        <f t="shared" si="148"/>
        <v>71</v>
      </c>
    </row>
    <row r="9319" spans="1:2" x14ac:dyDescent="0.2">
      <c r="A9319" s="117">
        <v>44016</v>
      </c>
      <c r="B9319" s="116">
        <f t="shared" si="148"/>
        <v>71</v>
      </c>
    </row>
    <row r="9320" spans="1:2" x14ac:dyDescent="0.2">
      <c r="A9320" s="117">
        <v>44017</v>
      </c>
      <c r="B9320" s="116">
        <f t="shared" si="148"/>
        <v>72</v>
      </c>
    </row>
    <row r="9321" spans="1:2" x14ac:dyDescent="0.2">
      <c r="A9321" s="117">
        <v>44018</v>
      </c>
      <c r="B9321" s="116">
        <f t="shared" si="148"/>
        <v>72</v>
      </c>
    </row>
    <row r="9322" spans="1:2" x14ac:dyDescent="0.2">
      <c r="A9322" s="117">
        <v>44019</v>
      </c>
      <c r="B9322" s="116">
        <f t="shared" si="148"/>
        <v>72</v>
      </c>
    </row>
    <row r="9323" spans="1:2" x14ac:dyDescent="0.2">
      <c r="A9323" s="117">
        <v>44020</v>
      </c>
      <c r="B9323" s="116">
        <f t="shared" si="148"/>
        <v>72</v>
      </c>
    </row>
    <row r="9324" spans="1:2" x14ac:dyDescent="0.2">
      <c r="A9324" s="117">
        <v>44021</v>
      </c>
      <c r="B9324" s="116">
        <f t="shared" si="148"/>
        <v>72</v>
      </c>
    </row>
    <row r="9325" spans="1:2" x14ac:dyDescent="0.2">
      <c r="A9325" s="117">
        <v>44022</v>
      </c>
      <c r="B9325" s="116">
        <f t="shared" si="148"/>
        <v>72</v>
      </c>
    </row>
    <row r="9326" spans="1:2" x14ac:dyDescent="0.2">
      <c r="A9326" s="117">
        <v>44023</v>
      </c>
      <c r="B9326" s="116">
        <f t="shared" si="148"/>
        <v>72</v>
      </c>
    </row>
    <row r="9327" spans="1:2" x14ac:dyDescent="0.2">
      <c r="A9327" s="117">
        <v>44024</v>
      </c>
      <c r="B9327" s="116">
        <f t="shared" si="148"/>
        <v>73</v>
      </c>
    </row>
    <row r="9328" spans="1:2" x14ac:dyDescent="0.2">
      <c r="A9328" s="117">
        <v>44025</v>
      </c>
      <c r="B9328" s="116">
        <f t="shared" si="148"/>
        <v>73</v>
      </c>
    </row>
    <row r="9329" spans="1:2" x14ac:dyDescent="0.2">
      <c r="A9329" s="117">
        <v>44026</v>
      </c>
      <c r="B9329" s="116">
        <f t="shared" si="148"/>
        <v>73</v>
      </c>
    </row>
    <row r="9330" spans="1:2" x14ac:dyDescent="0.2">
      <c r="A9330" s="117">
        <v>44027</v>
      </c>
      <c r="B9330" s="116">
        <f t="shared" si="148"/>
        <v>73</v>
      </c>
    </row>
    <row r="9331" spans="1:2" x14ac:dyDescent="0.2">
      <c r="A9331" s="117">
        <v>44028</v>
      </c>
      <c r="B9331" s="116">
        <f t="shared" si="148"/>
        <v>73</v>
      </c>
    </row>
    <row r="9332" spans="1:2" x14ac:dyDescent="0.2">
      <c r="A9332" s="117">
        <v>44029</v>
      </c>
      <c r="B9332" s="116">
        <f t="shared" si="148"/>
        <v>73</v>
      </c>
    </row>
    <row r="9333" spans="1:2" x14ac:dyDescent="0.2">
      <c r="A9333" s="117">
        <v>44030</v>
      </c>
      <c r="B9333" s="116">
        <f t="shared" si="148"/>
        <v>73</v>
      </c>
    </row>
    <row r="9334" spans="1:2" x14ac:dyDescent="0.2">
      <c r="A9334" s="117">
        <v>44031</v>
      </c>
      <c r="B9334" s="116">
        <f t="shared" si="148"/>
        <v>74</v>
      </c>
    </row>
    <row r="9335" spans="1:2" x14ac:dyDescent="0.2">
      <c r="A9335" s="117">
        <v>44032</v>
      </c>
      <c r="B9335" s="116">
        <f t="shared" si="148"/>
        <v>74</v>
      </c>
    </row>
    <row r="9336" spans="1:2" x14ac:dyDescent="0.2">
      <c r="A9336" s="117">
        <v>44033</v>
      </c>
      <c r="B9336" s="116">
        <f t="shared" si="148"/>
        <v>74</v>
      </c>
    </row>
    <row r="9337" spans="1:2" x14ac:dyDescent="0.2">
      <c r="A9337" s="117">
        <v>44034</v>
      </c>
      <c r="B9337" s="116">
        <f t="shared" si="148"/>
        <v>74</v>
      </c>
    </row>
    <row r="9338" spans="1:2" x14ac:dyDescent="0.2">
      <c r="A9338" s="117">
        <v>44035</v>
      </c>
      <c r="B9338" s="116">
        <f t="shared" si="148"/>
        <v>74</v>
      </c>
    </row>
    <row r="9339" spans="1:2" x14ac:dyDescent="0.2">
      <c r="A9339" s="117">
        <v>44036</v>
      </c>
      <c r="B9339" s="116">
        <f t="shared" si="148"/>
        <v>74</v>
      </c>
    </row>
    <row r="9340" spans="1:2" x14ac:dyDescent="0.2">
      <c r="A9340" s="117">
        <v>44037</v>
      </c>
      <c r="B9340" s="116">
        <f t="shared" si="148"/>
        <v>74</v>
      </c>
    </row>
    <row r="9341" spans="1:2" x14ac:dyDescent="0.2">
      <c r="A9341" s="117">
        <v>44038</v>
      </c>
      <c r="B9341" s="116">
        <f t="shared" si="148"/>
        <v>75</v>
      </c>
    </row>
    <row r="9342" spans="1:2" x14ac:dyDescent="0.2">
      <c r="A9342" s="117">
        <v>44039</v>
      </c>
      <c r="B9342" s="116">
        <f t="shared" si="148"/>
        <v>75</v>
      </c>
    </row>
    <row r="9343" spans="1:2" x14ac:dyDescent="0.2">
      <c r="A9343" s="117">
        <v>44040</v>
      </c>
      <c r="B9343" s="116">
        <f t="shared" si="148"/>
        <v>75</v>
      </c>
    </row>
    <row r="9344" spans="1:2" x14ac:dyDescent="0.2">
      <c r="A9344" s="117">
        <v>44041</v>
      </c>
      <c r="B9344" s="116">
        <f t="shared" si="148"/>
        <v>75</v>
      </c>
    </row>
    <row r="9345" spans="1:2" x14ac:dyDescent="0.2">
      <c r="A9345" s="117">
        <v>44042</v>
      </c>
      <c r="B9345" s="116">
        <f t="shared" ref="B9345:B9408" si="149">VLOOKUP(WEEKNUM(A9345),$D$4:$E$59,2)</f>
        <v>75</v>
      </c>
    </row>
    <row r="9346" spans="1:2" x14ac:dyDescent="0.2">
      <c r="A9346" s="117">
        <v>44043</v>
      </c>
      <c r="B9346" s="116">
        <f t="shared" si="149"/>
        <v>75</v>
      </c>
    </row>
    <row r="9347" spans="1:2" x14ac:dyDescent="0.2">
      <c r="A9347" s="117">
        <v>44044</v>
      </c>
      <c r="B9347" s="116">
        <f t="shared" si="149"/>
        <v>75</v>
      </c>
    </row>
    <row r="9348" spans="1:2" x14ac:dyDescent="0.2">
      <c r="A9348" s="117">
        <v>44045</v>
      </c>
      <c r="B9348" s="116">
        <f t="shared" si="149"/>
        <v>81</v>
      </c>
    </row>
    <row r="9349" spans="1:2" x14ac:dyDescent="0.2">
      <c r="A9349" s="117">
        <v>44046</v>
      </c>
      <c r="B9349" s="116">
        <f t="shared" si="149"/>
        <v>81</v>
      </c>
    </row>
    <row r="9350" spans="1:2" x14ac:dyDescent="0.2">
      <c r="A9350" s="117">
        <v>44047</v>
      </c>
      <c r="B9350" s="116">
        <f t="shared" si="149"/>
        <v>81</v>
      </c>
    </row>
    <row r="9351" spans="1:2" x14ac:dyDescent="0.2">
      <c r="A9351" s="117">
        <v>44048</v>
      </c>
      <c r="B9351" s="116">
        <f t="shared" si="149"/>
        <v>81</v>
      </c>
    </row>
    <row r="9352" spans="1:2" x14ac:dyDescent="0.2">
      <c r="A9352" s="117">
        <v>44049</v>
      </c>
      <c r="B9352" s="116">
        <f t="shared" si="149"/>
        <v>81</v>
      </c>
    </row>
    <row r="9353" spans="1:2" x14ac:dyDescent="0.2">
      <c r="A9353" s="117">
        <v>44050</v>
      </c>
      <c r="B9353" s="116">
        <f t="shared" si="149"/>
        <v>81</v>
      </c>
    </row>
    <row r="9354" spans="1:2" x14ac:dyDescent="0.2">
      <c r="A9354" s="117">
        <v>44051</v>
      </c>
      <c r="B9354" s="116">
        <f t="shared" si="149"/>
        <v>81</v>
      </c>
    </row>
    <row r="9355" spans="1:2" x14ac:dyDescent="0.2">
      <c r="A9355" s="117">
        <v>44052</v>
      </c>
      <c r="B9355" s="116">
        <f t="shared" si="149"/>
        <v>82</v>
      </c>
    </row>
    <row r="9356" spans="1:2" x14ac:dyDescent="0.2">
      <c r="A9356" s="117">
        <v>44053</v>
      </c>
      <c r="B9356" s="116">
        <f t="shared" si="149"/>
        <v>82</v>
      </c>
    </row>
    <row r="9357" spans="1:2" x14ac:dyDescent="0.2">
      <c r="A9357" s="117">
        <v>44054</v>
      </c>
      <c r="B9357" s="116">
        <f t="shared" si="149"/>
        <v>82</v>
      </c>
    </row>
    <row r="9358" spans="1:2" x14ac:dyDescent="0.2">
      <c r="A9358" s="117">
        <v>44055</v>
      </c>
      <c r="B9358" s="116">
        <f t="shared" si="149"/>
        <v>82</v>
      </c>
    </row>
    <row r="9359" spans="1:2" x14ac:dyDescent="0.2">
      <c r="A9359" s="117">
        <v>44056</v>
      </c>
      <c r="B9359" s="116">
        <f t="shared" si="149"/>
        <v>82</v>
      </c>
    </row>
    <row r="9360" spans="1:2" x14ac:dyDescent="0.2">
      <c r="A9360" s="117">
        <v>44057</v>
      </c>
      <c r="B9360" s="116">
        <f t="shared" si="149"/>
        <v>82</v>
      </c>
    </row>
    <row r="9361" spans="1:2" x14ac:dyDescent="0.2">
      <c r="A9361" s="117">
        <v>44058</v>
      </c>
      <c r="B9361" s="116">
        <f t="shared" si="149"/>
        <v>82</v>
      </c>
    </row>
    <row r="9362" spans="1:2" x14ac:dyDescent="0.2">
      <c r="A9362" s="117">
        <v>44059</v>
      </c>
      <c r="B9362" s="116">
        <f t="shared" si="149"/>
        <v>83</v>
      </c>
    </row>
    <row r="9363" spans="1:2" x14ac:dyDescent="0.2">
      <c r="A9363" s="117">
        <v>44060</v>
      </c>
      <c r="B9363" s="116">
        <f t="shared" si="149"/>
        <v>83</v>
      </c>
    </row>
    <row r="9364" spans="1:2" x14ac:dyDescent="0.2">
      <c r="A9364" s="117">
        <v>44061</v>
      </c>
      <c r="B9364" s="116">
        <f t="shared" si="149"/>
        <v>83</v>
      </c>
    </row>
    <row r="9365" spans="1:2" x14ac:dyDescent="0.2">
      <c r="A9365" s="117">
        <v>44062</v>
      </c>
      <c r="B9365" s="116">
        <f t="shared" si="149"/>
        <v>83</v>
      </c>
    </row>
    <row r="9366" spans="1:2" x14ac:dyDescent="0.2">
      <c r="A9366" s="117">
        <v>44063</v>
      </c>
      <c r="B9366" s="116">
        <f t="shared" si="149"/>
        <v>83</v>
      </c>
    </row>
    <row r="9367" spans="1:2" x14ac:dyDescent="0.2">
      <c r="A9367" s="117">
        <v>44064</v>
      </c>
      <c r="B9367" s="116">
        <f t="shared" si="149"/>
        <v>83</v>
      </c>
    </row>
    <row r="9368" spans="1:2" x14ac:dyDescent="0.2">
      <c r="A9368" s="117">
        <v>44065</v>
      </c>
      <c r="B9368" s="116">
        <f t="shared" si="149"/>
        <v>83</v>
      </c>
    </row>
    <row r="9369" spans="1:2" x14ac:dyDescent="0.2">
      <c r="A9369" s="117">
        <v>44066</v>
      </c>
      <c r="B9369" s="116">
        <f t="shared" si="149"/>
        <v>84</v>
      </c>
    </row>
    <row r="9370" spans="1:2" x14ac:dyDescent="0.2">
      <c r="A9370" s="117">
        <v>44067</v>
      </c>
      <c r="B9370" s="116">
        <f t="shared" si="149"/>
        <v>84</v>
      </c>
    </row>
    <row r="9371" spans="1:2" x14ac:dyDescent="0.2">
      <c r="A9371" s="117">
        <v>44068</v>
      </c>
      <c r="B9371" s="116">
        <f t="shared" si="149"/>
        <v>84</v>
      </c>
    </row>
    <row r="9372" spans="1:2" x14ac:dyDescent="0.2">
      <c r="A9372" s="117">
        <v>44069</v>
      </c>
      <c r="B9372" s="116">
        <f t="shared" si="149"/>
        <v>84</v>
      </c>
    </row>
    <row r="9373" spans="1:2" x14ac:dyDescent="0.2">
      <c r="A9373" s="117">
        <v>44070</v>
      </c>
      <c r="B9373" s="116">
        <f t="shared" si="149"/>
        <v>84</v>
      </c>
    </row>
    <row r="9374" spans="1:2" x14ac:dyDescent="0.2">
      <c r="A9374" s="117">
        <v>44071</v>
      </c>
      <c r="B9374" s="116">
        <f t="shared" si="149"/>
        <v>84</v>
      </c>
    </row>
    <row r="9375" spans="1:2" x14ac:dyDescent="0.2">
      <c r="A9375" s="117">
        <v>44072</v>
      </c>
      <c r="B9375" s="116">
        <f t="shared" si="149"/>
        <v>84</v>
      </c>
    </row>
    <row r="9376" spans="1:2" x14ac:dyDescent="0.2">
      <c r="A9376" s="117">
        <v>44073</v>
      </c>
      <c r="B9376" s="116">
        <f t="shared" si="149"/>
        <v>91</v>
      </c>
    </row>
    <row r="9377" spans="1:2" x14ac:dyDescent="0.2">
      <c r="A9377" s="117">
        <v>44074</v>
      </c>
      <c r="B9377" s="116">
        <f t="shared" si="149"/>
        <v>91</v>
      </c>
    </row>
    <row r="9378" spans="1:2" x14ac:dyDescent="0.2">
      <c r="A9378" s="117">
        <v>44075</v>
      </c>
      <c r="B9378" s="116">
        <f t="shared" si="149"/>
        <v>91</v>
      </c>
    </row>
    <row r="9379" spans="1:2" x14ac:dyDescent="0.2">
      <c r="A9379" s="117">
        <v>44076</v>
      </c>
      <c r="B9379" s="116">
        <f t="shared" si="149"/>
        <v>91</v>
      </c>
    </row>
    <row r="9380" spans="1:2" x14ac:dyDescent="0.2">
      <c r="A9380" s="117">
        <v>44077</v>
      </c>
      <c r="B9380" s="116">
        <f t="shared" si="149"/>
        <v>91</v>
      </c>
    </row>
    <row r="9381" spans="1:2" x14ac:dyDescent="0.2">
      <c r="A9381" s="117">
        <v>44078</v>
      </c>
      <c r="B9381" s="116">
        <f t="shared" si="149"/>
        <v>91</v>
      </c>
    </row>
    <row r="9382" spans="1:2" x14ac:dyDescent="0.2">
      <c r="A9382" s="117">
        <v>44079</v>
      </c>
      <c r="B9382" s="116">
        <f t="shared" si="149"/>
        <v>91</v>
      </c>
    </row>
    <row r="9383" spans="1:2" x14ac:dyDescent="0.2">
      <c r="A9383" s="117">
        <v>44080</v>
      </c>
      <c r="B9383" s="116">
        <f t="shared" si="149"/>
        <v>92</v>
      </c>
    </row>
    <row r="9384" spans="1:2" x14ac:dyDescent="0.2">
      <c r="A9384" s="117">
        <v>44081</v>
      </c>
      <c r="B9384" s="116">
        <f t="shared" si="149"/>
        <v>92</v>
      </c>
    </row>
    <row r="9385" spans="1:2" x14ac:dyDescent="0.2">
      <c r="A9385" s="117">
        <v>44082</v>
      </c>
      <c r="B9385" s="116">
        <f t="shared" si="149"/>
        <v>92</v>
      </c>
    </row>
    <row r="9386" spans="1:2" x14ac:dyDescent="0.2">
      <c r="A9386" s="117">
        <v>44083</v>
      </c>
      <c r="B9386" s="116">
        <f t="shared" si="149"/>
        <v>92</v>
      </c>
    </row>
    <row r="9387" spans="1:2" x14ac:dyDescent="0.2">
      <c r="A9387" s="117">
        <v>44084</v>
      </c>
      <c r="B9387" s="116">
        <f t="shared" si="149"/>
        <v>92</v>
      </c>
    </row>
    <row r="9388" spans="1:2" x14ac:dyDescent="0.2">
      <c r="A9388" s="117">
        <v>44085</v>
      </c>
      <c r="B9388" s="116">
        <f t="shared" si="149"/>
        <v>92</v>
      </c>
    </row>
    <row r="9389" spans="1:2" x14ac:dyDescent="0.2">
      <c r="A9389" s="117">
        <v>44086</v>
      </c>
      <c r="B9389" s="116">
        <f t="shared" si="149"/>
        <v>92</v>
      </c>
    </row>
    <row r="9390" spans="1:2" x14ac:dyDescent="0.2">
      <c r="A9390" s="117">
        <v>44087</v>
      </c>
      <c r="B9390" s="116">
        <f t="shared" si="149"/>
        <v>93</v>
      </c>
    </row>
    <row r="9391" spans="1:2" x14ac:dyDescent="0.2">
      <c r="A9391" s="117">
        <v>44088</v>
      </c>
      <c r="B9391" s="116">
        <f t="shared" si="149"/>
        <v>93</v>
      </c>
    </row>
    <row r="9392" spans="1:2" x14ac:dyDescent="0.2">
      <c r="A9392" s="117">
        <v>44089</v>
      </c>
      <c r="B9392" s="116">
        <f t="shared" si="149"/>
        <v>93</v>
      </c>
    </row>
    <row r="9393" spans="1:2" x14ac:dyDescent="0.2">
      <c r="A9393" s="117">
        <v>44090</v>
      </c>
      <c r="B9393" s="116">
        <f t="shared" si="149"/>
        <v>93</v>
      </c>
    </row>
    <row r="9394" spans="1:2" x14ac:dyDescent="0.2">
      <c r="A9394" s="117">
        <v>44091</v>
      </c>
      <c r="B9394" s="116">
        <f t="shared" si="149"/>
        <v>93</v>
      </c>
    </row>
    <row r="9395" spans="1:2" x14ac:dyDescent="0.2">
      <c r="A9395" s="117">
        <v>44092</v>
      </c>
      <c r="B9395" s="116">
        <f t="shared" si="149"/>
        <v>93</v>
      </c>
    </row>
    <row r="9396" spans="1:2" x14ac:dyDescent="0.2">
      <c r="A9396" s="117">
        <v>44093</v>
      </c>
      <c r="B9396" s="116">
        <f t="shared" si="149"/>
        <v>93</v>
      </c>
    </row>
    <row r="9397" spans="1:2" x14ac:dyDescent="0.2">
      <c r="A9397" s="117">
        <v>44094</v>
      </c>
      <c r="B9397" s="116">
        <f t="shared" si="149"/>
        <v>94</v>
      </c>
    </row>
    <row r="9398" spans="1:2" x14ac:dyDescent="0.2">
      <c r="A9398" s="117">
        <v>44095</v>
      </c>
      <c r="B9398" s="116">
        <f t="shared" si="149"/>
        <v>94</v>
      </c>
    </row>
    <row r="9399" spans="1:2" x14ac:dyDescent="0.2">
      <c r="A9399" s="117">
        <v>44096</v>
      </c>
      <c r="B9399" s="116">
        <f t="shared" si="149"/>
        <v>94</v>
      </c>
    </row>
    <row r="9400" spans="1:2" x14ac:dyDescent="0.2">
      <c r="A9400" s="117">
        <v>44097</v>
      </c>
      <c r="B9400" s="116">
        <f t="shared" si="149"/>
        <v>94</v>
      </c>
    </row>
    <row r="9401" spans="1:2" x14ac:dyDescent="0.2">
      <c r="A9401" s="117">
        <v>44098</v>
      </c>
      <c r="B9401" s="116">
        <f t="shared" si="149"/>
        <v>94</v>
      </c>
    </row>
    <row r="9402" spans="1:2" x14ac:dyDescent="0.2">
      <c r="A9402" s="117">
        <v>44099</v>
      </c>
      <c r="B9402" s="116">
        <f t="shared" si="149"/>
        <v>94</v>
      </c>
    </row>
    <row r="9403" spans="1:2" x14ac:dyDescent="0.2">
      <c r="A9403" s="117">
        <v>44100</v>
      </c>
      <c r="B9403" s="116">
        <f t="shared" si="149"/>
        <v>94</v>
      </c>
    </row>
    <row r="9404" spans="1:2" x14ac:dyDescent="0.2">
      <c r="A9404" s="117">
        <v>44101</v>
      </c>
      <c r="B9404" s="116">
        <f t="shared" si="149"/>
        <v>101</v>
      </c>
    </row>
    <row r="9405" spans="1:2" x14ac:dyDescent="0.2">
      <c r="A9405" s="117">
        <v>44102</v>
      </c>
      <c r="B9405" s="116">
        <f t="shared" si="149"/>
        <v>101</v>
      </c>
    </row>
    <row r="9406" spans="1:2" x14ac:dyDescent="0.2">
      <c r="A9406" s="117">
        <v>44103</v>
      </c>
      <c r="B9406" s="116">
        <f t="shared" si="149"/>
        <v>101</v>
      </c>
    </row>
    <row r="9407" spans="1:2" x14ac:dyDescent="0.2">
      <c r="A9407" s="117">
        <v>44104</v>
      </c>
      <c r="B9407" s="116">
        <f t="shared" si="149"/>
        <v>101</v>
      </c>
    </row>
    <row r="9408" spans="1:2" x14ac:dyDescent="0.2">
      <c r="A9408" s="117">
        <v>44105</v>
      </c>
      <c r="B9408" s="116">
        <f t="shared" si="149"/>
        <v>101</v>
      </c>
    </row>
    <row r="9409" spans="1:2" x14ac:dyDescent="0.2">
      <c r="A9409" s="117">
        <v>44106</v>
      </c>
      <c r="B9409" s="116">
        <f t="shared" ref="B9409:B9472" si="150">VLOOKUP(WEEKNUM(A9409),$D$4:$E$59,2)</f>
        <v>101</v>
      </c>
    </row>
    <row r="9410" spans="1:2" x14ac:dyDescent="0.2">
      <c r="A9410" s="117">
        <v>44107</v>
      </c>
      <c r="B9410" s="116">
        <f t="shared" si="150"/>
        <v>101</v>
      </c>
    </row>
    <row r="9411" spans="1:2" x14ac:dyDescent="0.2">
      <c r="A9411" s="117">
        <v>44108</v>
      </c>
      <c r="B9411" s="116">
        <f t="shared" si="150"/>
        <v>102</v>
      </c>
    </row>
    <row r="9412" spans="1:2" x14ac:dyDescent="0.2">
      <c r="A9412" s="117">
        <v>44109</v>
      </c>
      <c r="B9412" s="116">
        <f t="shared" si="150"/>
        <v>102</v>
      </c>
    </row>
    <row r="9413" spans="1:2" x14ac:dyDescent="0.2">
      <c r="A9413" s="117">
        <v>44110</v>
      </c>
      <c r="B9413" s="116">
        <f t="shared" si="150"/>
        <v>102</v>
      </c>
    </row>
    <row r="9414" spans="1:2" x14ac:dyDescent="0.2">
      <c r="A9414" s="117">
        <v>44111</v>
      </c>
      <c r="B9414" s="116">
        <f t="shared" si="150"/>
        <v>102</v>
      </c>
    </row>
    <row r="9415" spans="1:2" x14ac:dyDescent="0.2">
      <c r="A9415" s="117">
        <v>44112</v>
      </c>
      <c r="B9415" s="116">
        <f t="shared" si="150"/>
        <v>102</v>
      </c>
    </row>
    <row r="9416" spans="1:2" x14ac:dyDescent="0.2">
      <c r="A9416" s="117">
        <v>44113</v>
      </c>
      <c r="B9416" s="116">
        <f t="shared" si="150"/>
        <v>102</v>
      </c>
    </row>
    <row r="9417" spans="1:2" x14ac:dyDescent="0.2">
      <c r="A9417" s="117">
        <v>44114</v>
      </c>
      <c r="B9417" s="116">
        <f t="shared" si="150"/>
        <v>102</v>
      </c>
    </row>
    <row r="9418" spans="1:2" x14ac:dyDescent="0.2">
      <c r="A9418" s="117">
        <v>44115</v>
      </c>
      <c r="B9418" s="116">
        <f t="shared" si="150"/>
        <v>103</v>
      </c>
    </row>
    <row r="9419" spans="1:2" x14ac:dyDescent="0.2">
      <c r="A9419" s="117">
        <v>44116</v>
      </c>
      <c r="B9419" s="116">
        <f t="shared" si="150"/>
        <v>103</v>
      </c>
    </row>
    <row r="9420" spans="1:2" x14ac:dyDescent="0.2">
      <c r="A9420" s="117">
        <v>44117</v>
      </c>
      <c r="B9420" s="116">
        <f t="shared" si="150"/>
        <v>103</v>
      </c>
    </row>
    <row r="9421" spans="1:2" x14ac:dyDescent="0.2">
      <c r="A9421" s="117">
        <v>44118</v>
      </c>
      <c r="B9421" s="116">
        <f t="shared" si="150"/>
        <v>103</v>
      </c>
    </row>
    <row r="9422" spans="1:2" x14ac:dyDescent="0.2">
      <c r="A9422" s="117">
        <v>44119</v>
      </c>
      <c r="B9422" s="116">
        <f t="shared" si="150"/>
        <v>103</v>
      </c>
    </row>
    <row r="9423" spans="1:2" x14ac:dyDescent="0.2">
      <c r="A9423" s="117">
        <v>44120</v>
      </c>
      <c r="B9423" s="116">
        <f t="shared" si="150"/>
        <v>103</v>
      </c>
    </row>
    <row r="9424" spans="1:2" x14ac:dyDescent="0.2">
      <c r="A9424" s="117">
        <v>44121</v>
      </c>
      <c r="B9424" s="116">
        <f t="shared" si="150"/>
        <v>103</v>
      </c>
    </row>
    <row r="9425" spans="1:2" x14ac:dyDescent="0.2">
      <c r="A9425" s="117">
        <v>44122</v>
      </c>
      <c r="B9425" s="116">
        <f t="shared" si="150"/>
        <v>104</v>
      </c>
    </row>
    <row r="9426" spans="1:2" x14ac:dyDescent="0.2">
      <c r="A9426" s="117">
        <v>44123</v>
      </c>
      <c r="B9426" s="116">
        <f t="shared" si="150"/>
        <v>104</v>
      </c>
    </row>
    <row r="9427" spans="1:2" x14ac:dyDescent="0.2">
      <c r="A9427" s="117">
        <v>44124</v>
      </c>
      <c r="B9427" s="116">
        <f t="shared" si="150"/>
        <v>104</v>
      </c>
    </row>
    <row r="9428" spans="1:2" x14ac:dyDescent="0.2">
      <c r="A9428" s="117">
        <v>44125</v>
      </c>
      <c r="B9428" s="116">
        <f t="shared" si="150"/>
        <v>104</v>
      </c>
    </row>
    <row r="9429" spans="1:2" x14ac:dyDescent="0.2">
      <c r="A9429" s="117">
        <v>44126</v>
      </c>
      <c r="B9429" s="116">
        <f t="shared" si="150"/>
        <v>104</v>
      </c>
    </row>
    <row r="9430" spans="1:2" x14ac:dyDescent="0.2">
      <c r="A9430" s="117">
        <v>44127</v>
      </c>
      <c r="B9430" s="116">
        <f t="shared" si="150"/>
        <v>104</v>
      </c>
    </row>
    <row r="9431" spans="1:2" x14ac:dyDescent="0.2">
      <c r="A9431" s="117">
        <v>44128</v>
      </c>
      <c r="B9431" s="116">
        <f t="shared" si="150"/>
        <v>104</v>
      </c>
    </row>
    <row r="9432" spans="1:2" x14ac:dyDescent="0.2">
      <c r="A9432" s="117">
        <v>44129</v>
      </c>
      <c r="B9432" s="116">
        <f t="shared" si="150"/>
        <v>105</v>
      </c>
    </row>
    <row r="9433" spans="1:2" x14ac:dyDescent="0.2">
      <c r="A9433" s="117">
        <v>44130</v>
      </c>
      <c r="B9433" s="116">
        <f t="shared" si="150"/>
        <v>105</v>
      </c>
    </row>
    <row r="9434" spans="1:2" x14ac:dyDescent="0.2">
      <c r="A9434" s="117">
        <v>44131</v>
      </c>
      <c r="B9434" s="116">
        <f t="shared" si="150"/>
        <v>105</v>
      </c>
    </row>
    <row r="9435" spans="1:2" x14ac:dyDescent="0.2">
      <c r="A9435" s="117">
        <v>44132</v>
      </c>
      <c r="B9435" s="116">
        <f t="shared" si="150"/>
        <v>105</v>
      </c>
    </row>
    <row r="9436" spans="1:2" x14ac:dyDescent="0.2">
      <c r="A9436" s="117">
        <v>44133</v>
      </c>
      <c r="B9436" s="116">
        <f t="shared" si="150"/>
        <v>105</v>
      </c>
    </row>
    <row r="9437" spans="1:2" x14ac:dyDescent="0.2">
      <c r="A9437" s="117">
        <v>44134</v>
      </c>
      <c r="B9437" s="116">
        <f t="shared" si="150"/>
        <v>105</v>
      </c>
    </row>
    <row r="9438" spans="1:2" x14ac:dyDescent="0.2">
      <c r="A9438" s="117">
        <v>44135</v>
      </c>
      <c r="B9438" s="116">
        <f t="shared" si="150"/>
        <v>105</v>
      </c>
    </row>
    <row r="9439" spans="1:2" x14ac:dyDescent="0.2">
      <c r="A9439" s="117">
        <v>44136</v>
      </c>
      <c r="B9439" s="116">
        <f t="shared" si="150"/>
        <v>111</v>
      </c>
    </row>
    <row r="9440" spans="1:2" x14ac:dyDescent="0.2">
      <c r="A9440" s="117">
        <v>44137</v>
      </c>
      <c r="B9440" s="116">
        <f t="shared" si="150"/>
        <v>111</v>
      </c>
    </row>
    <row r="9441" spans="1:2" x14ac:dyDescent="0.2">
      <c r="A9441" s="117">
        <v>44138</v>
      </c>
      <c r="B9441" s="116">
        <f t="shared" si="150"/>
        <v>111</v>
      </c>
    </row>
    <row r="9442" spans="1:2" x14ac:dyDescent="0.2">
      <c r="A9442" s="117">
        <v>44139</v>
      </c>
      <c r="B9442" s="116">
        <f t="shared" si="150"/>
        <v>111</v>
      </c>
    </row>
    <row r="9443" spans="1:2" x14ac:dyDescent="0.2">
      <c r="A9443" s="117">
        <v>44140</v>
      </c>
      <c r="B9443" s="116">
        <f t="shared" si="150"/>
        <v>111</v>
      </c>
    </row>
    <row r="9444" spans="1:2" x14ac:dyDescent="0.2">
      <c r="A9444" s="117">
        <v>44141</v>
      </c>
      <c r="B9444" s="116">
        <f t="shared" si="150"/>
        <v>111</v>
      </c>
    </row>
    <row r="9445" spans="1:2" x14ac:dyDescent="0.2">
      <c r="A9445" s="117">
        <v>44142</v>
      </c>
      <c r="B9445" s="116">
        <f t="shared" si="150"/>
        <v>111</v>
      </c>
    </row>
    <row r="9446" spans="1:2" x14ac:dyDescent="0.2">
      <c r="A9446" s="117">
        <v>44143</v>
      </c>
      <c r="B9446" s="116">
        <f t="shared" si="150"/>
        <v>112</v>
      </c>
    </row>
    <row r="9447" spans="1:2" x14ac:dyDescent="0.2">
      <c r="A9447" s="117">
        <v>44144</v>
      </c>
      <c r="B9447" s="116">
        <f t="shared" si="150"/>
        <v>112</v>
      </c>
    </row>
    <row r="9448" spans="1:2" x14ac:dyDescent="0.2">
      <c r="A9448" s="117">
        <v>44145</v>
      </c>
      <c r="B9448" s="116">
        <f t="shared" si="150"/>
        <v>112</v>
      </c>
    </row>
    <row r="9449" spans="1:2" x14ac:dyDescent="0.2">
      <c r="A9449" s="117">
        <v>44146</v>
      </c>
      <c r="B9449" s="116">
        <f t="shared" si="150"/>
        <v>112</v>
      </c>
    </row>
    <row r="9450" spans="1:2" x14ac:dyDescent="0.2">
      <c r="A9450" s="117">
        <v>44147</v>
      </c>
      <c r="B9450" s="116">
        <f t="shared" si="150"/>
        <v>112</v>
      </c>
    </row>
    <row r="9451" spans="1:2" x14ac:dyDescent="0.2">
      <c r="A9451" s="117">
        <v>44148</v>
      </c>
      <c r="B9451" s="116">
        <f t="shared" si="150"/>
        <v>112</v>
      </c>
    </row>
    <row r="9452" spans="1:2" x14ac:dyDescent="0.2">
      <c r="A9452" s="117">
        <v>44149</v>
      </c>
      <c r="B9452" s="116">
        <f t="shared" si="150"/>
        <v>112</v>
      </c>
    </row>
    <row r="9453" spans="1:2" x14ac:dyDescent="0.2">
      <c r="A9453" s="117">
        <v>44150</v>
      </c>
      <c r="B9453" s="116">
        <f t="shared" si="150"/>
        <v>113</v>
      </c>
    </row>
    <row r="9454" spans="1:2" x14ac:dyDescent="0.2">
      <c r="A9454" s="117">
        <v>44151</v>
      </c>
      <c r="B9454" s="116">
        <f t="shared" si="150"/>
        <v>113</v>
      </c>
    </row>
    <row r="9455" spans="1:2" x14ac:dyDescent="0.2">
      <c r="A9455" s="117">
        <v>44152</v>
      </c>
      <c r="B9455" s="116">
        <f t="shared" si="150"/>
        <v>113</v>
      </c>
    </row>
    <row r="9456" spans="1:2" x14ac:dyDescent="0.2">
      <c r="A9456" s="117">
        <v>44153</v>
      </c>
      <c r="B9456" s="116">
        <f t="shared" si="150"/>
        <v>113</v>
      </c>
    </row>
    <row r="9457" spans="1:2" x14ac:dyDescent="0.2">
      <c r="A9457" s="117">
        <v>44154</v>
      </c>
      <c r="B9457" s="116">
        <f t="shared" si="150"/>
        <v>113</v>
      </c>
    </row>
    <row r="9458" spans="1:2" x14ac:dyDescent="0.2">
      <c r="A9458" s="117">
        <v>44155</v>
      </c>
      <c r="B9458" s="116">
        <f t="shared" si="150"/>
        <v>113</v>
      </c>
    </row>
    <row r="9459" spans="1:2" x14ac:dyDescent="0.2">
      <c r="A9459" s="117">
        <v>44156</v>
      </c>
      <c r="B9459" s="116">
        <f t="shared" si="150"/>
        <v>113</v>
      </c>
    </row>
    <row r="9460" spans="1:2" x14ac:dyDescent="0.2">
      <c r="A9460" s="117">
        <v>44157</v>
      </c>
      <c r="B9460" s="116">
        <f t="shared" si="150"/>
        <v>114</v>
      </c>
    </row>
    <row r="9461" spans="1:2" x14ac:dyDescent="0.2">
      <c r="A9461" s="117">
        <v>44158</v>
      </c>
      <c r="B9461" s="116">
        <f t="shared" si="150"/>
        <v>114</v>
      </c>
    </row>
    <row r="9462" spans="1:2" x14ac:dyDescent="0.2">
      <c r="A9462" s="117">
        <v>44159</v>
      </c>
      <c r="B9462" s="116">
        <f t="shared" si="150"/>
        <v>114</v>
      </c>
    </row>
    <row r="9463" spans="1:2" x14ac:dyDescent="0.2">
      <c r="A9463" s="117">
        <v>44160</v>
      </c>
      <c r="B9463" s="116">
        <f t="shared" si="150"/>
        <v>114</v>
      </c>
    </row>
    <row r="9464" spans="1:2" x14ac:dyDescent="0.2">
      <c r="A9464" s="117">
        <v>44161</v>
      </c>
      <c r="B9464" s="116">
        <f t="shared" si="150"/>
        <v>114</v>
      </c>
    </row>
    <row r="9465" spans="1:2" x14ac:dyDescent="0.2">
      <c r="A9465" s="117">
        <v>44162</v>
      </c>
      <c r="B9465" s="116">
        <f t="shared" si="150"/>
        <v>114</v>
      </c>
    </row>
    <row r="9466" spans="1:2" x14ac:dyDescent="0.2">
      <c r="A9466" s="117">
        <v>44163</v>
      </c>
      <c r="B9466" s="116">
        <f t="shared" si="150"/>
        <v>114</v>
      </c>
    </row>
    <row r="9467" spans="1:2" x14ac:dyDescent="0.2">
      <c r="A9467" s="117">
        <v>44164</v>
      </c>
      <c r="B9467" s="116">
        <f t="shared" si="150"/>
        <v>115</v>
      </c>
    </row>
    <row r="9468" spans="1:2" x14ac:dyDescent="0.2">
      <c r="A9468" s="117">
        <v>44165</v>
      </c>
      <c r="B9468" s="116">
        <f t="shared" si="150"/>
        <v>115</v>
      </c>
    </row>
    <row r="9469" spans="1:2" x14ac:dyDescent="0.2">
      <c r="A9469" s="117">
        <v>44166</v>
      </c>
      <c r="B9469" s="116">
        <f t="shared" si="150"/>
        <v>115</v>
      </c>
    </row>
    <row r="9470" spans="1:2" x14ac:dyDescent="0.2">
      <c r="A9470" s="117">
        <v>44167</v>
      </c>
      <c r="B9470" s="116">
        <f t="shared" si="150"/>
        <v>115</v>
      </c>
    </row>
    <row r="9471" spans="1:2" x14ac:dyDescent="0.2">
      <c r="A9471" s="117">
        <v>44168</v>
      </c>
      <c r="B9471" s="116">
        <f t="shared" si="150"/>
        <v>115</v>
      </c>
    </row>
    <row r="9472" spans="1:2" x14ac:dyDescent="0.2">
      <c r="A9472" s="117">
        <v>44169</v>
      </c>
      <c r="B9472" s="116">
        <f t="shared" si="150"/>
        <v>115</v>
      </c>
    </row>
    <row r="9473" spans="1:2" x14ac:dyDescent="0.2">
      <c r="A9473" s="117">
        <v>44170</v>
      </c>
      <c r="B9473" s="116">
        <f t="shared" ref="B9473:B9536" si="151">VLOOKUP(WEEKNUM(A9473),$D$4:$E$59,2)</f>
        <v>115</v>
      </c>
    </row>
    <row r="9474" spans="1:2" x14ac:dyDescent="0.2">
      <c r="A9474" s="117">
        <v>44171</v>
      </c>
      <c r="B9474" s="116">
        <f t="shared" si="151"/>
        <v>121</v>
      </c>
    </row>
    <row r="9475" spans="1:2" x14ac:dyDescent="0.2">
      <c r="A9475" s="117">
        <v>44172</v>
      </c>
      <c r="B9475" s="116">
        <f t="shared" si="151"/>
        <v>121</v>
      </c>
    </row>
    <row r="9476" spans="1:2" x14ac:dyDescent="0.2">
      <c r="A9476" s="117">
        <v>44173</v>
      </c>
      <c r="B9476" s="116">
        <f t="shared" si="151"/>
        <v>121</v>
      </c>
    </row>
    <row r="9477" spans="1:2" x14ac:dyDescent="0.2">
      <c r="A9477" s="117">
        <v>44174</v>
      </c>
      <c r="B9477" s="116">
        <f t="shared" si="151"/>
        <v>121</v>
      </c>
    </row>
    <row r="9478" spans="1:2" x14ac:dyDescent="0.2">
      <c r="A9478" s="117">
        <v>44175</v>
      </c>
      <c r="B9478" s="116">
        <f t="shared" si="151"/>
        <v>121</v>
      </c>
    </row>
    <row r="9479" spans="1:2" x14ac:dyDescent="0.2">
      <c r="A9479" s="117">
        <v>44176</v>
      </c>
      <c r="B9479" s="116">
        <f t="shared" si="151"/>
        <v>121</v>
      </c>
    </row>
    <row r="9480" spans="1:2" x14ac:dyDescent="0.2">
      <c r="A9480" s="117">
        <v>44177</v>
      </c>
      <c r="B9480" s="116">
        <f t="shared" si="151"/>
        <v>121</v>
      </c>
    </row>
    <row r="9481" spans="1:2" x14ac:dyDescent="0.2">
      <c r="A9481" s="117">
        <v>44178</v>
      </c>
      <c r="B9481" s="116">
        <f t="shared" si="151"/>
        <v>122</v>
      </c>
    </row>
    <row r="9482" spans="1:2" x14ac:dyDescent="0.2">
      <c r="A9482" s="117">
        <v>44179</v>
      </c>
      <c r="B9482" s="116">
        <f t="shared" si="151"/>
        <v>122</v>
      </c>
    </row>
    <row r="9483" spans="1:2" x14ac:dyDescent="0.2">
      <c r="A9483" s="117">
        <v>44180</v>
      </c>
      <c r="B9483" s="116">
        <f t="shared" si="151"/>
        <v>122</v>
      </c>
    </row>
    <row r="9484" spans="1:2" x14ac:dyDescent="0.2">
      <c r="A9484" s="117">
        <v>44181</v>
      </c>
      <c r="B9484" s="116">
        <f t="shared" si="151"/>
        <v>122</v>
      </c>
    </row>
    <row r="9485" spans="1:2" x14ac:dyDescent="0.2">
      <c r="A9485" s="117">
        <v>44182</v>
      </c>
      <c r="B9485" s="116">
        <f t="shared" si="151"/>
        <v>122</v>
      </c>
    </row>
    <row r="9486" spans="1:2" x14ac:dyDescent="0.2">
      <c r="A9486" s="117">
        <v>44183</v>
      </c>
      <c r="B9486" s="116">
        <f t="shared" si="151"/>
        <v>122</v>
      </c>
    </row>
    <row r="9487" spans="1:2" x14ac:dyDescent="0.2">
      <c r="A9487" s="117">
        <v>44184</v>
      </c>
      <c r="B9487" s="116">
        <f t="shared" si="151"/>
        <v>122</v>
      </c>
    </row>
    <row r="9488" spans="1:2" x14ac:dyDescent="0.2">
      <c r="A9488" s="117">
        <v>44185</v>
      </c>
      <c r="B9488" s="116">
        <f t="shared" si="151"/>
        <v>123</v>
      </c>
    </row>
    <row r="9489" spans="1:2" x14ac:dyDescent="0.2">
      <c r="A9489" s="117">
        <v>44186</v>
      </c>
      <c r="B9489" s="116">
        <f t="shared" si="151"/>
        <v>123</v>
      </c>
    </row>
    <row r="9490" spans="1:2" x14ac:dyDescent="0.2">
      <c r="A9490" s="117">
        <v>44187</v>
      </c>
      <c r="B9490" s="116">
        <f t="shared" si="151"/>
        <v>123</v>
      </c>
    </row>
    <row r="9491" spans="1:2" x14ac:dyDescent="0.2">
      <c r="A9491" s="117">
        <v>44188</v>
      </c>
      <c r="B9491" s="116">
        <f t="shared" si="151"/>
        <v>123</v>
      </c>
    </row>
    <row r="9492" spans="1:2" x14ac:dyDescent="0.2">
      <c r="A9492" s="117">
        <v>44189</v>
      </c>
      <c r="B9492" s="116">
        <f t="shared" si="151"/>
        <v>123</v>
      </c>
    </row>
    <row r="9493" spans="1:2" x14ac:dyDescent="0.2">
      <c r="A9493" s="117">
        <v>44190</v>
      </c>
      <c r="B9493" s="116">
        <f t="shared" si="151"/>
        <v>123</v>
      </c>
    </row>
    <row r="9494" spans="1:2" x14ac:dyDescent="0.2">
      <c r="A9494" s="117">
        <v>44191</v>
      </c>
      <c r="B9494" s="116">
        <f t="shared" si="151"/>
        <v>123</v>
      </c>
    </row>
    <row r="9495" spans="1:2" x14ac:dyDescent="0.2">
      <c r="A9495" s="117">
        <v>44192</v>
      </c>
      <c r="B9495" s="116">
        <f t="shared" si="151"/>
        <v>124</v>
      </c>
    </row>
    <row r="9496" spans="1:2" x14ac:dyDescent="0.2">
      <c r="A9496" s="117">
        <v>44193</v>
      </c>
      <c r="B9496" s="116">
        <f t="shared" si="151"/>
        <v>124</v>
      </c>
    </row>
    <row r="9497" spans="1:2" x14ac:dyDescent="0.2">
      <c r="A9497" s="117">
        <v>44194</v>
      </c>
      <c r="B9497" s="116">
        <f t="shared" si="151"/>
        <v>124</v>
      </c>
    </row>
    <row r="9498" spans="1:2" x14ac:dyDescent="0.2">
      <c r="A9498" s="117">
        <v>44195</v>
      </c>
      <c r="B9498" s="116">
        <f t="shared" si="151"/>
        <v>124</v>
      </c>
    </row>
    <row r="9499" spans="1:2" x14ac:dyDescent="0.2">
      <c r="A9499" s="117">
        <v>44196</v>
      </c>
      <c r="B9499" s="116">
        <f t="shared" si="151"/>
        <v>124</v>
      </c>
    </row>
    <row r="9500" spans="1:2" x14ac:dyDescent="0.2">
      <c r="A9500" s="117">
        <v>44197</v>
      </c>
      <c r="B9500" s="116">
        <f t="shared" si="151"/>
        <v>11</v>
      </c>
    </row>
    <row r="9501" spans="1:2" x14ac:dyDescent="0.2">
      <c r="A9501" s="117">
        <v>44198</v>
      </c>
      <c r="B9501" s="116">
        <f t="shared" si="151"/>
        <v>11</v>
      </c>
    </row>
    <row r="9502" spans="1:2" x14ac:dyDescent="0.2">
      <c r="A9502" s="117">
        <v>44199</v>
      </c>
      <c r="B9502" s="116">
        <f t="shared" si="151"/>
        <v>12</v>
      </c>
    </row>
    <row r="9503" spans="1:2" x14ac:dyDescent="0.2">
      <c r="A9503" s="117">
        <v>44200</v>
      </c>
      <c r="B9503" s="116">
        <f t="shared" si="151"/>
        <v>12</v>
      </c>
    </row>
    <row r="9504" spans="1:2" x14ac:dyDescent="0.2">
      <c r="A9504" s="117">
        <v>44201</v>
      </c>
      <c r="B9504" s="116">
        <f t="shared" si="151"/>
        <v>12</v>
      </c>
    </row>
    <row r="9505" spans="1:2" x14ac:dyDescent="0.2">
      <c r="A9505" s="117">
        <v>44202</v>
      </c>
      <c r="B9505" s="116">
        <f t="shared" si="151"/>
        <v>12</v>
      </c>
    </row>
    <row r="9506" spans="1:2" x14ac:dyDescent="0.2">
      <c r="A9506" s="117">
        <v>44203</v>
      </c>
      <c r="B9506" s="116">
        <f t="shared" si="151"/>
        <v>12</v>
      </c>
    </row>
    <row r="9507" spans="1:2" x14ac:dyDescent="0.2">
      <c r="A9507" s="117">
        <v>44204</v>
      </c>
      <c r="B9507" s="116">
        <f t="shared" si="151"/>
        <v>12</v>
      </c>
    </row>
    <row r="9508" spans="1:2" x14ac:dyDescent="0.2">
      <c r="A9508" s="117">
        <v>44205</v>
      </c>
      <c r="B9508" s="116">
        <f t="shared" si="151"/>
        <v>12</v>
      </c>
    </row>
    <row r="9509" spans="1:2" x14ac:dyDescent="0.2">
      <c r="A9509" s="117">
        <v>44206</v>
      </c>
      <c r="B9509" s="116">
        <f t="shared" si="151"/>
        <v>13</v>
      </c>
    </row>
    <row r="9510" spans="1:2" x14ac:dyDescent="0.2">
      <c r="A9510" s="117">
        <v>44207</v>
      </c>
      <c r="B9510" s="116">
        <f t="shared" si="151"/>
        <v>13</v>
      </c>
    </row>
    <row r="9511" spans="1:2" x14ac:dyDescent="0.2">
      <c r="A9511" s="117">
        <v>44208</v>
      </c>
      <c r="B9511" s="116">
        <f t="shared" si="151"/>
        <v>13</v>
      </c>
    </row>
    <row r="9512" spans="1:2" x14ac:dyDescent="0.2">
      <c r="A9512" s="117">
        <v>44209</v>
      </c>
      <c r="B9512" s="116">
        <f t="shared" si="151"/>
        <v>13</v>
      </c>
    </row>
    <row r="9513" spans="1:2" x14ac:dyDescent="0.2">
      <c r="A9513" s="117">
        <v>44210</v>
      </c>
      <c r="B9513" s="116">
        <f t="shared" si="151"/>
        <v>13</v>
      </c>
    </row>
    <row r="9514" spans="1:2" x14ac:dyDescent="0.2">
      <c r="A9514" s="117">
        <v>44211</v>
      </c>
      <c r="B9514" s="116">
        <f t="shared" si="151"/>
        <v>13</v>
      </c>
    </row>
    <row r="9515" spans="1:2" x14ac:dyDescent="0.2">
      <c r="A9515" s="117">
        <v>44212</v>
      </c>
      <c r="B9515" s="116">
        <f t="shared" si="151"/>
        <v>13</v>
      </c>
    </row>
    <row r="9516" spans="1:2" x14ac:dyDescent="0.2">
      <c r="A9516" s="117">
        <v>44213</v>
      </c>
      <c r="B9516" s="116">
        <f t="shared" si="151"/>
        <v>14</v>
      </c>
    </row>
    <row r="9517" spans="1:2" x14ac:dyDescent="0.2">
      <c r="A9517" s="117">
        <v>44214</v>
      </c>
      <c r="B9517" s="116">
        <f t="shared" si="151"/>
        <v>14</v>
      </c>
    </row>
    <row r="9518" spans="1:2" x14ac:dyDescent="0.2">
      <c r="A9518" s="117">
        <v>44215</v>
      </c>
      <c r="B9518" s="116">
        <f t="shared" si="151"/>
        <v>14</v>
      </c>
    </row>
    <row r="9519" spans="1:2" x14ac:dyDescent="0.2">
      <c r="A9519" s="117">
        <v>44216</v>
      </c>
      <c r="B9519" s="116">
        <f t="shared" si="151"/>
        <v>14</v>
      </c>
    </row>
    <row r="9520" spans="1:2" x14ac:dyDescent="0.2">
      <c r="A9520" s="117">
        <v>44217</v>
      </c>
      <c r="B9520" s="116">
        <f t="shared" si="151"/>
        <v>14</v>
      </c>
    </row>
    <row r="9521" spans="1:2" x14ac:dyDescent="0.2">
      <c r="A9521" s="117">
        <v>44218</v>
      </c>
      <c r="B9521" s="116">
        <f t="shared" si="151"/>
        <v>14</v>
      </c>
    </row>
    <row r="9522" spans="1:2" x14ac:dyDescent="0.2">
      <c r="A9522" s="117">
        <v>44219</v>
      </c>
      <c r="B9522" s="116">
        <f t="shared" si="151"/>
        <v>14</v>
      </c>
    </row>
    <row r="9523" spans="1:2" x14ac:dyDescent="0.2">
      <c r="A9523" s="117">
        <v>44220</v>
      </c>
      <c r="B9523" s="116">
        <f t="shared" si="151"/>
        <v>15</v>
      </c>
    </row>
    <row r="9524" spans="1:2" x14ac:dyDescent="0.2">
      <c r="A9524" s="117">
        <v>44221</v>
      </c>
      <c r="B9524" s="116">
        <f t="shared" si="151"/>
        <v>15</v>
      </c>
    </row>
    <row r="9525" spans="1:2" x14ac:dyDescent="0.2">
      <c r="A9525" s="117">
        <v>44222</v>
      </c>
      <c r="B9525" s="116">
        <f t="shared" si="151"/>
        <v>15</v>
      </c>
    </row>
    <row r="9526" spans="1:2" x14ac:dyDescent="0.2">
      <c r="A9526" s="117">
        <v>44223</v>
      </c>
      <c r="B9526" s="116">
        <f t="shared" si="151"/>
        <v>15</v>
      </c>
    </row>
    <row r="9527" spans="1:2" x14ac:dyDescent="0.2">
      <c r="A9527" s="117">
        <v>44224</v>
      </c>
      <c r="B9527" s="116">
        <f t="shared" si="151"/>
        <v>15</v>
      </c>
    </row>
    <row r="9528" spans="1:2" x14ac:dyDescent="0.2">
      <c r="A9528" s="117">
        <v>44225</v>
      </c>
      <c r="B9528" s="116">
        <f t="shared" si="151"/>
        <v>15</v>
      </c>
    </row>
    <row r="9529" spans="1:2" x14ac:dyDescent="0.2">
      <c r="A9529" s="117">
        <v>44226</v>
      </c>
      <c r="B9529" s="116">
        <f t="shared" si="151"/>
        <v>15</v>
      </c>
    </row>
    <row r="9530" spans="1:2" x14ac:dyDescent="0.2">
      <c r="A9530" s="117">
        <v>44227</v>
      </c>
      <c r="B9530" s="116">
        <f t="shared" si="151"/>
        <v>21</v>
      </c>
    </row>
    <row r="9531" spans="1:2" x14ac:dyDescent="0.2">
      <c r="A9531" s="117">
        <v>44228</v>
      </c>
      <c r="B9531" s="116">
        <f t="shared" si="151"/>
        <v>21</v>
      </c>
    </row>
    <row r="9532" spans="1:2" x14ac:dyDescent="0.2">
      <c r="A9532" s="117">
        <v>44229</v>
      </c>
      <c r="B9532" s="116">
        <f t="shared" si="151"/>
        <v>21</v>
      </c>
    </row>
    <row r="9533" spans="1:2" x14ac:dyDescent="0.2">
      <c r="A9533" s="117">
        <v>44230</v>
      </c>
      <c r="B9533" s="116">
        <f t="shared" si="151"/>
        <v>21</v>
      </c>
    </row>
    <row r="9534" spans="1:2" x14ac:dyDescent="0.2">
      <c r="A9534" s="117">
        <v>44231</v>
      </c>
      <c r="B9534" s="116">
        <f t="shared" si="151"/>
        <v>21</v>
      </c>
    </row>
    <row r="9535" spans="1:2" x14ac:dyDescent="0.2">
      <c r="A9535" s="117">
        <v>44232</v>
      </c>
      <c r="B9535" s="116">
        <f t="shared" si="151"/>
        <v>21</v>
      </c>
    </row>
    <row r="9536" spans="1:2" x14ac:dyDescent="0.2">
      <c r="A9536" s="117">
        <v>44233</v>
      </c>
      <c r="B9536" s="116">
        <f t="shared" si="151"/>
        <v>21</v>
      </c>
    </row>
    <row r="9537" spans="1:2" x14ac:dyDescent="0.2">
      <c r="A9537" s="117">
        <v>44234</v>
      </c>
      <c r="B9537" s="116">
        <f t="shared" ref="B9537:B9600" si="152">VLOOKUP(WEEKNUM(A9537),$D$4:$E$59,2)</f>
        <v>22</v>
      </c>
    </row>
    <row r="9538" spans="1:2" x14ac:dyDescent="0.2">
      <c r="A9538" s="117">
        <v>44235</v>
      </c>
      <c r="B9538" s="116">
        <f t="shared" si="152"/>
        <v>22</v>
      </c>
    </row>
    <row r="9539" spans="1:2" x14ac:dyDescent="0.2">
      <c r="A9539" s="117">
        <v>44236</v>
      </c>
      <c r="B9539" s="116">
        <f t="shared" si="152"/>
        <v>22</v>
      </c>
    </row>
    <row r="9540" spans="1:2" x14ac:dyDescent="0.2">
      <c r="A9540" s="117">
        <v>44237</v>
      </c>
      <c r="B9540" s="116">
        <f t="shared" si="152"/>
        <v>22</v>
      </c>
    </row>
    <row r="9541" spans="1:2" x14ac:dyDescent="0.2">
      <c r="A9541" s="117">
        <v>44238</v>
      </c>
      <c r="B9541" s="116">
        <f t="shared" si="152"/>
        <v>22</v>
      </c>
    </row>
    <row r="9542" spans="1:2" x14ac:dyDescent="0.2">
      <c r="A9542" s="117">
        <v>44239</v>
      </c>
      <c r="B9542" s="116">
        <f t="shared" si="152"/>
        <v>22</v>
      </c>
    </row>
    <row r="9543" spans="1:2" x14ac:dyDescent="0.2">
      <c r="A9543" s="117">
        <v>44240</v>
      </c>
      <c r="B9543" s="116">
        <f t="shared" si="152"/>
        <v>22</v>
      </c>
    </row>
    <row r="9544" spans="1:2" x14ac:dyDescent="0.2">
      <c r="A9544" s="117">
        <v>44241</v>
      </c>
      <c r="B9544" s="116">
        <f t="shared" si="152"/>
        <v>23</v>
      </c>
    </row>
    <row r="9545" spans="1:2" x14ac:dyDescent="0.2">
      <c r="A9545" s="117">
        <v>44242</v>
      </c>
      <c r="B9545" s="116">
        <f t="shared" si="152"/>
        <v>23</v>
      </c>
    </row>
    <row r="9546" spans="1:2" x14ac:dyDescent="0.2">
      <c r="A9546" s="117">
        <v>44243</v>
      </c>
      <c r="B9546" s="116">
        <f t="shared" si="152"/>
        <v>23</v>
      </c>
    </row>
    <row r="9547" spans="1:2" x14ac:dyDescent="0.2">
      <c r="A9547" s="117">
        <v>44244</v>
      </c>
      <c r="B9547" s="116">
        <f t="shared" si="152"/>
        <v>23</v>
      </c>
    </row>
    <row r="9548" spans="1:2" x14ac:dyDescent="0.2">
      <c r="A9548" s="117">
        <v>44245</v>
      </c>
      <c r="B9548" s="116">
        <f t="shared" si="152"/>
        <v>23</v>
      </c>
    </row>
    <row r="9549" spans="1:2" x14ac:dyDescent="0.2">
      <c r="A9549" s="117">
        <v>44246</v>
      </c>
      <c r="B9549" s="116">
        <f t="shared" si="152"/>
        <v>23</v>
      </c>
    </row>
    <row r="9550" spans="1:2" x14ac:dyDescent="0.2">
      <c r="A9550" s="117">
        <v>44247</v>
      </c>
      <c r="B9550" s="116">
        <f t="shared" si="152"/>
        <v>23</v>
      </c>
    </row>
    <row r="9551" spans="1:2" x14ac:dyDescent="0.2">
      <c r="A9551" s="117">
        <v>44248</v>
      </c>
      <c r="B9551" s="116">
        <f t="shared" si="152"/>
        <v>24</v>
      </c>
    </row>
    <row r="9552" spans="1:2" x14ac:dyDescent="0.2">
      <c r="A9552" s="117">
        <v>44249</v>
      </c>
      <c r="B9552" s="116">
        <f t="shared" si="152"/>
        <v>24</v>
      </c>
    </row>
    <row r="9553" spans="1:2" x14ac:dyDescent="0.2">
      <c r="A9553" s="117">
        <v>44250</v>
      </c>
      <c r="B9553" s="116">
        <f t="shared" si="152"/>
        <v>24</v>
      </c>
    </row>
    <row r="9554" spans="1:2" x14ac:dyDescent="0.2">
      <c r="A9554" s="117">
        <v>44251</v>
      </c>
      <c r="B9554" s="116">
        <f t="shared" si="152"/>
        <v>24</v>
      </c>
    </row>
    <row r="9555" spans="1:2" x14ac:dyDescent="0.2">
      <c r="A9555" s="117">
        <v>44252</v>
      </c>
      <c r="B9555" s="116">
        <f t="shared" si="152"/>
        <v>24</v>
      </c>
    </row>
    <row r="9556" spans="1:2" x14ac:dyDescent="0.2">
      <c r="A9556" s="117">
        <v>44253</v>
      </c>
      <c r="B9556" s="116">
        <f t="shared" si="152"/>
        <v>24</v>
      </c>
    </row>
    <row r="9557" spans="1:2" x14ac:dyDescent="0.2">
      <c r="A9557" s="117">
        <v>44254</v>
      </c>
      <c r="B9557" s="116">
        <f t="shared" si="152"/>
        <v>24</v>
      </c>
    </row>
    <row r="9558" spans="1:2" x14ac:dyDescent="0.2">
      <c r="A9558" s="117">
        <v>44255</v>
      </c>
      <c r="B9558" s="116">
        <f t="shared" si="152"/>
        <v>31</v>
      </c>
    </row>
    <row r="9559" spans="1:2" x14ac:dyDescent="0.2">
      <c r="A9559" s="117">
        <v>44256</v>
      </c>
      <c r="B9559" s="116">
        <f t="shared" si="152"/>
        <v>31</v>
      </c>
    </row>
    <row r="9560" spans="1:2" x14ac:dyDescent="0.2">
      <c r="A9560" s="117">
        <v>44257</v>
      </c>
      <c r="B9560" s="116">
        <f t="shared" si="152"/>
        <v>31</v>
      </c>
    </row>
    <row r="9561" spans="1:2" x14ac:dyDescent="0.2">
      <c r="A9561" s="117">
        <v>44258</v>
      </c>
      <c r="B9561" s="116">
        <f t="shared" si="152"/>
        <v>31</v>
      </c>
    </row>
    <row r="9562" spans="1:2" x14ac:dyDescent="0.2">
      <c r="A9562" s="117">
        <v>44259</v>
      </c>
      <c r="B9562" s="116">
        <f t="shared" si="152"/>
        <v>31</v>
      </c>
    </row>
    <row r="9563" spans="1:2" x14ac:dyDescent="0.2">
      <c r="A9563" s="117">
        <v>44260</v>
      </c>
      <c r="B9563" s="116">
        <f t="shared" si="152"/>
        <v>31</v>
      </c>
    </row>
    <row r="9564" spans="1:2" x14ac:dyDescent="0.2">
      <c r="A9564" s="117">
        <v>44261</v>
      </c>
      <c r="B9564" s="116">
        <f t="shared" si="152"/>
        <v>31</v>
      </c>
    </row>
    <row r="9565" spans="1:2" x14ac:dyDescent="0.2">
      <c r="A9565" s="117">
        <v>44262</v>
      </c>
      <c r="B9565" s="116">
        <f t="shared" si="152"/>
        <v>32</v>
      </c>
    </row>
    <row r="9566" spans="1:2" x14ac:dyDescent="0.2">
      <c r="A9566" s="117">
        <v>44263</v>
      </c>
      <c r="B9566" s="116">
        <f t="shared" si="152"/>
        <v>32</v>
      </c>
    </row>
    <row r="9567" spans="1:2" x14ac:dyDescent="0.2">
      <c r="A9567" s="117">
        <v>44264</v>
      </c>
      <c r="B9567" s="116">
        <f t="shared" si="152"/>
        <v>32</v>
      </c>
    </row>
    <row r="9568" spans="1:2" x14ac:dyDescent="0.2">
      <c r="A9568" s="117">
        <v>44265</v>
      </c>
      <c r="B9568" s="116">
        <f t="shared" si="152"/>
        <v>32</v>
      </c>
    </row>
    <row r="9569" spans="1:2" x14ac:dyDescent="0.2">
      <c r="A9569" s="117">
        <v>44266</v>
      </c>
      <c r="B9569" s="116">
        <f t="shared" si="152"/>
        <v>32</v>
      </c>
    </row>
    <row r="9570" spans="1:2" x14ac:dyDescent="0.2">
      <c r="A9570" s="117">
        <v>44267</v>
      </c>
      <c r="B9570" s="116">
        <f t="shared" si="152"/>
        <v>32</v>
      </c>
    </row>
    <row r="9571" spans="1:2" x14ac:dyDescent="0.2">
      <c r="A9571" s="117">
        <v>44268</v>
      </c>
      <c r="B9571" s="116">
        <f t="shared" si="152"/>
        <v>32</v>
      </c>
    </row>
    <row r="9572" spans="1:2" x14ac:dyDescent="0.2">
      <c r="A9572" s="117">
        <v>44269</v>
      </c>
      <c r="B9572" s="116">
        <f t="shared" si="152"/>
        <v>33</v>
      </c>
    </row>
    <row r="9573" spans="1:2" x14ac:dyDescent="0.2">
      <c r="A9573" s="117">
        <v>44270</v>
      </c>
      <c r="B9573" s="116">
        <f t="shared" si="152"/>
        <v>33</v>
      </c>
    </row>
    <row r="9574" spans="1:2" x14ac:dyDescent="0.2">
      <c r="A9574" s="117">
        <v>44271</v>
      </c>
      <c r="B9574" s="116">
        <f t="shared" si="152"/>
        <v>33</v>
      </c>
    </row>
    <row r="9575" spans="1:2" x14ac:dyDescent="0.2">
      <c r="A9575" s="117">
        <v>44272</v>
      </c>
      <c r="B9575" s="116">
        <f t="shared" si="152"/>
        <v>33</v>
      </c>
    </row>
    <row r="9576" spans="1:2" x14ac:dyDescent="0.2">
      <c r="A9576" s="117">
        <v>44273</v>
      </c>
      <c r="B9576" s="116">
        <f t="shared" si="152"/>
        <v>33</v>
      </c>
    </row>
    <row r="9577" spans="1:2" x14ac:dyDescent="0.2">
      <c r="A9577" s="117">
        <v>44274</v>
      </c>
      <c r="B9577" s="116">
        <f t="shared" si="152"/>
        <v>33</v>
      </c>
    </row>
    <row r="9578" spans="1:2" x14ac:dyDescent="0.2">
      <c r="A9578" s="117">
        <v>44275</v>
      </c>
      <c r="B9578" s="116">
        <f t="shared" si="152"/>
        <v>33</v>
      </c>
    </row>
    <row r="9579" spans="1:2" x14ac:dyDescent="0.2">
      <c r="A9579" s="117">
        <v>44276</v>
      </c>
      <c r="B9579" s="116">
        <f t="shared" si="152"/>
        <v>34</v>
      </c>
    </row>
    <row r="9580" spans="1:2" x14ac:dyDescent="0.2">
      <c r="A9580" s="117">
        <v>44277</v>
      </c>
      <c r="B9580" s="116">
        <f t="shared" si="152"/>
        <v>34</v>
      </c>
    </row>
    <row r="9581" spans="1:2" x14ac:dyDescent="0.2">
      <c r="A9581" s="117">
        <v>44278</v>
      </c>
      <c r="B9581" s="116">
        <f t="shared" si="152"/>
        <v>34</v>
      </c>
    </row>
    <row r="9582" spans="1:2" x14ac:dyDescent="0.2">
      <c r="A9582" s="117">
        <v>44279</v>
      </c>
      <c r="B9582" s="116">
        <f t="shared" si="152"/>
        <v>34</v>
      </c>
    </row>
    <row r="9583" spans="1:2" x14ac:dyDescent="0.2">
      <c r="A9583" s="117">
        <v>44280</v>
      </c>
      <c r="B9583" s="116">
        <f t="shared" si="152"/>
        <v>34</v>
      </c>
    </row>
    <row r="9584" spans="1:2" x14ac:dyDescent="0.2">
      <c r="A9584" s="117">
        <v>44281</v>
      </c>
      <c r="B9584" s="116">
        <f t="shared" si="152"/>
        <v>34</v>
      </c>
    </row>
    <row r="9585" spans="1:2" x14ac:dyDescent="0.2">
      <c r="A9585" s="117">
        <v>44282</v>
      </c>
      <c r="B9585" s="116">
        <f t="shared" si="152"/>
        <v>34</v>
      </c>
    </row>
    <row r="9586" spans="1:2" x14ac:dyDescent="0.2">
      <c r="A9586" s="117">
        <v>44283</v>
      </c>
      <c r="B9586" s="116">
        <f t="shared" si="152"/>
        <v>41</v>
      </c>
    </row>
    <row r="9587" spans="1:2" x14ac:dyDescent="0.2">
      <c r="A9587" s="117">
        <v>44284</v>
      </c>
      <c r="B9587" s="116">
        <f t="shared" si="152"/>
        <v>41</v>
      </c>
    </row>
    <row r="9588" spans="1:2" x14ac:dyDescent="0.2">
      <c r="A9588" s="117">
        <v>44285</v>
      </c>
      <c r="B9588" s="116">
        <f t="shared" si="152"/>
        <v>41</v>
      </c>
    </row>
    <row r="9589" spans="1:2" x14ac:dyDescent="0.2">
      <c r="A9589" s="117">
        <v>44286</v>
      </c>
      <c r="B9589" s="116">
        <f t="shared" si="152"/>
        <v>41</v>
      </c>
    </row>
    <row r="9590" spans="1:2" x14ac:dyDescent="0.2">
      <c r="A9590" s="117">
        <v>44287</v>
      </c>
      <c r="B9590" s="116">
        <f t="shared" si="152"/>
        <v>41</v>
      </c>
    </row>
    <row r="9591" spans="1:2" x14ac:dyDescent="0.2">
      <c r="A9591" s="117">
        <v>44288</v>
      </c>
      <c r="B9591" s="116">
        <f t="shared" si="152"/>
        <v>41</v>
      </c>
    </row>
    <row r="9592" spans="1:2" x14ac:dyDescent="0.2">
      <c r="A9592" s="117">
        <v>44289</v>
      </c>
      <c r="B9592" s="116">
        <f t="shared" si="152"/>
        <v>41</v>
      </c>
    </row>
    <row r="9593" spans="1:2" x14ac:dyDescent="0.2">
      <c r="A9593" s="117">
        <v>44290</v>
      </c>
      <c r="B9593" s="116">
        <f t="shared" si="152"/>
        <v>42</v>
      </c>
    </row>
    <row r="9594" spans="1:2" x14ac:dyDescent="0.2">
      <c r="A9594" s="117">
        <v>44291</v>
      </c>
      <c r="B9594" s="116">
        <f t="shared" si="152"/>
        <v>42</v>
      </c>
    </row>
    <row r="9595" spans="1:2" x14ac:dyDescent="0.2">
      <c r="A9595" s="117">
        <v>44292</v>
      </c>
      <c r="B9595" s="116">
        <f t="shared" si="152"/>
        <v>42</v>
      </c>
    </row>
    <row r="9596" spans="1:2" x14ac:dyDescent="0.2">
      <c r="A9596" s="117">
        <v>44293</v>
      </c>
      <c r="B9596" s="116">
        <f t="shared" si="152"/>
        <v>42</v>
      </c>
    </row>
    <row r="9597" spans="1:2" x14ac:dyDescent="0.2">
      <c r="A9597" s="117">
        <v>44294</v>
      </c>
      <c r="B9597" s="116">
        <f t="shared" si="152"/>
        <v>42</v>
      </c>
    </row>
    <row r="9598" spans="1:2" x14ac:dyDescent="0.2">
      <c r="A9598" s="117">
        <v>44295</v>
      </c>
      <c r="B9598" s="116">
        <f t="shared" si="152"/>
        <v>42</v>
      </c>
    </row>
    <row r="9599" spans="1:2" x14ac:dyDescent="0.2">
      <c r="A9599" s="117">
        <v>44296</v>
      </c>
      <c r="B9599" s="116">
        <f t="shared" si="152"/>
        <v>42</v>
      </c>
    </row>
    <row r="9600" spans="1:2" x14ac:dyDescent="0.2">
      <c r="A9600" s="117">
        <v>44297</v>
      </c>
      <c r="B9600" s="116">
        <f t="shared" si="152"/>
        <v>43</v>
      </c>
    </row>
    <row r="9601" spans="1:2" x14ac:dyDescent="0.2">
      <c r="A9601" s="117">
        <v>44298</v>
      </c>
      <c r="B9601" s="116">
        <f t="shared" ref="B9601:B9664" si="153">VLOOKUP(WEEKNUM(A9601),$D$4:$E$59,2)</f>
        <v>43</v>
      </c>
    </row>
    <row r="9602" spans="1:2" x14ac:dyDescent="0.2">
      <c r="A9602" s="117">
        <v>44299</v>
      </c>
      <c r="B9602" s="116">
        <f t="shared" si="153"/>
        <v>43</v>
      </c>
    </row>
    <row r="9603" spans="1:2" x14ac:dyDescent="0.2">
      <c r="A9603" s="117">
        <v>44300</v>
      </c>
      <c r="B9603" s="116">
        <f t="shared" si="153"/>
        <v>43</v>
      </c>
    </row>
    <row r="9604" spans="1:2" x14ac:dyDescent="0.2">
      <c r="A9604" s="117">
        <v>44301</v>
      </c>
      <c r="B9604" s="116">
        <f t="shared" si="153"/>
        <v>43</v>
      </c>
    </row>
    <row r="9605" spans="1:2" x14ac:dyDescent="0.2">
      <c r="A9605" s="117">
        <v>44302</v>
      </c>
      <c r="B9605" s="116">
        <f t="shared" si="153"/>
        <v>43</v>
      </c>
    </row>
    <row r="9606" spans="1:2" x14ac:dyDescent="0.2">
      <c r="A9606" s="117">
        <v>44303</v>
      </c>
      <c r="B9606" s="116">
        <f t="shared" si="153"/>
        <v>43</v>
      </c>
    </row>
    <row r="9607" spans="1:2" x14ac:dyDescent="0.2">
      <c r="A9607" s="117">
        <v>44304</v>
      </c>
      <c r="B9607" s="116">
        <f t="shared" si="153"/>
        <v>44</v>
      </c>
    </row>
    <row r="9608" spans="1:2" x14ac:dyDescent="0.2">
      <c r="A9608" s="117">
        <v>44305</v>
      </c>
      <c r="B9608" s="116">
        <f t="shared" si="153"/>
        <v>44</v>
      </c>
    </row>
    <row r="9609" spans="1:2" x14ac:dyDescent="0.2">
      <c r="A9609" s="117">
        <v>44306</v>
      </c>
      <c r="B9609" s="116">
        <f t="shared" si="153"/>
        <v>44</v>
      </c>
    </row>
    <row r="9610" spans="1:2" x14ac:dyDescent="0.2">
      <c r="A9610" s="117">
        <v>44307</v>
      </c>
      <c r="B9610" s="116">
        <f t="shared" si="153"/>
        <v>44</v>
      </c>
    </row>
    <row r="9611" spans="1:2" x14ac:dyDescent="0.2">
      <c r="A9611" s="117">
        <v>44308</v>
      </c>
      <c r="B9611" s="116">
        <f t="shared" si="153"/>
        <v>44</v>
      </c>
    </row>
    <row r="9612" spans="1:2" x14ac:dyDescent="0.2">
      <c r="A9612" s="117">
        <v>44309</v>
      </c>
      <c r="B9612" s="116">
        <f t="shared" si="153"/>
        <v>44</v>
      </c>
    </row>
    <row r="9613" spans="1:2" x14ac:dyDescent="0.2">
      <c r="A9613" s="117">
        <v>44310</v>
      </c>
      <c r="B9613" s="116">
        <f t="shared" si="153"/>
        <v>44</v>
      </c>
    </row>
    <row r="9614" spans="1:2" x14ac:dyDescent="0.2">
      <c r="A9614" s="117">
        <v>44311</v>
      </c>
      <c r="B9614" s="116">
        <f t="shared" si="153"/>
        <v>45</v>
      </c>
    </row>
    <row r="9615" spans="1:2" x14ac:dyDescent="0.2">
      <c r="A9615" s="117">
        <v>44312</v>
      </c>
      <c r="B9615" s="116">
        <f t="shared" si="153"/>
        <v>45</v>
      </c>
    </row>
    <row r="9616" spans="1:2" x14ac:dyDescent="0.2">
      <c r="A9616" s="117">
        <v>44313</v>
      </c>
      <c r="B9616" s="116">
        <f t="shared" si="153"/>
        <v>45</v>
      </c>
    </row>
    <row r="9617" spans="1:2" x14ac:dyDescent="0.2">
      <c r="A9617" s="117">
        <v>44314</v>
      </c>
      <c r="B9617" s="116">
        <f t="shared" si="153"/>
        <v>45</v>
      </c>
    </row>
    <row r="9618" spans="1:2" x14ac:dyDescent="0.2">
      <c r="A9618" s="117">
        <v>44315</v>
      </c>
      <c r="B9618" s="116">
        <f t="shared" si="153"/>
        <v>45</v>
      </c>
    </row>
    <row r="9619" spans="1:2" x14ac:dyDescent="0.2">
      <c r="A9619" s="117">
        <v>44316</v>
      </c>
      <c r="B9619" s="116">
        <f t="shared" si="153"/>
        <v>45</v>
      </c>
    </row>
    <row r="9620" spans="1:2" x14ac:dyDescent="0.2">
      <c r="A9620" s="117">
        <v>44317</v>
      </c>
      <c r="B9620" s="116">
        <f t="shared" si="153"/>
        <v>45</v>
      </c>
    </row>
    <row r="9621" spans="1:2" x14ac:dyDescent="0.2">
      <c r="A9621" s="117">
        <v>44318</v>
      </c>
      <c r="B9621" s="116">
        <f t="shared" si="153"/>
        <v>51</v>
      </c>
    </row>
    <row r="9622" spans="1:2" x14ac:dyDescent="0.2">
      <c r="A9622" s="117">
        <v>44319</v>
      </c>
      <c r="B9622" s="116">
        <f t="shared" si="153"/>
        <v>51</v>
      </c>
    </row>
    <row r="9623" spans="1:2" x14ac:dyDescent="0.2">
      <c r="A9623" s="117">
        <v>44320</v>
      </c>
      <c r="B9623" s="116">
        <f t="shared" si="153"/>
        <v>51</v>
      </c>
    </row>
    <row r="9624" spans="1:2" x14ac:dyDescent="0.2">
      <c r="A9624" s="117">
        <v>44321</v>
      </c>
      <c r="B9624" s="116">
        <f t="shared" si="153"/>
        <v>51</v>
      </c>
    </row>
    <row r="9625" spans="1:2" x14ac:dyDescent="0.2">
      <c r="A9625" s="117">
        <v>44322</v>
      </c>
      <c r="B9625" s="116">
        <f t="shared" si="153"/>
        <v>51</v>
      </c>
    </row>
    <row r="9626" spans="1:2" x14ac:dyDescent="0.2">
      <c r="A9626" s="117">
        <v>44323</v>
      </c>
      <c r="B9626" s="116">
        <f t="shared" si="153"/>
        <v>51</v>
      </c>
    </row>
    <row r="9627" spans="1:2" x14ac:dyDescent="0.2">
      <c r="A9627" s="117">
        <v>44324</v>
      </c>
      <c r="B9627" s="116">
        <f t="shared" si="153"/>
        <v>51</v>
      </c>
    </row>
    <row r="9628" spans="1:2" x14ac:dyDescent="0.2">
      <c r="A9628" s="117">
        <v>44325</v>
      </c>
      <c r="B9628" s="116">
        <f t="shared" si="153"/>
        <v>52</v>
      </c>
    </row>
    <row r="9629" spans="1:2" x14ac:dyDescent="0.2">
      <c r="A9629" s="117">
        <v>44326</v>
      </c>
      <c r="B9629" s="116">
        <f t="shared" si="153"/>
        <v>52</v>
      </c>
    </row>
    <row r="9630" spans="1:2" x14ac:dyDescent="0.2">
      <c r="A9630" s="117">
        <v>44327</v>
      </c>
      <c r="B9630" s="116">
        <f t="shared" si="153"/>
        <v>52</v>
      </c>
    </row>
    <row r="9631" spans="1:2" x14ac:dyDescent="0.2">
      <c r="A9631" s="117">
        <v>44328</v>
      </c>
      <c r="B9631" s="116">
        <f t="shared" si="153"/>
        <v>52</v>
      </c>
    </row>
    <row r="9632" spans="1:2" x14ac:dyDescent="0.2">
      <c r="A9632" s="117">
        <v>44329</v>
      </c>
      <c r="B9632" s="116">
        <f t="shared" si="153"/>
        <v>52</v>
      </c>
    </row>
    <row r="9633" spans="1:2" x14ac:dyDescent="0.2">
      <c r="A9633" s="117">
        <v>44330</v>
      </c>
      <c r="B9633" s="116">
        <f t="shared" si="153"/>
        <v>52</v>
      </c>
    </row>
    <row r="9634" spans="1:2" x14ac:dyDescent="0.2">
      <c r="A9634" s="117">
        <v>44331</v>
      </c>
      <c r="B9634" s="116">
        <f t="shared" si="153"/>
        <v>52</v>
      </c>
    </row>
    <row r="9635" spans="1:2" x14ac:dyDescent="0.2">
      <c r="A9635" s="117">
        <v>44332</v>
      </c>
      <c r="B9635" s="116">
        <f t="shared" si="153"/>
        <v>53</v>
      </c>
    </row>
    <row r="9636" spans="1:2" x14ac:dyDescent="0.2">
      <c r="A9636" s="117">
        <v>44333</v>
      </c>
      <c r="B9636" s="116">
        <f t="shared" si="153"/>
        <v>53</v>
      </c>
    </row>
    <row r="9637" spans="1:2" x14ac:dyDescent="0.2">
      <c r="A9637" s="117">
        <v>44334</v>
      </c>
      <c r="B9637" s="116">
        <f t="shared" si="153"/>
        <v>53</v>
      </c>
    </row>
    <row r="9638" spans="1:2" x14ac:dyDescent="0.2">
      <c r="A9638" s="117">
        <v>44335</v>
      </c>
      <c r="B9638" s="116">
        <f t="shared" si="153"/>
        <v>53</v>
      </c>
    </row>
    <row r="9639" spans="1:2" x14ac:dyDescent="0.2">
      <c r="A9639" s="117">
        <v>44336</v>
      </c>
      <c r="B9639" s="116">
        <f t="shared" si="153"/>
        <v>53</v>
      </c>
    </row>
    <row r="9640" spans="1:2" x14ac:dyDescent="0.2">
      <c r="A9640" s="117">
        <v>44337</v>
      </c>
      <c r="B9640" s="116">
        <f t="shared" si="153"/>
        <v>53</v>
      </c>
    </row>
    <row r="9641" spans="1:2" x14ac:dyDescent="0.2">
      <c r="A9641" s="117">
        <v>44338</v>
      </c>
      <c r="B9641" s="116">
        <f t="shared" si="153"/>
        <v>53</v>
      </c>
    </row>
    <row r="9642" spans="1:2" x14ac:dyDescent="0.2">
      <c r="A9642" s="117">
        <v>44339</v>
      </c>
      <c r="B9642" s="116">
        <f t="shared" si="153"/>
        <v>54</v>
      </c>
    </row>
    <row r="9643" spans="1:2" x14ac:dyDescent="0.2">
      <c r="A9643" s="117">
        <v>44340</v>
      </c>
      <c r="B9643" s="116">
        <f t="shared" si="153"/>
        <v>54</v>
      </c>
    </row>
    <row r="9644" spans="1:2" x14ac:dyDescent="0.2">
      <c r="A9644" s="117">
        <v>44341</v>
      </c>
      <c r="B9644" s="116">
        <f t="shared" si="153"/>
        <v>54</v>
      </c>
    </row>
    <row r="9645" spans="1:2" x14ac:dyDescent="0.2">
      <c r="A9645" s="117">
        <v>44342</v>
      </c>
      <c r="B9645" s="116">
        <f t="shared" si="153"/>
        <v>54</v>
      </c>
    </row>
    <row r="9646" spans="1:2" x14ac:dyDescent="0.2">
      <c r="A9646" s="117">
        <v>44343</v>
      </c>
      <c r="B9646" s="116">
        <f t="shared" si="153"/>
        <v>54</v>
      </c>
    </row>
    <row r="9647" spans="1:2" x14ac:dyDescent="0.2">
      <c r="A9647" s="117">
        <v>44344</v>
      </c>
      <c r="B9647" s="116">
        <f t="shared" si="153"/>
        <v>54</v>
      </c>
    </row>
    <row r="9648" spans="1:2" x14ac:dyDescent="0.2">
      <c r="A9648" s="117">
        <v>44345</v>
      </c>
      <c r="B9648" s="116">
        <f t="shared" si="153"/>
        <v>54</v>
      </c>
    </row>
    <row r="9649" spans="1:2" x14ac:dyDescent="0.2">
      <c r="A9649" s="117">
        <v>44346</v>
      </c>
      <c r="B9649" s="116">
        <f t="shared" si="153"/>
        <v>61</v>
      </c>
    </row>
    <row r="9650" spans="1:2" x14ac:dyDescent="0.2">
      <c r="A9650" s="117">
        <v>44347</v>
      </c>
      <c r="B9650" s="116">
        <f t="shared" si="153"/>
        <v>61</v>
      </c>
    </row>
    <row r="9651" spans="1:2" x14ac:dyDescent="0.2">
      <c r="A9651" s="117">
        <v>44348</v>
      </c>
      <c r="B9651" s="116">
        <f t="shared" si="153"/>
        <v>61</v>
      </c>
    </row>
    <row r="9652" spans="1:2" x14ac:dyDescent="0.2">
      <c r="A9652" s="117">
        <v>44349</v>
      </c>
      <c r="B9652" s="116">
        <f t="shared" si="153"/>
        <v>61</v>
      </c>
    </row>
    <row r="9653" spans="1:2" x14ac:dyDescent="0.2">
      <c r="A9653" s="117">
        <v>44350</v>
      </c>
      <c r="B9653" s="116">
        <f t="shared" si="153"/>
        <v>61</v>
      </c>
    </row>
    <row r="9654" spans="1:2" x14ac:dyDescent="0.2">
      <c r="A9654" s="117">
        <v>44351</v>
      </c>
      <c r="B9654" s="116">
        <f t="shared" si="153"/>
        <v>61</v>
      </c>
    </row>
    <row r="9655" spans="1:2" x14ac:dyDescent="0.2">
      <c r="A9655" s="117">
        <v>44352</v>
      </c>
      <c r="B9655" s="116">
        <f t="shared" si="153"/>
        <v>61</v>
      </c>
    </row>
    <row r="9656" spans="1:2" x14ac:dyDescent="0.2">
      <c r="A9656" s="117">
        <v>44353</v>
      </c>
      <c r="B9656" s="116">
        <f t="shared" si="153"/>
        <v>62</v>
      </c>
    </row>
    <row r="9657" spans="1:2" x14ac:dyDescent="0.2">
      <c r="A9657" s="117">
        <v>44354</v>
      </c>
      <c r="B9657" s="116">
        <f t="shared" si="153"/>
        <v>62</v>
      </c>
    </row>
    <row r="9658" spans="1:2" x14ac:dyDescent="0.2">
      <c r="A9658" s="117">
        <v>44355</v>
      </c>
      <c r="B9658" s="116">
        <f t="shared" si="153"/>
        <v>62</v>
      </c>
    </row>
    <row r="9659" spans="1:2" x14ac:dyDescent="0.2">
      <c r="A9659" s="117">
        <v>44356</v>
      </c>
      <c r="B9659" s="116">
        <f t="shared" si="153"/>
        <v>62</v>
      </c>
    </row>
    <row r="9660" spans="1:2" x14ac:dyDescent="0.2">
      <c r="A9660" s="117">
        <v>44357</v>
      </c>
      <c r="B9660" s="116">
        <f t="shared" si="153"/>
        <v>62</v>
      </c>
    </row>
    <row r="9661" spans="1:2" x14ac:dyDescent="0.2">
      <c r="A9661" s="117">
        <v>44358</v>
      </c>
      <c r="B9661" s="116">
        <f t="shared" si="153"/>
        <v>62</v>
      </c>
    </row>
    <row r="9662" spans="1:2" x14ac:dyDescent="0.2">
      <c r="A9662" s="117">
        <v>44359</v>
      </c>
      <c r="B9662" s="116">
        <f t="shared" si="153"/>
        <v>62</v>
      </c>
    </row>
    <row r="9663" spans="1:2" x14ac:dyDescent="0.2">
      <c r="A9663" s="117">
        <v>44360</v>
      </c>
      <c r="B9663" s="116">
        <f t="shared" si="153"/>
        <v>63</v>
      </c>
    </row>
    <row r="9664" spans="1:2" x14ac:dyDescent="0.2">
      <c r="A9664" s="117">
        <v>44361</v>
      </c>
      <c r="B9664" s="116">
        <f t="shared" si="153"/>
        <v>63</v>
      </c>
    </row>
    <row r="9665" spans="1:2" x14ac:dyDescent="0.2">
      <c r="A9665" s="117">
        <v>44362</v>
      </c>
      <c r="B9665" s="116">
        <f t="shared" ref="B9665:B9728" si="154">VLOOKUP(WEEKNUM(A9665),$D$4:$E$59,2)</f>
        <v>63</v>
      </c>
    </row>
    <row r="9666" spans="1:2" x14ac:dyDescent="0.2">
      <c r="A9666" s="117">
        <v>44363</v>
      </c>
      <c r="B9666" s="116">
        <f t="shared" si="154"/>
        <v>63</v>
      </c>
    </row>
    <row r="9667" spans="1:2" x14ac:dyDescent="0.2">
      <c r="A9667" s="117">
        <v>44364</v>
      </c>
      <c r="B9667" s="116">
        <f t="shared" si="154"/>
        <v>63</v>
      </c>
    </row>
    <row r="9668" spans="1:2" x14ac:dyDescent="0.2">
      <c r="A9668" s="117">
        <v>44365</v>
      </c>
      <c r="B9668" s="116">
        <f t="shared" si="154"/>
        <v>63</v>
      </c>
    </row>
    <row r="9669" spans="1:2" x14ac:dyDescent="0.2">
      <c r="A9669" s="117">
        <v>44366</v>
      </c>
      <c r="B9669" s="116">
        <f t="shared" si="154"/>
        <v>63</v>
      </c>
    </row>
    <row r="9670" spans="1:2" x14ac:dyDescent="0.2">
      <c r="A9670" s="117">
        <v>44367</v>
      </c>
      <c r="B9670" s="116">
        <f t="shared" si="154"/>
        <v>64</v>
      </c>
    </row>
    <row r="9671" spans="1:2" x14ac:dyDescent="0.2">
      <c r="A9671" s="117">
        <v>44368</v>
      </c>
      <c r="B9671" s="116">
        <f t="shared" si="154"/>
        <v>64</v>
      </c>
    </row>
    <row r="9672" spans="1:2" x14ac:dyDescent="0.2">
      <c r="A9672" s="117">
        <v>44369</v>
      </c>
      <c r="B9672" s="116">
        <f t="shared" si="154"/>
        <v>64</v>
      </c>
    </row>
    <row r="9673" spans="1:2" x14ac:dyDescent="0.2">
      <c r="A9673" s="117">
        <v>44370</v>
      </c>
      <c r="B9673" s="116">
        <f t="shared" si="154"/>
        <v>64</v>
      </c>
    </row>
    <row r="9674" spans="1:2" x14ac:dyDescent="0.2">
      <c r="A9674" s="117">
        <v>44371</v>
      </c>
      <c r="B9674" s="116">
        <f t="shared" si="154"/>
        <v>64</v>
      </c>
    </row>
    <row r="9675" spans="1:2" x14ac:dyDescent="0.2">
      <c r="A9675" s="117">
        <v>44372</v>
      </c>
      <c r="B9675" s="116">
        <f t="shared" si="154"/>
        <v>64</v>
      </c>
    </row>
    <row r="9676" spans="1:2" x14ac:dyDescent="0.2">
      <c r="A9676" s="117">
        <v>44373</v>
      </c>
      <c r="B9676" s="116">
        <f t="shared" si="154"/>
        <v>64</v>
      </c>
    </row>
    <row r="9677" spans="1:2" x14ac:dyDescent="0.2">
      <c r="A9677" s="117">
        <v>44374</v>
      </c>
      <c r="B9677" s="116">
        <f t="shared" si="154"/>
        <v>71</v>
      </c>
    </row>
    <row r="9678" spans="1:2" x14ac:dyDescent="0.2">
      <c r="A9678" s="117">
        <v>44375</v>
      </c>
      <c r="B9678" s="116">
        <f t="shared" si="154"/>
        <v>71</v>
      </c>
    </row>
    <row r="9679" spans="1:2" x14ac:dyDescent="0.2">
      <c r="A9679" s="117">
        <v>44376</v>
      </c>
      <c r="B9679" s="116">
        <f t="shared" si="154"/>
        <v>71</v>
      </c>
    </row>
    <row r="9680" spans="1:2" x14ac:dyDescent="0.2">
      <c r="A9680" s="117">
        <v>44377</v>
      </c>
      <c r="B9680" s="116">
        <f t="shared" si="154"/>
        <v>71</v>
      </c>
    </row>
    <row r="9681" spans="1:2" x14ac:dyDescent="0.2">
      <c r="A9681" s="117">
        <v>44378</v>
      </c>
      <c r="B9681" s="116">
        <f t="shared" si="154"/>
        <v>71</v>
      </c>
    </row>
    <row r="9682" spans="1:2" x14ac:dyDescent="0.2">
      <c r="A9682" s="117">
        <v>44379</v>
      </c>
      <c r="B9682" s="116">
        <f t="shared" si="154"/>
        <v>71</v>
      </c>
    </row>
    <row r="9683" spans="1:2" x14ac:dyDescent="0.2">
      <c r="A9683" s="117">
        <v>44380</v>
      </c>
      <c r="B9683" s="116">
        <f t="shared" si="154"/>
        <v>71</v>
      </c>
    </row>
    <row r="9684" spans="1:2" x14ac:dyDescent="0.2">
      <c r="A9684" s="117">
        <v>44381</v>
      </c>
      <c r="B9684" s="116">
        <f t="shared" si="154"/>
        <v>72</v>
      </c>
    </row>
    <row r="9685" spans="1:2" x14ac:dyDescent="0.2">
      <c r="A9685" s="117">
        <v>44382</v>
      </c>
      <c r="B9685" s="116">
        <f t="shared" si="154"/>
        <v>72</v>
      </c>
    </row>
    <row r="9686" spans="1:2" x14ac:dyDescent="0.2">
      <c r="A9686" s="117">
        <v>44383</v>
      </c>
      <c r="B9686" s="116">
        <f t="shared" si="154"/>
        <v>72</v>
      </c>
    </row>
    <row r="9687" spans="1:2" x14ac:dyDescent="0.2">
      <c r="A9687" s="117">
        <v>44384</v>
      </c>
      <c r="B9687" s="116">
        <f t="shared" si="154"/>
        <v>72</v>
      </c>
    </row>
    <row r="9688" spans="1:2" x14ac:dyDescent="0.2">
      <c r="A9688" s="117">
        <v>44385</v>
      </c>
      <c r="B9688" s="116">
        <f t="shared" si="154"/>
        <v>72</v>
      </c>
    </row>
    <row r="9689" spans="1:2" x14ac:dyDescent="0.2">
      <c r="A9689" s="117">
        <v>44386</v>
      </c>
      <c r="B9689" s="116">
        <f t="shared" si="154"/>
        <v>72</v>
      </c>
    </row>
    <row r="9690" spans="1:2" x14ac:dyDescent="0.2">
      <c r="A9690" s="117">
        <v>44387</v>
      </c>
      <c r="B9690" s="116">
        <f t="shared" si="154"/>
        <v>72</v>
      </c>
    </row>
    <row r="9691" spans="1:2" x14ac:dyDescent="0.2">
      <c r="A9691" s="117">
        <v>44388</v>
      </c>
      <c r="B9691" s="116">
        <f t="shared" si="154"/>
        <v>73</v>
      </c>
    </row>
    <row r="9692" spans="1:2" x14ac:dyDescent="0.2">
      <c r="A9692" s="117">
        <v>44389</v>
      </c>
      <c r="B9692" s="116">
        <f t="shared" si="154"/>
        <v>73</v>
      </c>
    </row>
    <row r="9693" spans="1:2" x14ac:dyDescent="0.2">
      <c r="A9693" s="117">
        <v>44390</v>
      </c>
      <c r="B9693" s="116">
        <f t="shared" si="154"/>
        <v>73</v>
      </c>
    </row>
    <row r="9694" spans="1:2" x14ac:dyDescent="0.2">
      <c r="A9694" s="117">
        <v>44391</v>
      </c>
      <c r="B9694" s="116">
        <f t="shared" si="154"/>
        <v>73</v>
      </c>
    </row>
    <row r="9695" spans="1:2" x14ac:dyDescent="0.2">
      <c r="A9695" s="117">
        <v>44392</v>
      </c>
      <c r="B9695" s="116">
        <f t="shared" si="154"/>
        <v>73</v>
      </c>
    </row>
    <row r="9696" spans="1:2" x14ac:dyDescent="0.2">
      <c r="A9696" s="117">
        <v>44393</v>
      </c>
      <c r="B9696" s="116">
        <f t="shared" si="154"/>
        <v>73</v>
      </c>
    </row>
    <row r="9697" spans="1:2" x14ac:dyDescent="0.2">
      <c r="A9697" s="117">
        <v>44394</v>
      </c>
      <c r="B9697" s="116">
        <f t="shared" si="154"/>
        <v>73</v>
      </c>
    </row>
    <row r="9698" spans="1:2" x14ac:dyDescent="0.2">
      <c r="A9698" s="117">
        <v>44395</v>
      </c>
      <c r="B9698" s="116">
        <f t="shared" si="154"/>
        <v>74</v>
      </c>
    </row>
    <row r="9699" spans="1:2" x14ac:dyDescent="0.2">
      <c r="A9699" s="117">
        <v>44396</v>
      </c>
      <c r="B9699" s="116">
        <f t="shared" si="154"/>
        <v>74</v>
      </c>
    </row>
    <row r="9700" spans="1:2" x14ac:dyDescent="0.2">
      <c r="A9700" s="117">
        <v>44397</v>
      </c>
      <c r="B9700" s="116">
        <f t="shared" si="154"/>
        <v>74</v>
      </c>
    </row>
    <row r="9701" spans="1:2" x14ac:dyDescent="0.2">
      <c r="A9701" s="117">
        <v>44398</v>
      </c>
      <c r="B9701" s="116">
        <f t="shared" si="154"/>
        <v>74</v>
      </c>
    </row>
    <row r="9702" spans="1:2" x14ac:dyDescent="0.2">
      <c r="A9702" s="117">
        <v>44399</v>
      </c>
      <c r="B9702" s="116">
        <f t="shared" si="154"/>
        <v>74</v>
      </c>
    </row>
    <row r="9703" spans="1:2" x14ac:dyDescent="0.2">
      <c r="A9703" s="117">
        <v>44400</v>
      </c>
      <c r="B9703" s="116">
        <f t="shared" si="154"/>
        <v>74</v>
      </c>
    </row>
    <row r="9704" spans="1:2" x14ac:dyDescent="0.2">
      <c r="A9704" s="117">
        <v>44401</v>
      </c>
      <c r="B9704" s="116">
        <f t="shared" si="154"/>
        <v>74</v>
      </c>
    </row>
    <row r="9705" spans="1:2" x14ac:dyDescent="0.2">
      <c r="A9705" s="117">
        <v>44402</v>
      </c>
      <c r="B9705" s="116">
        <f t="shared" si="154"/>
        <v>75</v>
      </c>
    </row>
    <row r="9706" spans="1:2" x14ac:dyDescent="0.2">
      <c r="A9706" s="117">
        <v>44403</v>
      </c>
      <c r="B9706" s="116">
        <f t="shared" si="154"/>
        <v>75</v>
      </c>
    </row>
    <row r="9707" spans="1:2" x14ac:dyDescent="0.2">
      <c r="A9707" s="117">
        <v>44404</v>
      </c>
      <c r="B9707" s="116">
        <f t="shared" si="154"/>
        <v>75</v>
      </c>
    </row>
    <row r="9708" spans="1:2" x14ac:dyDescent="0.2">
      <c r="A9708" s="117">
        <v>44405</v>
      </c>
      <c r="B9708" s="116">
        <f t="shared" si="154"/>
        <v>75</v>
      </c>
    </row>
    <row r="9709" spans="1:2" x14ac:dyDescent="0.2">
      <c r="A9709" s="117">
        <v>44406</v>
      </c>
      <c r="B9709" s="116">
        <f t="shared" si="154"/>
        <v>75</v>
      </c>
    </row>
    <row r="9710" spans="1:2" x14ac:dyDescent="0.2">
      <c r="A9710" s="117">
        <v>44407</v>
      </c>
      <c r="B9710" s="116">
        <f t="shared" si="154"/>
        <v>75</v>
      </c>
    </row>
    <row r="9711" spans="1:2" x14ac:dyDescent="0.2">
      <c r="A9711" s="117">
        <v>44408</v>
      </c>
      <c r="B9711" s="116">
        <f t="shared" si="154"/>
        <v>75</v>
      </c>
    </row>
    <row r="9712" spans="1:2" x14ac:dyDescent="0.2">
      <c r="A9712" s="117">
        <v>44409</v>
      </c>
      <c r="B9712" s="116">
        <f t="shared" si="154"/>
        <v>81</v>
      </c>
    </row>
    <row r="9713" spans="1:2" x14ac:dyDescent="0.2">
      <c r="A9713" s="117">
        <v>44410</v>
      </c>
      <c r="B9713" s="116">
        <f t="shared" si="154"/>
        <v>81</v>
      </c>
    </row>
    <row r="9714" spans="1:2" x14ac:dyDescent="0.2">
      <c r="A9714" s="117">
        <v>44411</v>
      </c>
      <c r="B9714" s="116">
        <f t="shared" si="154"/>
        <v>81</v>
      </c>
    </row>
    <row r="9715" spans="1:2" x14ac:dyDescent="0.2">
      <c r="A9715" s="117">
        <v>44412</v>
      </c>
      <c r="B9715" s="116">
        <f t="shared" si="154"/>
        <v>81</v>
      </c>
    </row>
    <row r="9716" spans="1:2" x14ac:dyDescent="0.2">
      <c r="A9716" s="117">
        <v>44413</v>
      </c>
      <c r="B9716" s="116">
        <f t="shared" si="154"/>
        <v>81</v>
      </c>
    </row>
    <row r="9717" spans="1:2" x14ac:dyDescent="0.2">
      <c r="A9717" s="117">
        <v>44414</v>
      </c>
      <c r="B9717" s="116">
        <f t="shared" si="154"/>
        <v>81</v>
      </c>
    </row>
    <row r="9718" spans="1:2" x14ac:dyDescent="0.2">
      <c r="A9718" s="117">
        <v>44415</v>
      </c>
      <c r="B9718" s="116">
        <f t="shared" si="154"/>
        <v>81</v>
      </c>
    </row>
    <row r="9719" spans="1:2" x14ac:dyDescent="0.2">
      <c r="A9719" s="117">
        <v>44416</v>
      </c>
      <c r="B9719" s="116">
        <f t="shared" si="154"/>
        <v>82</v>
      </c>
    </row>
    <row r="9720" spans="1:2" x14ac:dyDescent="0.2">
      <c r="A9720" s="117">
        <v>44417</v>
      </c>
      <c r="B9720" s="116">
        <f t="shared" si="154"/>
        <v>82</v>
      </c>
    </row>
    <row r="9721" spans="1:2" x14ac:dyDescent="0.2">
      <c r="A9721" s="117">
        <v>44418</v>
      </c>
      <c r="B9721" s="116">
        <f t="shared" si="154"/>
        <v>82</v>
      </c>
    </row>
    <row r="9722" spans="1:2" x14ac:dyDescent="0.2">
      <c r="A9722" s="117">
        <v>44419</v>
      </c>
      <c r="B9722" s="116">
        <f t="shared" si="154"/>
        <v>82</v>
      </c>
    </row>
    <row r="9723" spans="1:2" x14ac:dyDescent="0.2">
      <c r="A9723" s="117">
        <v>44420</v>
      </c>
      <c r="B9723" s="116">
        <f t="shared" si="154"/>
        <v>82</v>
      </c>
    </row>
    <row r="9724" spans="1:2" x14ac:dyDescent="0.2">
      <c r="A9724" s="117">
        <v>44421</v>
      </c>
      <c r="B9724" s="116">
        <f t="shared" si="154"/>
        <v>82</v>
      </c>
    </row>
    <row r="9725" spans="1:2" x14ac:dyDescent="0.2">
      <c r="A9725" s="117">
        <v>44422</v>
      </c>
      <c r="B9725" s="116">
        <f t="shared" si="154"/>
        <v>82</v>
      </c>
    </row>
    <row r="9726" spans="1:2" x14ac:dyDescent="0.2">
      <c r="A9726" s="117">
        <v>44423</v>
      </c>
      <c r="B9726" s="116">
        <f t="shared" si="154"/>
        <v>83</v>
      </c>
    </row>
    <row r="9727" spans="1:2" x14ac:dyDescent="0.2">
      <c r="A9727" s="117">
        <v>44424</v>
      </c>
      <c r="B9727" s="116">
        <f t="shared" si="154"/>
        <v>83</v>
      </c>
    </row>
    <row r="9728" spans="1:2" x14ac:dyDescent="0.2">
      <c r="A9728" s="117">
        <v>44425</v>
      </c>
      <c r="B9728" s="116">
        <f t="shared" si="154"/>
        <v>83</v>
      </c>
    </row>
    <row r="9729" spans="1:2" x14ac:dyDescent="0.2">
      <c r="A9729" s="117">
        <v>44426</v>
      </c>
      <c r="B9729" s="116">
        <f t="shared" ref="B9729:B9792" si="155">VLOOKUP(WEEKNUM(A9729),$D$4:$E$59,2)</f>
        <v>83</v>
      </c>
    </row>
    <row r="9730" spans="1:2" x14ac:dyDescent="0.2">
      <c r="A9730" s="117">
        <v>44427</v>
      </c>
      <c r="B9730" s="116">
        <f t="shared" si="155"/>
        <v>83</v>
      </c>
    </row>
    <row r="9731" spans="1:2" x14ac:dyDescent="0.2">
      <c r="A9731" s="117">
        <v>44428</v>
      </c>
      <c r="B9731" s="116">
        <f t="shared" si="155"/>
        <v>83</v>
      </c>
    </row>
    <row r="9732" spans="1:2" x14ac:dyDescent="0.2">
      <c r="A9732" s="117">
        <v>44429</v>
      </c>
      <c r="B9732" s="116">
        <f t="shared" si="155"/>
        <v>83</v>
      </c>
    </row>
    <row r="9733" spans="1:2" x14ac:dyDescent="0.2">
      <c r="A9733" s="117">
        <v>44430</v>
      </c>
      <c r="B9733" s="116">
        <f t="shared" si="155"/>
        <v>84</v>
      </c>
    </row>
    <row r="9734" spans="1:2" x14ac:dyDescent="0.2">
      <c r="A9734" s="117">
        <v>44431</v>
      </c>
      <c r="B9734" s="116">
        <f t="shared" si="155"/>
        <v>84</v>
      </c>
    </row>
    <row r="9735" spans="1:2" x14ac:dyDescent="0.2">
      <c r="A9735" s="117">
        <v>44432</v>
      </c>
      <c r="B9735" s="116">
        <f t="shared" si="155"/>
        <v>84</v>
      </c>
    </row>
    <row r="9736" spans="1:2" x14ac:dyDescent="0.2">
      <c r="A9736" s="117">
        <v>44433</v>
      </c>
      <c r="B9736" s="116">
        <f t="shared" si="155"/>
        <v>84</v>
      </c>
    </row>
    <row r="9737" spans="1:2" x14ac:dyDescent="0.2">
      <c r="A9737" s="117">
        <v>44434</v>
      </c>
      <c r="B9737" s="116">
        <f t="shared" si="155"/>
        <v>84</v>
      </c>
    </row>
    <row r="9738" spans="1:2" x14ac:dyDescent="0.2">
      <c r="A9738" s="117">
        <v>44435</v>
      </c>
      <c r="B9738" s="116">
        <f t="shared" si="155"/>
        <v>84</v>
      </c>
    </row>
    <row r="9739" spans="1:2" x14ac:dyDescent="0.2">
      <c r="A9739" s="117">
        <v>44436</v>
      </c>
      <c r="B9739" s="116">
        <f t="shared" si="155"/>
        <v>84</v>
      </c>
    </row>
    <row r="9740" spans="1:2" x14ac:dyDescent="0.2">
      <c r="A9740" s="117">
        <v>44437</v>
      </c>
      <c r="B9740" s="116">
        <f t="shared" si="155"/>
        <v>91</v>
      </c>
    </row>
    <row r="9741" spans="1:2" x14ac:dyDescent="0.2">
      <c r="A9741" s="117">
        <v>44438</v>
      </c>
      <c r="B9741" s="116">
        <f t="shared" si="155"/>
        <v>91</v>
      </c>
    </row>
    <row r="9742" spans="1:2" x14ac:dyDescent="0.2">
      <c r="A9742" s="117">
        <v>44439</v>
      </c>
      <c r="B9742" s="116">
        <f t="shared" si="155"/>
        <v>91</v>
      </c>
    </row>
    <row r="9743" spans="1:2" x14ac:dyDescent="0.2">
      <c r="A9743" s="117">
        <v>44440</v>
      </c>
      <c r="B9743" s="116">
        <f t="shared" si="155"/>
        <v>91</v>
      </c>
    </row>
    <row r="9744" spans="1:2" x14ac:dyDescent="0.2">
      <c r="A9744" s="117">
        <v>44441</v>
      </c>
      <c r="B9744" s="116">
        <f t="shared" si="155"/>
        <v>91</v>
      </c>
    </row>
    <row r="9745" spans="1:2" x14ac:dyDescent="0.2">
      <c r="A9745" s="117">
        <v>44442</v>
      </c>
      <c r="B9745" s="116">
        <f t="shared" si="155"/>
        <v>91</v>
      </c>
    </row>
    <row r="9746" spans="1:2" x14ac:dyDescent="0.2">
      <c r="A9746" s="117">
        <v>44443</v>
      </c>
      <c r="B9746" s="116">
        <f t="shared" si="155"/>
        <v>91</v>
      </c>
    </row>
    <row r="9747" spans="1:2" x14ac:dyDescent="0.2">
      <c r="A9747" s="117">
        <v>44444</v>
      </c>
      <c r="B9747" s="116">
        <f t="shared" si="155"/>
        <v>92</v>
      </c>
    </row>
    <row r="9748" spans="1:2" x14ac:dyDescent="0.2">
      <c r="A9748" s="117">
        <v>44445</v>
      </c>
      <c r="B9748" s="116">
        <f t="shared" si="155"/>
        <v>92</v>
      </c>
    </row>
    <row r="9749" spans="1:2" x14ac:dyDescent="0.2">
      <c r="A9749" s="117">
        <v>44446</v>
      </c>
      <c r="B9749" s="116">
        <f t="shared" si="155"/>
        <v>92</v>
      </c>
    </row>
    <row r="9750" spans="1:2" x14ac:dyDescent="0.2">
      <c r="A9750" s="117">
        <v>44447</v>
      </c>
      <c r="B9750" s="116">
        <f t="shared" si="155"/>
        <v>92</v>
      </c>
    </row>
    <row r="9751" spans="1:2" x14ac:dyDescent="0.2">
      <c r="A9751" s="117">
        <v>44448</v>
      </c>
      <c r="B9751" s="116">
        <f t="shared" si="155"/>
        <v>92</v>
      </c>
    </row>
    <row r="9752" spans="1:2" x14ac:dyDescent="0.2">
      <c r="A9752" s="117">
        <v>44449</v>
      </c>
      <c r="B9752" s="116">
        <f t="shared" si="155"/>
        <v>92</v>
      </c>
    </row>
    <row r="9753" spans="1:2" x14ac:dyDescent="0.2">
      <c r="A9753" s="117">
        <v>44450</v>
      </c>
      <c r="B9753" s="116">
        <f t="shared" si="155"/>
        <v>92</v>
      </c>
    </row>
    <row r="9754" spans="1:2" x14ac:dyDescent="0.2">
      <c r="A9754" s="117">
        <v>44451</v>
      </c>
      <c r="B9754" s="116">
        <f t="shared" si="155"/>
        <v>93</v>
      </c>
    </row>
    <row r="9755" spans="1:2" x14ac:dyDescent="0.2">
      <c r="A9755" s="117">
        <v>44452</v>
      </c>
      <c r="B9755" s="116">
        <f t="shared" si="155"/>
        <v>93</v>
      </c>
    </row>
    <row r="9756" spans="1:2" x14ac:dyDescent="0.2">
      <c r="A9756" s="117">
        <v>44453</v>
      </c>
      <c r="B9756" s="116">
        <f t="shared" si="155"/>
        <v>93</v>
      </c>
    </row>
    <row r="9757" spans="1:2" x14ac:dyDescent="0.2">
      <c r="A9757" s="117">
        <v>44454</v>
      </c>
      <c r="B9757" s="116">
        <f t="shared" si="155"/>
        <v>93</v>
      </c>
    </row>
    <row r="9758" spans="1:2" x14ac:dyDescent="0.2">
      <c r="A9758" s="117">
        <v>44455</v>
      </c>
      <c r="B9758" s="116">
        <f t="shared" si="155"/>
        <v>93</v>
      </c>
    </row>
    <row r="9759" spans="1:2" x14ac:dyDescent="0.2">
      <c r="A9759" s="117">
        <v>44456</v>
      </c>
      <c r="B9759" s="116">
        <f t="shared" si="155"/>
        <v>93</v>
      </c>
    </row>
    <row r="9760" spans="1:2" x14ac:dyDescent="0.2">
      <c r="A9760" s="117">
        <v>44457</v>
      </c>
      <c r="B9760" s="116">
        <f t="shared" si="155"/>
        <v>93</v>
      </c>
    </row>
    <row r="9761" spans="1:2" x14ac:dyDescent="0.2">
      <c r="A9761" s="117">
        <v>44458</v>
      </c>
      <c r="B9761" s="116">
        <f t="shared" si="155"/>
        <v>94</v>
      </c>
    </row>
    <row r="9762" spans="1:2" x14ac:dyDescent="0.2">
      <c r="A9762" s="117">
        <v>44459</v>
      </c>
      <c r="B9762" s="116">
        <f t="shared" si="155"/>
        <v>94</v>
      </c>
    </row>
    <row r="9763" spans="1:2" x14ac:dyDescent="0.2">
      <c r="A9763" s="117">
        <v>44460</v>
      </c>
      <c r="B9763" s="116">
        <f t="shared" si="155"/>
        <v>94</v>
      </c>
    </row>
    <row r="9764" spans="1:2" x14ac:dyDescent="0.2">
      <c r="A9764" s="117">
        <v>44461</v>
      </c>
      <c r="B9764" s="116">
        <f t="shared" si="155"/>
        <v>94</v>
      </c>
    </row>
    <row r="9765" spans="1:2" x14ac:dyDescent="0.2">
      <c r="A9765" s="117">
        <v>44462</v>
      </c>
      <c r="B9765" s="116">
        <f t="shared" si="155"/>
        <v>94</v>
      </c>
    </row>
    <row r="9766" spans="1:2" x14ac:dyDescent="0.2">
      <c r="A9766" s="117">
        <v>44463</v>
      </c>
      <c r="B9766" s="116">
        <f t="shared" si="155"/>
        <v>94</v>
      </c>
    </row>
    <row r="9767" spans="1:2" x14ac:dyDescent="0.2">
      <c r="A9767" s="117">
        <v>44464</v>
      </c>
      <c r="B9767" s="116">
        <f t="shared" si="155"/>
        <v>94</v>
      </c>
    </row>
    <row r="9768" spans="1:2" x14ac:dyDescent="0.2">
      <c r="A9768" s="117">
        <v>44465</v>
      </c>
      <c r="B9768" s="116">
        <f t="shared" si="155"/>
        <v>101</v>
      </c>
    </row>
    <row r="9769" spans="1:2" x14ac:dyDescent="0.2">
      <c r="A9769" s="117">
        <v>44466</v>
      </c>
      <c r="B9769" s="116">
        <f t="shared" si="155"/>
        <v>101</v>
      </c>
    </row>
    <row r="9770" spans="1:2" x14ac:dyDescent="0.2">
      <c r="A9770" s="117">
        <v>44467</v>
      </c>
      <c r="B9770" s="116">
        <f t="shared" si="155"/>
        <v>101</v>
      </c>
    </row>
    <row r="9771" spans="1:2" x14ac:dyDescent="0.2">
      <c r="A9771" s="117">
        <v>44468</v>
      </c>
      <c r="B9771" s="116">
        <f t="shared" si="155"/>
        <v>101</v>
      </c>
    </row>
    <row r="9772" spans="1:2" x14ac:dyDescent="0.2">
      <c r="A9772" s="117">
        <v>44469</v>
      </c>
      <c r="B9772" s="116">
        <f t="shared" si="155"/>
        <v>101</v>
      </c>
    </row>
    <row r="9773" spans="1:2" x14ac:dyDescent="0.2">
      <c r="A9773" s="117">
        <v>44470</v>
      </c>
      <c r="B9773" s="116">
        <f t="shared" si="155"/>
        <v>101</v>
      </c>
    </row>
    <row r="9774" spans="1:2" x14ac:dyDescent="0.2">
      <c r="A9774" s="117">
        <v>44471</v>
      </c>
      <c r="B9774" s="116">
        <f t="shared" si="155"/>
        <v>101</v>
      </c>
    </row>
    <row r="9775" spans="1:2" x14ac:dyDescent="0.2">
      <c r="A9775" s="117">
        <v>44472</v>
      </c>
      <c r="B9775" s="116">
        <f t="shared" si="155"/>
        <v>102</v>
      </c>
    </row>
    <row r="9776" spans="1:2" x14ac:dyDescent="0.2">
      <c r="A9776" s="117">
        <v>44473</v>
      </c>
      <c r="B9776" s="116">
        <f t="shared" si="155"/>
        <v>102</v>
      </c>
    </row>
    <row r="9777" spans="1:2" x14ac:dyDescent="0.2">
      <c r="A9777" s="117">
        <v>44474</v>
      </c>
      <c r="B9777" s="116">
        <f t="shared" si="155"/>
        <v>102</v>
      </c>
    </row>
    <row r="9778" spans="1:2" x14ac:dyDescent="0.2">
      <c r="A9778" s="117">
        <v>44475</v>
      </c>
      <c r="B9778" s="116">
        <f t="shared" si="155"/>
        <v>102</v>
      </c>
    </row>
    <row r="9779" spans="1:2" x14ac:dyDescent="0.2">
      <c r="A9779" s="117">
        <v>44476</v>
      </c>
      <c r="B9779" s="116">
        <f t="shared" si="155"/>
        <v>102</v>
      </c>
    </row>
    <row r="9780" spans="1:2" x14ac:dyDescent="0.2">
      <c r="A9780" s="117">
        <v>44477</v>
      </c>
      <c r="B9780" s="116">
        <f t="shared" si="155"/>
        <v>102</v>
      </c>
    </row>
    <row r="9781" spans="1:2" x14ac:dyDescent="0.2">
      <c r="A9781" s="117">
        <v>44478</v>
      </c>
      <c r="B9781" s="116">
        <f t="shared" si="155"/>
        <v>102</v>
      </c>
    </row>
    <row r="9782" spans="1:2" x14ac:dyDescent="0.2">
      <c r="A9782" s="117">
        <v>44479</v>
      </c>
      <c r="B9782" s="116">
        <f t="shared" si="155"/>
        <v>103</v>
      </c>
    </row>
    <row r="9783" spans="1:2" x14ac:dyDescent="0.2">
      <c r="A9783" s="117">
        <v>44480</v>
      </c>
      <c r="B9783" s="116">
        <f t="shared" si="155"/>
        <v>103</v>
      </c>
    </row>
    <row r="9784" spans="1:2" x14ac:dyDescent="0.2">
      <c r="A9784" s="117">
        <v>44481</v>
      </c>
      <c r="B9784" s="116">
        <f t="shared" si="155"/>
        <v>103</v>
      </c>
    </row>
    <row r="9785" spans="1:2" x14ac:dyDescent="0.2">
      <c r="A9785" s="117">
        <v>44482</v>
      </c>
      <c r="B9785" s="116">
        <f t="shared" si="155"/>
        <v>103</v>
      </c>
    </row>
    <row r="9786" spans="1:2" x14ac:dyDescent="0.2">
      <c r="A9786" s="117">
        <v>44483</v>
      </c>
      <c r="B9786" s="116">
        <f t="shared" si="155"/>
        <v>103</v>
      </c>
    </row>
    <row r="9787" spans="1:2" x14ac:dyDescent="0.2">
      <c r="A9787" s="117">
        <v>44484</v>
      </c>
      <c r="B9787" s="116">
        <f t="shared" si="155"/>
        <v>103</v>
      </c>
    </row>
    <row r="9788" spans="1:2" x14ac:dyDescent="0.2">
      <c r="A9788" s="117">
        <v>44485</v>
      </c>
      <c r="B9788" s="116">
        <f t="shared" si="155"/>
        <v>103</v>
      </c>
    </row>
    <row r="9789" spans="1:2" x14ac:dyDescent="0.2">
      <c r="A9789" s="117">
        <v>44486</v>
      </c>
      <c r="B9789" s="116">
        <f t="shared" si="155"/>
        <v>104</v>
      </c>
    </row>
    <row r="9790" spans="1:2" x14ac:dyDescent="0.2">
      <c r="A9790" s="117">
        <v>44487</v>
      </c>
      <c r="B9790" s="116">
        <f t="shared" si="155"/>
        <v>104</v>
      </c>
    </row>
    <row r="9791" spans="1:2" x14ac:dyDescent="0.2">
      <c r="A9791" s="117">
        <v>44488</v>
      </c>
      <c r="B9791" s="116">
        <f t="shared" si="155"/>
        <v>104</v>
      </c>
    </row>
    <row r="9792" spans="1:2" x14ac:dyDescent="0.2">
      <c r="A9792" s="117">
        <v>44489</v>
      </c>
      <c r="B9792" s="116">
        <f t="shared" si="155"/>
        <v>104</v>
      </c>
    </row>
    <row r="9793" spans="1:2" x14ac:dyDescent="0.2">
      <c r="A9793" s="117">
        <v>44490</v>
      </c>
      <c r="B9793" s="116">
        <f t="shared" ref="B9793:B9856" si="156">VLOOKUP(WEEKNUM(A9793),$D$4:$E$59,2)</f>
        <v>104</v>
      </c>
    </row>
    <row r="9794" spans="1:2" x14ac:dyDescent="0.2">
      <c r="A9794" s="117">
        <v>44491</v>
      </c>
      <c r="B9794" s="116">
        <f t="shared" si="156"/>
        <v>104</v>
      </c>
    </row>
    <row r="9795" spans="1:2" x14ac:dyDescent="0.2">
      <c r="A9795" s="117">
        <v>44492</v>
      </c>
      <c r="B9795" s="116">
        <f t="shared" si="156"/>
        <v>104</v>
      </c>
    </row>
    <row r="9796" spans="1:2" x14ac:dyDescent="0.2">
      <c r="A9796" s="117">
        <v>44493</v>
      </c>
      <c r="B9796" s="116">
        <f t="shared" si="156"/>
        <v>105</v>
      </c>
    </row>
    <row r="9797" spans="1:2" x14ac:dyDescent="0.2">
      <c r="A9797" s="117">
        <v>44494</v>
      </c>
      <c r="B9797" s="116">
        <f t="shared" si="156"/>
        <v>105</v>
      </c>
    </row>
    <row r="9798" spans="1:2" x14ac:dyDescent="0.2">
      <c r="A9798" s="117">
        <v>44495</v>
      </c>
      <c r="B9798" s="116">
        <f t="shared" si="156"/>
        <v>105</v>
      </c>
    </row>
    <row r="9799" spans="1:2" x14ac:dyDescent="0.2">
      <c r="A9799" s="117">
        <v>44496</v>
      </c>
      <c r="B9799" s="116">
        <f t="shared" si="156"/>
        <v>105</v>
      </c>
    </row>
    <row r="9800" spans="1:2" x14ac:dyDescent="0.2">
      <c r="A9800" s="117">
        <v>44497</v>
      </c>
      <c r="B9800" s="116">
        <f t="shared" si="156"/>
        <v>105</v>
      </c>
    </row>
    <row r="9801" spans="1:2" x14ac:dyDescent="0.2">
      <c r="A9801" s="117">
        <v>44498</v>
      </c>
      <c r="B9801" s="116">
        <f t="shared" si="156"/>
        <v>105</v>
      </c>
    </row>
    <row r="9802" spans="1:2" x14ac:dyDescent="0.2">
      <c r="A9802" s="117">
        <v>44499</v>
      </c>
      <c r="B9802" s="116">
        <f t="shared" si="156"/>
        <v>105</v>
      </c>
    </row>
    <row r="9803" spans="1:2" x14ac:dyDescent="0.2">
      <c r="A9803" s="117">
        <v>44500</v>
      </c>
      <c r="B9803" s="116">
        <f t="shared" si="156"/>
        <v>111</v>
      </c>
    </row>
    <row r="9804" spans="1:2" x14ac:dyDescent="0.2">
      <c r="A9804" s="117">
        <v>44501</v>
      </c>
      <c r="B9804" s="116">
        <f t="shared" si="156"/>
        <v>111</v>
      </c>
    </row>
    <row r="9805" spans="1:2" x14ac:dyDescent="0.2">
      <c r="A9805" s="117">
        <v>44502</v>
      </c>
      <c r="B9805" s="116">
        <f t="shared" si="156"/>
        <v>111</v>
      </c>
    </row>
    <row r="9806" spans="1:2" x14ac:dyDescent="0.2">
      <c r="A9806" s="117">
        <v>44503</v>
      </c>
      <c r="B9806" s="116">
        <f t="shared" si="156"/>
        <v>111</v>
      </c>
    </row>
    <row r="9807" spans="1:2" x14ac:dyDescent="0.2">
      <c r="A9807" s="117">
        <v>44504</v>
      </c>
      <c r="B9807" s="116">
        <f t="shared" si="156"/>
        <v>111</v>
      </c>
    </row>
    <row r="9808" spans="1:2" x14ac:dyDescent="0.2">
      <c r="A9808" s="117">
        <v>44505</v>
      </c>
      <c r="B9808" s="116">
        <f t="shared" si="156"/>
        <v>111</v>
      </c>
    </row>
    <row r="9809" spans="1:2" x14ac:dyDescent="0.2">
      <c r="A9809" s="117">
        <v>44506</v>
      </c>
      <c r="B9809" s="116">
        <f t="shared" si="156"/>
        <v>111</v>
      </c>
    </row>
    <row r="9810" spans="1:2" x14ac:dyDescent="0.2">
      <c r="A9810" s="117">
        <v>44507</v>
      </c>
      <c r="B9810" s="116">
        <f t="shared" si="156"/>
        <v>112</v>
      </c>
    </row>
    <row r="9811" spans="1:2" x14ac:dyDescent="0.2">
      <c r="A9811" s="117">
        <v>44508</v>
      </c>
      <c r="B9811" s="116">
        <f t="shared" si="156"/>
        <v>112</v>
      </c>
    </row>
    <row r="9812" spans="1:2" x14ac:dyDescent="0.2">
      <c r="A9812" s="117">
        <v>44509</v>
      </c>
      <c r="B9812" s="116">
        <f t="shared" si="156"/>
        <v>112</v>
      </c>
    </row>
    <row r="9813" spans="1:2" x14ac:dyDescent="0.2">
      <c r="A9813" s="117">
        <v>44510</v>
      </c>
      <c r="B9813" s="116">
        <f t="shared" si="156"/>
        <v>112</v>
      </c>
    </row>
    <row r="9814" spans="1:2" x14ac:dyDescent="0.2">
      <c r="A9814" s="117">
        <v>44511</v>
      </c>
      <c r="B9814" s="116">
        <f t="shared" si="156"/>
        <v>112</v>
      </c>
    </row>
    <row r="9815" spans="1:2" x14ac:dyDescent="0.2">
      <c r="A9815" s="117">
        <v>44512</v>
      </c>
      <c r="B9815" s="116">
        <f t="shared" si="156"/>
        <v>112</v>
      </c>
    </row>
    <row r="9816" spans="1:2" x14ac:dyDescent="0.2">
      <c r="A9816" s="117">
        <v>44513</v>
      </c>
      <c r="B9816" s="116">
        <f t="shared" si="156"/>
        <v>112</v>
      </c>
    </row>
    <row r="9817" spans="1:2" x14ac:dyDescent="0.2">
      <c r="A9817" s="117">
        <v>44514</v>
      </c>
      <c r="B9817" s="116">
        <f t="shared" si="156"/>
        <v>113</v>
      </c>
    </row>
    <row r="9818" spans="1:2" x14ac:dyDescent="0.2">
      <c r="A9818" s="117">
        <v>44515</v>
      </c>
      <c r="B9818" s="116">
        <f t="shared" si="156"/>
        <v>113</v>
      </c>
    </row>
    <row r="9819" spans="1:2" x14ac:dyDescent="0.2">
      <c r="A9819" s="117">
        <v>44516</v>
      </c>
      <c r="B9819" s="116">
        <f t="shared" si="156"/>
        <v>113</v>
      </c>
    </row>
    <row r="9820" spans="1:2" x14ac:dyDescent="0.2">
      <c r="A9820" s="117">
        <v>44517</v>
      </c>
      <c r="B9820" s="116">
        <f t="shared" si="156"/>
        <v>113</v>
      </c>
    </row>
    <row r="9821" spans="1:2" x14ac:dyDescent="0.2">
      <c r="A9821" s="117">
        <v>44518</v>
      </c>
      <c r="B9821" s="116">
        <f t="shared" si="156"/>
        <v>113</v>
      </c>
    </row>
    <row r="9822" spans="1:2" x14ac:dyDescent="0.2">
      <c r="A9822" s="117">
        <v>44519</v>
      </c>
      <c r="B9822" s="116">
        <f t="shared" si="156"/>
        <v>113</v>
      </c>
    </row>
    <row r="9823" spans="1:2" x14ac:dyDescent="0.2">
      <c r="A9823" s="117">
        <v>44520</v>
      </c>
      <c r="B9823" s="116">
        <f t="shared" si="156"/>
        <v>113</v>
      </c>
    </row>
    <row r="9824" spans="1:2" x14ac:dyDescent="0.2">
      <c r="A9824" s="117">
        <v>44521</v>
      </c>
      <c r="B9824" s="116">
        <f t="shared" si="156"/>
        <v>114</v>
      </c>
    </row>
    <row r="9825" spans="1:2" x14ac:dyDescent="0.2">
      <c r="A9825" s="117">
        <v>44522</v>
      </c>
      <c r="B9825" s="116">
        <f t="shared" si="156"/>
        <v>114</v>
      </c>
    </row>
    <row r="9826" spans="1:2" x14ac:dyDescent="0.2">
      <c r="A9826" s="117">
        <v>44523</v>
      </c>
      <c r="B9826" s="116">
        <f t="shared" si="156"/>
        <v>114</v>
      </c>
    </row>
    <row r="9827" spans="1:2" x14ac:dyDescent="0.2">
      <c r="A9827" s="117">
        <v>44524</v>
      </c>
      <c r="B9827" s="116">
        <f t="shared" si="156"/>
        <v>114</v>
      </c>
    </row>
    <row r="9828" spans="1:2" x14ac:dyDescent="0.2">
      <c r="A9828" s="117">
        <v>44525</v>
      </c>
      <c r="B9828" s="116">
        <f t="shared" si="156"/>
        <v>114</v>
      </c>
    </row>
    <row r="9829" spans="1:2" x14ac:dyDescent="0.2">
      <c r="A9829" s="117">
        <v>44526</v>
      </c>
      <c r="B9829" s="116">
        <f t="shared" si="156"/>
        <v>114</v>
      </c>
    </row>
    <row r="9830" spans="1:2" x14ac:dyDescent="0.2">
      <c r="A9830" s="117">
        <v>44527</v>
      </c>
      <c r="B9830" s="116">
        <f t="shared" si="156"/>
        <v>114</v>
      </c>
    </row>
    <row r="9831" spans="1:2" x14ac:dyDescent="0.2">
      <c r="A9831" s="117">
        <v>44528</v>
      </c>
      <c r="B9831" s="116">
        <f t="shared" si="156"/>
        <v>115</v>
      </c>
    </row>
    <row r="9832" spans="1:2" x14ac:dyDescent="0.2">
      <c r="A9832" s="117">
        <v>44529</v>
      </c>
      <c r="B9832" s="116">
        <f t="shared" si="156"/>
        <v>115</v>
      </c>
    </row>
    <row r="9833" spans="1:2" x14ac:dyDescent="0.2">
      <c r="A9833" s="117">
        <v>44530</v>
      </c>
      <c r="B9833" s="116">
        <f t="shared" si="156"/>
        <v>115</v>
      </c>
    </row>
    <row r="9834" spans="1:2" x14ac:dyDescent="0.2">
      <c r="A9834" s="117">
        <v>44531</v>
      </c>
      <c r="B9834" s="116">
        <f t="shared" si="156"/>
        <v>115</v>
      </c>
    </row>
    <row r="9835" spans="1:2" x14ac:dyDescent="0.2">
      <c r="A9835" s="117">
        <v>44532</v>
      </c>
      <c r="B9835" s="116">
        <f t="shared" si="156"/>
        <v>115</v>
      </c>
    </row>
    <row r="9836" spans="1:2" x14ac:dyDescent="0.2">
      <c r="A9836" s="117">
        <v>44533</v>
      </c>
      <c r="B9836" s="116">
        <f t="shared" si="156"/>
        <v>115</v>
      </c>
    </row>
    <row r="9837" spans="1:2" x14ac:dyDescent="0.2">
      <c r="A9837" s="117">
        <v>44534</v>
      </c>
      <c r="B9837" s="116">
        <f t="shared" si="156"/>
        <v>115</v>
      </c>
    </row>
    <row r="9838" spans="1:2" x14ac:dyDescent="0.2">
      <c r="A9838" s="117">
        <v>44535</v>
      </c>
      <c r="B9838" s="116">
        <f t="shared" si="156"/>
        <v>121</v>
      </c>
    </row>
    <row r="9839" spans="1:2" x14ac:dyDescent="0.2">
      <c r="A9839" s="117">
        <v>44536</v>
      </c>
      <c r="B9839" s="116">
        <f t="shared" si="156"/>
        <v>121</v>
      </c>
    </row>
    <row r="9840" spans="1:2" x14ac:dyDescent="0.2">
      <c r="A9840" s="117">
        <v>44537</v>
      </c>
      <c r="B9840" s="116">
        <f t="shared" si="156"/>
        <v>121</v>
      </c>
    </row>
    <row r="9841" spans="1:2" x14ac:dyDescent="0.2">
      <c r="A9841" s="117">
        <v>44538</v>
      </c>
      <c r="B9841" s="116">
        <f t="shared" si="156"/>
        <v>121</v>
      </c>
    </row>
    <row r="9842" spans="1:2" x14ac:dyDescent="0.2">
      <c r="A9842" s="117">
        <v>44539</v>
      </c>
      <c r="B9842" s="116">
        <f t="shared" si="156"/>
        <v>121</v>
      </c>
    </row>
    <row r="9843" spans="1:2" x14ac:dyDescent="0.2">
      <c r="A9843" s="117">
        <v>44540</v>
      </c>
      <c r="B9843" s="116">
        <f t="shared" si="156"/>
        <v>121</v>
      </c>
    </row>
    <row r="9844" spans="1:2" x14ac:dyDescent="0.2">
      <c r="A9844" s="117">
        <v>44541</v>
      </c>
      <c r="B9844" s="116">
        <f t="shared" si="156"/>
        <v>121</v>
      </c>
    </row>
    <row r="9845" spans="1:2" x14ac:dyDescent="0.2">
      <c r="A9845" s="117">
        <v>44542</v>
      </c>
      <c r="B9845" s="116">
        <f t="shared" si="156"/>
        <v>122</v>
      </c>
    </row>
    <row r="9846" spans="1:2" x14ac:dyDescent="0.2">
      <c r="A9846" s="117">
        <v>44543</v>
      </c>
      <c r="B9846" s="116">
        <f t="shared" si="156"/>
        <v>122</v>
      </c>
    </row>
    <row r="9847" spans="1:2" x14ac:dyDescent="0.2">
      <c r="A9847" s="117">
        <v>44544</v>
      </c>
      <c r="B9847" s="116">
        <f t="shared" si="156"/>
        <v>122</v>
      </c>
    </row>
    <row r="9848" spans="1:2" x14ac:dyDescent="0.2">
      <c r="A9848" s="117">
        <v>44545</v>
      </c>
      <c r="B9848" s="116">
        <f t="shared" si="156"/>
        <v>122</v>
      </c>
    </row>
    <row r="9849" spans="1:2" x14ac:dyDescent="0.2">
      <c r="A9849" s="117">
        <v>44546</v>
      </c>
      <c r="B9849" s="116">
        <f t="shared" si="156"/>
        <v>122</v>
      </c>
    </row>
    <row r="9850" spans="1:2" x14ac:dyDescent="0.2">
      <c r="A9850" s="117">
        <v>44547</v>
      </c>
      <c r="B9850" s="116">
        <f t="shared" si="156"/>
        <v>122</v>
      </c>
    </row>
    <row r="9851" spans="1:2" x14ac:dyDescent="0.2">
      <c r="A9851" s="117">
        <v>44548</v>
      </c>
      <c r="B9851" s="116">
        <f t="shared" si="156"/>
        <v>122</v>
      </c>
    </row>
    <row r="9852" spans="1:2" x14ac:dyDescent="0.2">
      <c r="A9852" s="117">
        <v>44549</v>
      </c>
      <c r="B9852" s="116">
        <f t="shared" si="156"/>
        <v>123</v>
      </c>
    </row>
    <row r="9853" spans="1:2" x14ac:dyDescent="0.2">
      <c r="A9853" s="117">
        <v>44550</v>
      </c>
      <c r="B9853" s="116">
        <f t="shared" si="156"/>
        <v>123</v>
      </c>
    </row>
    <row r="9854" spans="1:2" x14ac:dyDescent="0.2">
      <c r="A9854" s="117">
        <v>44551</v>
      </c>
      <c r="B9854" s="116">
        <f t="shared" si="156"/>
        <v>123</v>
      </c>
    </row>
    <row r="9855" spans="1:2" x14ac:dyDescent="0.2">
      <c r="A9855" s="117">
        <v>44552</v>
      </c>
      <c r="B9855" s="116">
        <f t="shared" si="156"/>
        <v>123</v>
      </c>
    </row>
    <row r="9856" spans="1:2" x14ac:dyDescent="0.2">
      <c r="A9856" s="117">
        <v>44553</v>
      </c>
      <c r="B9856" s="116">
        <f t="shared" si="156"/>
        <v>123</v>
      </c>
    </row>
    <row r="9857" spans="1:2" x14ac:dyDescent="0.2">
      <c r="A9857" s="117">
        <v>44554</v>
      </c>
      <c r="B9857" s="116">
        <f t="shared" ref="B9857:B9863" si="157">VLOOKUP(WEEKNUM(A9857),$D$4:$E$59,2)</f>
        <v>123</v>
      </c>
    </row>
    <row r="9858" spans="1:2" x14ac:dyDescent="0.2">
      <c r="A9858" s="117">
        <v>44555</v>
      </c>
      <c r="B9858" s="116">
        <f t="shared" si="157"/>
        <v>123</v>
      </c>
    </row>
    <row r="9859" spans="1:2" x14ac:dyDescent="0.2">
      <c r="A9859" s="117">
        <v>44556</v>
      </c>
      <c r="B9859" s="116">
        <f t="shared" si="157"/>
        <v>124</v>
      </c>
    </row>
    <row r="9860" spans="1:2" x14ac:dyDescent="0.2">
      <c r="A9860" s="117">
        <v>44557</v>
      </c>
      <c r="B9860" s="116">
        <f t="shared" si="157"/>
        <v>124</v>
      </c>
    </row>
    <row r="9861" spans="1:2" x14ac:dyDescent="0.2">
      <c r="A9861" s="117">
        <v>44558</v>
      </c>
      <c r="B9861" s="116">
        <f t="shared" si="157"/>
        <v>124</v>
      </c>
    </row>
    <row r="9862" spans="1:2" x14ac:dyDescent="0.2">
      <c r="A9862" s="117">
        <v>44559</v>
      </c>
      <c r="B9862" s="116">
        <f t="shared" si="157"/>
        <v>124</v>
      </c>
    </row>
    <row r="9863" spans="1:2" x14ac:dyDescent="0.2">
      <c r="A9863" s="117">
        <v>44560</v>
      </c>
      <c r="B9863" s="116">
        <f t="shared" si="157"/>
        <v>124</v>
      </c>
    </row>
    <row r="9864" spans="1:2" x14ac:dyDescent="0.2">
      <c r="A9864" s="117">
        <v>44561</v>
      </c>
      <c r="B9864" s="116">
        <f t="shared" ref="B9864:B9927" si="158">VLOOKUP(WEEKNUM(A9864),$D$4:$E$59,2)</f>
        <v>124</v>
      </c>
    </row>
    <row r="9865" spans="1:2" x14ac:dyDescent="0.2">
      <c r="A9865" s="117">
        <v>44562</v>
      </c>
      <c r="B9865" s="116">
        <f t="shared" si="158"/>
        <v>11</v>
      </c>
    </row>
    <row r="9866" spans="1:2" x14ac:dyDescent="0.2">
      <c r="A9866" s="117">
        <v>44563</v>
      </c>
      <c r="B9866" s="116">
        <f t="shared" si="158"/>
        <v>12</v>
      </c>
    </row>
    <row r="9867" spans="1:2" x14ac:dyDescent="0.2">
      <c r="A9867" s="117">
        <v>44564</v>
      </c>
      <c r="B9867" s="116">
        <f t="shared" si="158"/>
        <v>12</v>
      </c>
    </row>
    <row r="9868" spans="1:2" x14ac:dyDescent="0.2">
      <c r="A9868" s="117">
        <v>44565</v>
      </c>
      <c r="B9868" s="116">
        <f t="shared" si="158"/>
        <v>12</v>
      </c>
    </row>
    <row r="9869" spans="1:2" x14ac:dyDescent="0.2">
      <c r="A9869" s="117">
        <v>44566</v>
      </c>
      <c r="B9869" s="116">
        <f t="shared" si="158"/>
        <v>12</v>
      </c>
    </row>
    <row r="9870" spans="1:2" x14ac:dyDescent="0.2">
      <c r="A9870" s="117">
        <v>44567</v>
      </c>
      <c r="B9870" s="116">
        <f t="shared" si="158"/>
        <v>12</v>
      </c>
    </row>
    <row r="9871" spans="1:2" x14ac:dyDescent="0.2">
      <c r="A9871" s="117">
        <v>44568</v>
      </c>
      <c r="B9871" s="116">
        <f t="shared" si="158"/>
        <v>12</v>
      </c>
    </row>
    <row r="9872" spans="1:2" x14ac:dyDescent="0.2">
      <c r="A9872" s="117">
        <v>44569</v>
      </c>
      <c r="B9872" s="116">
        <f t="shared" si="158"/>
        <v>12</v>
      </c>
    </row>
    <row r="9873" spans="1:2" x14ac:dyDescent="0.2">
      <c r="A9873" s="117">
        <v>44570</v>
      </c>
      <c r="B9873" s="116">
        <f t="shared" si="158"/>
        <v>13</v>
      </c>
    </row>
    <row r="9874" spans="1:2" x14ac:dyDescent="0.2">
      <c r="A9874" s="117">
        <v>44571</v>
      </c>
      <c r="B9874" s="116">
        <f t="shared" si="158"/>
        <v>13</v>
      </c>
    </row>
    <row r="9875" spans="1:2" x14ac:dyDescent="0.2">
      <c r="A9875" s="117">
        <v>44572</v>
      </c>
      <c r="B9875" s="116">
        <f t="shared" si="158"/>
        <v>13</v>
      </c>
    </row>
    <row r="9876" spans="1:2" x14ac:dyDescent="0.2">
      <c r="A9876" s="117">
        <v>44573</v>
      </c>
      <c r="B9876" s="116">
        <f t="shared" si="158"/>
        <v>13</v>
      </c>
    </row>
    <row r="9877" spans="1:2" x14ac:dyDescent="0.2">
      <c r="A9877" s="117">
        <v>44574</v>
      </c>
      <c r="B9877" s="116">
        <f t="shared" si="158"/>
        <v>13</v>
      </c>
    </row>
    <row r="9878" spans="1:2" x14ac:dyDescent="0.2">
      <c r="A9878" s="117">
        <v>44575</v>
      </c>
      <c r="B9878" s="116">
        <f t="shared" si="158"/>
        <v>13</v>
      </c>
    </row>
    <row r="9879" spans="1:2" x14ac:dyDescent="0.2">
      <c r="A9879" s="117">
        <v>44576</v>
      </c>
      <c r="B9879" s="116">
        <f t="shared" si="158"/>
        <v>13</v>
      </c>
    </row>
    <row r="9880" spans="1:2" x14ac:dyDescent="0.2">
      <c r="A9880" s="117">
        <v>44577</v>
      </c>
      <c r="B9880" s="116">
        <f t="shared" si="158"/>
        <v>14</v>
      </c>
    </row>
    <row r="9881" spans="1:2" x14ac:dyDescent="0.2">
      <c r="A9881" s="117">
        <v>44578</v>
      </c>
      <c r="B9881" s="116">
        <f t="shared" si="158"/>
        <v>14</v>
      </c>
    </row>
    <row r="9882" spans="1:2" x14ac:dyDescent="0.2">
      <c r="A9882" s="117">
        <v>44579</v>
      </c>
      <c r="B9882" s="116">
        <f t="shared" si="158"/>
        <v>14</v>
      </c>
    </row>
    <row r="9883" spans="1:2" x14ac:dyDescent="0.2">
      <c r="A9883" s="117">
        <v>44580</v>
      </c>
      <c r="B9883" s="116">
        <f t="shared" si="158"/>
        <v>14</v>
      </c>
    </row>
    <row r="9884" spans="1:2" x14ac:dyDescent="0.2">
      <c r="A9884" s="117">
        <v>44581</v>
      </c>
      <c r="B9884" s="116">
        <f t="shared" si="158"/>
        <v>14</v>
      </c>
    </row>
    <row r="9885" spans="1:2" x14ac:dyDescent="0.2">
      <c r="A9885" s="117">
        <v>44582</v>
      </c>
      <c r="B9885" s="116">
        <f t="shared" si="158"/>
        <v>14</v>
      </c>
    </row>
    <row r="9886" spans="1:2" x14ac:dyDescent="0.2">
      <c r="A9886" s="117">
        <v>44583</v>
      </c>
      <c r="B9886" s="116">
        <f t="shared" si="158"/>
        <v>14</v>
      </c>
    </row>
    <row r="9887" spans="1:2" x14ac:dyDescent="0.2">
      <c r="A9887" s="117">
        <v>44584</v>
      </c>
      <c r="B9887" s="116">
        <f t="shared" si="158"/>
        <v>15</v>
      </c>
    </row>
    <row r="9888" spans="1:2" x14ac:dyDescent="0.2">
      <c r="A9888" s="117">
        <v>44585</v>
      </c>
      <c r="B9888" s="116">
        <f t="shared" si="158"/>
        <v>15</v>
      </c>
    </row>
    <row r="9889" spans="1:2" x14ac:dyDescent="0.2">
      <c r="A9889" s="117">
        <v>44586</v>
      </c>
      <c r="B9889" s="116">
        <f t="shared" si="158"/>
        <v>15</v>
      </c>
    </row>
    <row r="9890" spans="1:2" x14ac:dyDescent="0.2">
      <c r="A9890" s="117">
        <v>44587</v>
      </c>
      <c r="B9890" s="116">
        <f t="shared" si="158"/>
        <v>15</v>
      </c>
    </row>
    <row r="9891" spans="1:2" x14ac:dyDescent="0.2">
      <c r="A9891" s="117">
        <v>44588</v>
      </c>
      <c r="B9891" s="116">
        <f t="shared" si="158"/>
        <v>15</v>
      </c>
    </row>
    <row r="9892" spans="1:2" x14ac:dyDescent="0.2">
      <c r="A9892" s="117">
        <v>44589</v>
      </c>
      <c r="B9892" s="116">
        <f t="shared" si="158"/>
        <v>15</v>
      </c>
    </row>
    <row r="9893" spans="1:2" x14ac:dyDescent="0.2">
      <c r="A9893" s="117">
        <v>44590</v>
      </c>
      <c r="B9893" s="116">
        <f t="shared" si="158"/>
        <v>15</v>
      </c>
    </row>
    <row r="9894" spans="1:2" x14ac:dyDescent="0.2">
      <c r="A9894" s="117">
        <v>44591</v>
      </c>
      <c r="B9894" s="116">
        <f t="shared" si="158"/>
        <v>21</v>
      </c>
    </row>
    <row r="9895" spans="1:2" x14ac:dyDescent="0.2">
      <c r="A9895" s="117">
        <v>44592</v>
      </c>
      <c r="B9895" s="116">
        <f t="shared" si="158"/>
        <v>21</v>
      </c>
    </row>
    <row r="9896" spans="1:2" x14ac:dyDescent="0.2">
      <c r="A9896" s="117">
        <v>44593</v>
      </c>
      <c r="B9896" s="116">
        <f t="shared" si="158"/>
        <v>21</v>
      </c>
    </row>
    <row r="9897" spans="1:2" x14ac:dyDescent="0.2">
      <c r="A9897" s="117">
        <v>44594</v>
      </c>
      <c r="B9897" s="116">
        <f t="shared" si="158"/>
        <v>21</v>
      </c>
    </row>
    <row r="9898" spans="1:2" x14ac:dyDescent="0.2">
      <c r="A9898" s="117">
        <v>44595</v>
      </c>
      <c r="B9898" s="116">
        <f t="shared" si="158"/>
        <v>21</v>
      </c>
    </row>
    <row r="9899" spans="1:2" x14ac:dyDescent="0.2">
      <c r="A9899" s="117">
        <v>44596</v>
      </c>
      <c r="B9899" s="116">
        <f t="shared" si="158"/>
        <v>21</v>
      </c>
    </row>
    <row r="9900" spans="1:2" x14ac:dyDescent="0.2">
      <c r="A9900" s="117">
        <v>44597</v>
      </c>
      <c r="B9900" s="116">
        <f t="shared" si="158"/>
        <v>21</v>
      </c>
    </row>
    <row r="9901" spans="1:2" x14ac:dyDescent="0.2">
      <c r="A9901" s="117">
        <v>44598</v>
      </c>
      <c r="B9901" s="116">
        <f t="shared" si="158"/>
        <v>22</v>
      </c>
    </row>
    <row r="9902" spans="1:2" x14ac:dyDescent="0.2">
      <c r="A9902" s="117">
        <v>44599</v>
      </c>
      <c r="B9902" s="116">
        <f t="shared" si="158"/>
        <v>22</v>
      </c>
    </row>
    <row r="9903" spans="1:2" x14ac:dyDescent="0.2">
      <c r="A9903" s="117">
        <v>44600</v>
      </c>
      <c r="B9903" s="116">
        <f t="shared" si="158"/>
        <v>22</v>
      </c>
    </row>
    <row r="9904" spans="1:2" x14ac:dyDescent="0.2">
      <c r="A9904" s="117">
        <v>44601</v>
      </c>
      <c r="B9904" s="116">
        <f t="shared" si="158"/>
        <v>22</v>
      </c>
    </row>
    <row r="9905" spans="1:2" x14ac:dyDescent="0.2">
      <c r="A9905" s="117">
        <v>44602</v>
      </c>
      <c r="B9905" s="116">
        <f t="shared" si="158"/>
        <v>22</v>
      </c>
    </row>
    <row r="9906" spans="1:2" x14ac:dyDescent="0.2">
      <c r="A9906" s="117">
        <v>44603</v>
      </c>
      <c r="B9906" s="116">
        <f t="shared" si="158"/>
        <v>22</v>
      </c>
    </row>
    <row r="9907" spans="1:2" x14ac:dyDescent="0.2">
      <c r="A9907" s="117">
        <v>44604</v>
      </c>
      <c r="B9907" s="116">
        <f t="shared" si="158"/>
        <v>22</v>
      </c>
    </row>
    <row r="9908" spans="1:2" x14ac:dyDescent="0.2">
      <c r="A9908" s="117">
        <v>44605</v>
      </c>
      <c r="B9908" s="116">
        <f t="shared" si="158"/>
        <v>23</v>
      </c>
    </row>
    <row r="9909" spans="1:2" x14ac:dyDescent="0.2">
      <c r="A9909" s="117">
        <v>44606</v>
      </c>
      <c r="B9909" s="116">
        <f t="shared" si="158"/>
        <v>23</v>
      </c>
    </row>
    <row r="9910" spans="1:2" x14ac:dyDescent="0.2">
      <c r="A9910" s="117">
        <v>44607</v>
      </c>
      <c r="B9910" s="116">
        <f t="shared" si="158"/>
        <v>23</v>
      </c>
    </row>
    <row r="9911" spans="1:2" x14ac:dyDescent="0.2">
      <c r="A9911" s="117">
        <v>44608</v>
      </c>
      <c r="B9911" s="116">
        <f t="shared" si="158"/>
        <v>23</v>
      </c>
    </row>
    <row r="9912" spans="1:2" x14ac:dyDescent="0.2">
      <c r="A9912" s="117">
        <v>44609</v>
      </c>
      <c r="B9912" s="116">
        <f t="shared" si="158"/>
        <v>23</v>
      </c>
    </row>
    <row r="9913" spans="1:2" x14ac:dyDescent="0.2">
      <c r="A9913" s="117">
        <v>44610</v>
      </c>
      <c r="B9913" s="116">
        <f t="shared" si="158"/>
        <v>23</v>
      </c>
    </row>
    <row r="9914" spans="1:2" x14ac:dyDescent="0.2">
      <c r="A9914" s="117">
        <v>44611</v>
      </c>
      <c r="B9914" s="116">
        <f t="shared" si="158"/>
        <v>23</v>
      </c>
    </row>
    <row r="9915" spans="1:2" x14ac:dyDescent="0.2">
      <c r="A9915" s="117">
        <v>44612</v>
      </c>
      <c r="B9915" s="116">
        <f t="shared" si="158"/>
        <v>24</v>
      </c>
    </row>
    <row r="9916" spans="1:2" x14ac:dyDescent="0.2">
      <c r="A9916" s="117">
        <v>44613</v>
      </c>
      <c r="B9916" s="116">
        <f t="shared" si="158"/>
        <v>24</v>
      </c>
    </row>
    <row r="9917" spans="1:2" x14ac:dyDescent="0.2">
      <c r="A9917" s="117">
        <v>44614</v>
      </c>
      <c r="B9917" s="116">
        <f t="shared" si="158"/>
        <v>24</v>
      </c>
    </row>
    <row r="9918" spans="1:2" x14ac:dyDescent="0.2">
      <c r="A9918" s="117">
        <v>44615</v>
      </c>
      <c r="B9918" s="116">
        <f t="shared" si="158"/>
        <v>24</v>
      </c>
    </row>
    <row r="9919" spans="1:2" x14ac:dyDescent="0.2">
      <c r="A9919" s="117">
        <v>44616</v>
      </c>
      <c r="B9919" s="116">
        <f t="shared" si="158"/>
        <v>24</v>
      </c>
    </row>
    <row r="9920" spans="1:2" x14ac:dyDescent="0.2">
      <c r="A9920" s="117">
        <v>44617</v>
      </c>
      <c r="B9920" s="116">
        <f t="shared" si="158"/>
        <v>24</v>
      </c>
    </row>
    <row r="9921" spans="1:2" x14ac:dyDescent="0.2">
      <c r="A9921" s="117">
        <v>44618</v>
      </c>
      <c r="B9921" s="116">
        <f t="shared" si="158"/>
        <v>24</v>
      </c>
    </row>
    <row r="9922" spans="1:2" x14ac:dyDescent="0.2">
      <c r="A9922" s="117">
        <v>44619</v>
      </c>
      <c r="B9922" s="116">
        <f t="shared" si="158"/>
        <v>31</v>
      </c>
    </row>
    <row r="9923" spans="1:2" x14ac:dyDescent="0.2">
      <c r="A9923" s="117">
        <v>44620</v>
      </c>
      <c r="B9923" s="116">
        <f t="shared" si="158"/>
        <v>31</v>
      </c>
    </row>
    <row r="9924" spans="1:2" x14ac:dyDescent="0.2">
      <c r="A9924" s="117">
        <v>44621</v>
      </c>
      <c r="B9924" s="116">
        <f t="shared" si="158"/>
        <v>31</v>
      </c>
    </row>
    <row r="9925" spans="1:2" x14ac:dyDescent="0.2">
      <c r="A9925" s="117">
        <v>44622</v>
      </c>
      <c r="B9925" s="116">
        <f t="shared" si="158"/>
        <v>31</v>
      </c>
    </row>
    <row r="9926" spans="1:2" x14ac:dyDescent="0.2">
      <c r="A9926" s="117">
        <v>44623</v>
      </c>
      <c r="B9926" s="116">
        <f t="shared" si="158"/>
        <v>31</v>
      </c>
    </row>
    <row r="9927" spans="1:2" x14ac:dyDescent="0.2">
      <c r="A9927" s="117">
        <v>44624</v>
      </c>
      <c r="B9927" s="116">
        <f t="shared" si="158"/>
        <v>31</v>
      </c>
    </row>
    <row r="9928" spans="1:2" x14ac:dyDescent="0.2">
      <c r="A9928" s="117">
        <v>44625</v>
      </c>
      <c r="B9928" s="116">
        <f t="shared" ref="B9928:B9991" si="159">VLOOKUP(WEEKNUM(A9928),$D$4:$E$59,2)</f>
        <v>31</v>
      </c>
    </row>
    <row r="9929" spans="1:2" x14ac:dyDescent="0.2">
      <c r="A9929" s="117">
        <v>44626</v>
      </c>
      <c r="B9929" s="116">
        <f t="shared" si="159"/>
        <v>32</v>
      </c>
    </row>
    <row r="9930" spans="1:2" x14ac:dyDescent="0.2">
      <c r="A9930" s="117">
        <v>44627</v>
      </c>
      <c r="B9930" s="116">
        <f t="shared" si="159"/>
        <v>32</v>
      </c>
    </row>
    <row r="9931" spans="1:2" x14ac:dyDescent="0.2">
      <c r="A9931" s="117">
        <v>44628</v>
      </c>
      <c r="B9931" s="116">
        <f t="shared" si="159"/>
        <v>32</v>
      </c>
    </row>
    <row r="9932" spans="1:2" x14ac:dyDescent="0.2">
      <c r="A9932" s="117">
        <v>44629</v>
      </c>
      <c r="B9932" s="116">
        <f t="shared" si="159"/>
        <v>32</v>
      </c>
    </row>
    <row r="9933" spans="1:2" x14ac:dyDescent="0.2">
      <c r="A9933" s="117">
        <v>44630</v>
      </c>
      <c r="B9933" s="116">
        <f t="shared" si="159"/>
        <v>32</v>
      </c>
    </row>
    <row r="9934" spans="1:2" x14ac:dyDescent="0.2">
      <c r="A9934" s="117">
        <v>44631</v>
      </c>
      <c r="B9934" s="116">
        <f t="shared" si="159"/>
        <v>32</v>
      </c>
    </row>
    <row r="9935" spans="1:2" x14ac:dyDescent="0.2">
      <c r="A9935" s="117">
        <v>44632</v>
      </c>
      <c r="B9935" s="116">
        <f t="shared" si="159"/>
        <v>32</v>
      </c>
    </row>
    <row r="9936" spans="1:2" x14ac:dyDescent="0.2">
      <c r="A9936" s="117">
        <v>44633</v>
      </c>
      <c r="B9936" s="116">
        <f t="shared" si="159"/>
        <v>33</v>
      </c>
    </row>
    <row r="9937" spans="1:2" x14ac:dyDescent="0.2">
      <c r="A9937" s="117">
        <v>44634</v>
      </c>
      <c r="B9937" s="116">
        <f t="shared" si="159"/>
        <v>33</v>
      </c>
    </row>
    <row r="9938" spans="1:2" x14ac:dyDescent="0.2">
      <c r="A9938" s="117">
        <v>44635</v>
      </c>
      <c r="B9938" s="116">
        <f t="shared" si="159"/>
        <v>33</v>
      </c>
    </row>
    <row r="9939" spans="1:2" x14ac:dyDescent="0.2">
      <c r="A9939" s="117">
        <v>44636</v>
      </c>
      <c r="B9939" s="116">
        <f t="shared" si="159"/>
        <v>33</v>
      </c>
    </row>
    <row r="9940" spans="1:2" x14ac:dyDescent="0.2">
      <c r="A9940" s="117">
        <v>44637</v>
      </c>
      <c r="B9940" s="116">
        <f t="shared" si="159"/>
        <v>33</v>
      </c>
    </row>
    <row r="9941" spans="1:2" x14ac:dyDescent="0.2">
      <c r="A9941" s="117">
        <v>44638</v>
      </c>
      <c r="B9941" s="116">
        <f t="shared" si="159"/>
        <v>33</v>
      </c>
    </row>
    <row r="9942" spans="1:2" x14ac:dyDescent="0.2">
      <c r="A9942" s="117">
        <v>44639</v>
      </c>
      <c r="B9942" s="116">
        <f t="shared" si="159"/>
        <v>33</v>
      </c>
    </row>
    <row r="9943" spans="1:2" x14ac:dyDescent="0.2">
      <c r="A9943" s="117">
        <v>44640</v>
      </c>
      <c r="B9943" s="116">
        <f t="shared" si="159"/>
        <v>34</v>
      </c>
    </row>
    <row r="9944" spans="1:2" x14ac:dyDescent="0.2">
      <c r="A9944" s="117">
        <v>44641</v>
      </c>
      <c r="B9944" s="116">
        <f t="shared" si="159"/>
        <v>34</v>
      </c>
    </row>
    <row r="9945" spans="1:2" x14ac:dyDescent="0.2">
      <c r="A9945" s="117">
        <v>44642</v>
      </c>
      <c r="B9945" s="116">
        <f t="shared" si="159"/>
        <v>34</v>
      </c>
    </row>
    <row r="9946" spans="1:2" x14ac:dyDescent="0.2">
      <c r="A9946" s="117">
        <v>44643</v>
      </c>
      <c r="B9946" s="116">
        <f t="shared" si="159"/>
        <v>34</v>
      </c>
    </row>
    <row r="9947" spans="1:2" x14ac:dyDescent="0.2">
      <c r="A9947" s="117">
        <v>44644</v>
      </c>
      <c r="B9947" s="116">
        <f t="shared" si="159"/>
        <v>34</v>
      </c>
    </row>
    <row r="9948" spans="1:2" x14ac:dyDescent="0.2">
      <c r="A9948" s="117">
        <v>44645</v>
      </c>
      <c r="B9948" s="116">
        <f t="shared" si="159"/>
        <v>34</v>
      </c>
    </row>
    <row r="9949" spans="1:2" x14ac:dyDescent="0.2">
      <c r="A9949" s="117">
        <v>44646</v>
      </c>
      <c r="B9949" s="116">
        <f t="shared" si="159"/>
        <v>34</v>
      </c>
    </row>
    <row r="9950" spans="1:2" x14ac:dyDescent="0.2">
      <c r="A9950" s="117">
        <v>44647</v>
      </c>
      <c r="B9950" s="116">
        <f t="shared" si="159"/>
        <v>41</v>
      </c>
    </row>
    <row r="9951" spans="1:2" x14ac:dyDescent="0.2">
      <c r="A9951" s="117">
        <v>44648</v>
      </c>
      <c r="B9951" s="116">
        <f t="shared" si="159"/>
        <v>41</v>
      </c>
    </row>
    <row r="9952" spans="1:2" x14ac:dyDescent="0.2">
      <c r="A9952" s="117">
        <v>44649</v>
      </c>
      <c r="B9952" s="116">
        <f t="shared" si="159"/>
        <v>41</v>
      </c>
    </row>
    <row r="9953" spans="1:2" x14ac:dyDescent="0.2">
      <c r="A9953" s="117">
        <v>44650</v>
      </c>
      <c r="B9953" s="116">
        <f t="shared" si="159"/>
        <v>41</v>
      </c>
    </row>
    <row r="9954" spans="1:2" x14ac:dyDescent="0.2">
      <c r="A9954" s="117">
        <v>44651</v>
      </c>
      <c r="B9954" s="116">
        <f t="shared" si="159"/>
        <v>41</v>
      </c>
    </row>
    <row r="9955" spans="1:2" x14ac:dyDescent="0.2">
      <c r="A9955" s="117">
        <v>44652</v>
      </c>
      <c r="B9955" s="116">
        <f t="shared" si="159"/>
        <v>41</v>
      </c>
    </row>
    <row r="9956" spans="1:2" x14ac:dyDescent="0.2">
      <c r="A9956" s="117">
        <v>44653</v>
      </c>
      <c r="B9956" s="116">
        <f t="shared" si="159"/>
        <v>41</v>
      </c>
    </row>
    <row r="9957" spans="1:2" x14ac:dyDescent="0.2">
      <c r="A9957" s="117">
        <v>44654</v>
      </c>
      <c r="B9957" s="116">
        <f t="shared" si="159"/>
        <v>42</v>
      </c>
    </row>
    <row r="9958" spans="1:2" x14ac:dyDescent="0.2">
      <c r="A9958" s="117">
        <v>44655</v>
      </c>
      <c r="B9958" s="116">
        <f t="shared" si="159"/>
        <v>42</v>
      </c>
    </row>
    <row r="9959" spans="1:2" x14ac:dyDescent="0.2">
      <c r="A9959" s="117">
        <v>44656</v>
      </c>
      <c r="B9959" s="116">
        <f t="shared" si="159"/>
        <v>42</v>
      </c>
    </row>
    <row r="9960" spans="1:2" x14ac:dyDescent="0.2">
      <c r="A9960" s="117">
        <v>44657</v>
      </c>
      <c r="B9960" s="116">
        <f t="shared" si="159"/>
        <v>42</v>
      </c>
    </row>
    <row r="9961" spans="1:2" x14ac:dyDescent="0.2">
      <c r="A9961" s="117">
        <v>44658</v>
      </c>
      <c r="B9961" s="116">
        <f t="shared" si="159"/>
        <v>42</v>
      </c>
    </row>
    <row r="9962" spans="1:2" x14ac:dyDescent="0.2">
      <c r="A9962" s="117">
        <v>44659</v>
      </c>
      <c r="B9962" s="116">
        <f t="shared" si="159"/>
        <v>42</v>
      </c>
    </row>
    <row r="9963" spans="1:2" x14ac:dyDescent="0.2">
      <c r="A9963" s="117">
        <v>44660</v>
      </c>
      <c r="B9963" s="116">
        <f t="shared" si="159"/>
        <v>42</v>
      </c>
    </row>
    <row r="9964" spans="1:2" x14ac:dyDescent="0.2">
      <c r="A9964" s="117">
        <v>44661</v>
      </c>
      <c r="B9964" s="116">
        <f t="shared" si="159"/>
        <v>43</v>
      </c>
    </row>
    <row r="9965" spans="1:2" x14ac:dyDescent="0.2">
      <c r="A9965" s="117">
        <v>44662</v>
      </c>
      <c r="B9965" s="116">
        <f t="shared" si="159"/>
        <v>43</v>
      </c>
    </row>
    <row r="9966" spans="1:2" x14ac:dyDescent="0.2">
      <c r="A9966" s="117">
        <v>44663</v>
      </c>
      <c r="B9966" s="116">
        <f t="shared" si="159"/>
        <v>43</v>
      </c>
    </row>
    <row r="9967" spans="1:2" x14ac:dyDescent="0.2">
      <c r="A9967" s="117">
        <v>44664</v>
      </c>
      <c r="B9967" s="116">
        <f t="shared" si="159"/>
        <v>43</v>
      </c>
    </row>
    <row r="9968" spans="1:2" x14ac:dyDescent="0.2">
      <c r="A9968" s="117">
        <v>44665</v>
      </c>
      <c r="B9968" s="116">
        <f t="shared" si="159"/>
        <v>43</v>
      </c>
    </row>
    <row r="9969" spans="1:2" x14ac:dyDescent="0.2">
      <c r="A9969" s="117">
        <v>44666</v>
      </c>
      <c r="B9969" s="116">
        <f t="shared" si="159"/>
        <v>43</v>
      </c>
    </row>
    <row r="9970" spans="1:2" x14ac:dyDescent="0.2">
      <c r="A9970" s="117">
        <v>44667</v>
      </c>
      <c r="B9970" s="116">
        <f t="shared" si="159"/>
        <v>43</v>
      </c>
    </row>
    <row r="9971" spans="1:2" x14ac:dyDescent="0.2">
      <c r="A9971" s="117">
        <v>44668</v>
      </c>
      <c r="B9971" s="116">
        <f t="shared" si="159"/>
        <v>44</v>
      </c>
    </row>
    <row r="9972" spans="1:2" x14ac:dyDescent="0.2">
      <c r="A9972" s="117">
        <v>44669</v>
      </c>
      <c r="B9972" s="116">
        <f t="shared" si="159"/>
        <v>44</v>
      </c>
    </row>
    <row r="9973" spans="1:2" x14ac:dyDescent="0.2">
      <c r="A9973" s="117">
        <v>44670</v>
      </c>
      <c r="B9973" s="116">
        <f t="shared" si="159"/>
        <v>44</v>
      </c>
    </row>
    <row r="9974" spans="1:2" x14ac:dyDescent="0.2">
      <c r="A9974" s="117">
        <v>44671</v>
      </c>
      <c r="B9974" s="116">
        <f t="shared" si="159"/>
        <v>44</v>
      </c>
    </row>
    <row r="9975" spans="1:2" x14ac:dyDescent="0.2">
      <c r="A9975" s="117">
        <v>44672</v>
      </c>
      <c r="B9975" s="116">
        <f t="shared" si="159"/>
        <v>44</v>
      </c>
    </row>
    <row r="9976" spans="1:2" x14ac:dyDescent="0.2">
      <c r="A9976" s="117">
        <v>44673</v>
      </c>
      <c r="B9976" s="116">
        <f t="shared" si="159"/>
        <v>44</v>
      </c>
    </row>
    <row r="9977" spans="1:2" x14ac:dyDescent="0.2">
      <c r="A9977" s="117">
        <v>44674</v>
      </c>
      <c r="B9977" s="116">
        <f t="shared" si="159"/>
        <v>44</v>
      </c>
    </row>
    <row r="9978" spans="1:2" x14ac:dyDescent="0.2">
      <c r="A9978" s="117">
        <v>44675</v>
      </c>
      <c r="B9978" s="116">
        <f t="shared" si="159"/>
        <v>45</v>
      </c>
    </row>
    <row r="9979" spans="1:2" x14ac:dyDescent="0.2">
      <c r="A9979" s="117">
        <v>44676</v>
      </c>
      <c r="B9979" s="116">
        <f t="shared" si="159"/>
        <v>45</v>
      </c>
    </row>
    <row r="9980" spans="1:2" x14ac:dyDescent="0.2">
      <c r="A9980" s="117">
        <v>44677</v>
      </c>
      <c r="B9980" s="116">
        <f t="shared" si="159"/>
        <v>45</v>
      </c>
    </row>
    <row r="9981" spans="1:2" x14ac:dyDescent="0.2">
      <c r="A9981" s="117">
        <v>44678</v>
      </c>
      <c r="B9981" s="116">
        <f t="shared" si="159"/>
        <v>45</v>
      </c>
    </row>
    <row r="9982" spans="1:2" x14ac:dyDescent="0.2">
      <c r="A9982" s="117">
        <v>44679</v>
      </c>
      <c r="B9982" s="116">
        <f t="shared" si="159"/>
        <v>45</v>
      </c>
    </row>
    <row r="9983" spans="1:2" x14ac:dyDescent="0.2">
      <c r="A9983" s="117">
        <v>44680</v>
      </c>
      <c r="B9983" s="116">
        <f t="shared" si="159"/>
        <v>45</v>
      </c>
    </row>
    <row r="9984" spans="1:2" x14ac:dyDescent="0.2">
      <c r="A9984" s="117">
        <v>44681</v>
      </c>
      <c r="B9984" s="116">
        <f t="shared" si="159"/>
        <v>45</v>
      </c>
    </row>
    <row r="9985" spans="1:2" x14ac:dyDescent="0.2">
      <c r="A9985" s="117">
        <v>44682</v>
      </c>
      <c r="B9985" s="116">
        <f t="shared" si="159"/>
        <v>51</v>
      </c>
    </row>
    <row r="9986" spans="1:2" x14ac:dyDescent="0.2">
      <c r="A9986" s="117">
        <v>44683</v>
      </c>
      <c r="B9986" s="116">
        <f t="shared" si="159"/>
        <v>51</v>
      </c>
    </row>
    <row r="9987" spans="1:2" x14ac:dyDescent="0.2">
      <c r="A9987" s="117">
        <v>44684</v>
      </c>
      <c r="B9987" s="116">
        <f t="shared" si="159"/>
        <v>51</v>
      </c>
    </row>
    <row r="9988" spans="1:2" x14ac:dyDescent="0.2">
      <c r="A9988" s="117">
        <v>44685</v>
      </c>
      <c r="B9988" s="116">
        <f t="shared" si="159"/>
        <v>51</v>
      </c>
    </row>
    <row r="9989" spans="1:2" x14ac:dyDescent="0.2">
      <c r="A9989" s="117">
        <v>44686</v>
      </c>
      <c r="B9989" s="116">
        <f t="shared" si="159"/>
        <v>51</v>
      </c>
    </row>
    <row r="9990" spans="1:2" x14ac:dyDescent="0.2">
      <c r="A9990" s="117">
        <v>44687</v>
      </c>
      <c r="B9990" s="116">
        <f t="shared" si="159"/>
        <v>51</v>
      </c>
    </row>
    <row r="9991" spans="1:2" x14ac:dyDescent="0.2">
      <c r="A9991" s="117">
        <v>44688</v>
      </c>
      <c r="B9991" s="116">
        <f t="shared" si="159"/>
        <v>51</v>
      </c>
    </row>
    <row r="9992" spans="1:2" x14ac:dyDescent="0.2">
      <c r="A9992" s="117">
        <v>44689</v>
      </c>
      <c r="B9992" s="116">
        <f t="shared" ref="B9992:B10055" si="160">VLOOKUP(WEEKNUM(A9992),$D$4:$E$59,2)</f>
        <v>52</v>
      </c>
    </row>
    <row r="9993" spans="1:2" x14ac:dyDescent="0.2">
      <c r="A9993" s="117">
        <v>44690</v>
      </c>
      <c r="B9993" s="116">
        <f t="shared" si="160"/>
        <v>52</v>
      </c>
    </row>
    <row r="9994" spans="1:2" x14ac:dyDescent="0.2">
      <c r="A9994" s="117">
        <v>44691</v>
      </c>
      <c r="B9994" s="116">
        <f t="shared" si="160"/>
        <v>52</v>
      </c>
    </row>
    <row r="9995" spans="1:2" x14ac:dyDescent="0.2">
      <c r="A9995" s="117">
        <v>44692</v>
      </c>
      <c r="B9995" s="116">
        <f t="shared" si="160"/>
        <v>52</v>
      </c>
    </row>
    <row r="9996" spans="1:2" x14ac:dyDescent="0.2">
      <c r="A9996" s="117">
        <v>44693</v>
      </c>
      <c r="B9996" s="116">
        <f t="shared" si="160"/>
        <v>52</v>
      </c>
    </row>
    <row r="9997" spans="1:2" x14ac:dyDescent="0.2">
      <c r="A9997" s="117">
        <v>44694</v>
      </c>
      <c r="B9997" s="116">
        <f t="shared" si="160"/>
        <v>52</v>
      </c>
    </row>
    <row r="9998" spans="1:2" x14ac:dyDescent="0.2">
      <c r="A9998" s="117">
        <v>44695</v>
      </c>
      <c r="B9998" s="116">
        <f t="shared" si="160"/>
        <v>52</v>
      </c>
    </row>
    <row r="9999" spans="1:2" x14ac:dyDescent="0.2">
      <c r="A9999" s="117">
        <v>44696</v>
      </c>
      <c r="B9999" s="116">
        <f t="shared" si="160"/>
        <v>53</v>
      </c>
    </row>
    <row r="10000" spans="1:2" x14ac:dyDescent="0.2">
      <c r="A10000" s="117">
        <v>44697</v>
      </c>
      <c r="B10000" s="116">
        <f t="shared" si="160"/>
        <v>53</v>
      </c>
    </row>
    <row r="10001" spans="1:2" x14ac:dyDescent="0.2">
      <c r="A10001" s="117">
        <v>44698</v>
      </c>
      <c r="B10001" s="116">
        <f t="shared" si="160"/>
        <v>53</v>
      </c>
    </row>
    <row r="10002" spans="1:2" x14ac:dyDescent="0.2">
      <c r="A10002" s="117">
        <v>44699</v>
      </c>
      <c r="B10002" s="116">
        <f t="shared" si="160"/>
        <v>53</v>
      </c>
    </row>
    <row r="10003" spans="1:2" x14ac:dyDescent="0.2">
      <c r="A10003" s="117">
        <v>44700</v>
      </c>
      <c r="B10003" s="116">
        <f t="shared" si="160"/>
        <v>53</v>
      </c>
    </row>
    <row r="10004" spans="1:2" x14ac:dyDescent="0.2">
      <c r="A10004" s="117">
        <v>44701</v>
      </c>
      <c r="B10004" s="116">
        <f t="shared" si="160"/>
        <v>53</v>
      </c>
    </row>
    <row r="10005" spans="1:2" x14ac:dyDescent="0.2">
      <c r="A10005" s="117">
        <v>44702</v>
      </c>
      <c r="B10005" s="116">
        <f t="shared" si="160"/>
        <v>53</v>
      </c>
    </row>
    <row r="10006" spans="1:2" x14ac:dyDescent="0.2">
      <c r="A10006" s="117">
        <v>44703</v>
      </c>
      <c r="B10006" s="116">
        <f t="shared" si="160"/>
        <v>54</v>
      </c>
    </row>
    <row r="10007" spans="1:2" x14ac:dyDescent="0.2">
      <c r="A10007" s="117">
        <v>44704</v>
      </c>
      <c r="B10007" s="116">
        <f t="shared" si="160"/>
        <v>54</v>
      </c>
    </row>
    <row r="10008" spans="1:2" x14ac:dyDescent="0.2">
      <c r="A10008" s="117">
        <v>44705</v>
      </c>
      <c r="B10008" s="116">
        <f t="shared" si="160"/>
        <v>54</v>
      </c>
    </row>
    <row r="10009" spans="1:2" x14ac:dyDescent="0.2">
      <c r="A10009" s="117">
        <v>44706</v>
      </c>
      <c r="B10009" s="116">
        <f t="shared" si="160"/>
        <v>54</v>
      </c>
    </row>
    <row r="10010" spans="1:2" x14ac:dyDescent="0.2">
      <c r="A10010" s="117">
        <v>44707</v>
      </c>
      <c r="B10010" s="116">
        <f t="shared" si="160"/>
        <v>54</v>
      </c>
    </row>
    <row r="10011" spans="1:2" x14ac:dyDescent="0.2">
      <c r="A10011" s="117">
        <v>44708</v>
      </c>
      <c r="B10011" s="116">
        <f t="shared" si="160"/>
        <v>54</v>
      </c>
    </row>
    <row r="10012" spans="1:2" x14ac:dyDescent="0.2">
      <c r="A10012" s="117">
        <v>44709</v>
      </c>
      <c r="B10012" s="116">
        <f t="shared" si="160"/>
        <v>54</v>
      </c>
    </row>
    <row r="10013" spans="1:2" x14ac:dyDescent="0.2">
      <c r="A10013" s="117">
        <v>44710</v>
      </c>
      <c r="B10013" s="116">
        <f t="shared" si="160"/>
        <v>61</v>
      </c>
    </row>
    <row r="10014" spans="1:2" x14ac:dyDescent="0.2">
      <c r="A10014" s="117">
        <v>44711</v>
      </c>
      <c r="B10014" s="116">
        <f t="shared" si="160"/>
        <v>61</v>
      </c>
    </row>
    <row r="10015" spans="1:2" x14ac:dyDescent="0.2">
      <c r="A10015" s="117">
        <v>44712</v>
      </c>
      <c r="B10015" s="116">
        <f t="shared" si="160"/>
        <v>61</v>
      </c>
    </row>
    <row r="10016" spans="1:2" x14ac:dyDescent="0.2">
      <c r="A10016" s="117">
        <v>44713</v>
      </c>
      <c r="B10016" s="116">
        <f t="shared" si="160"/>
        <v>61</v>
      </c>
    </row>
    <row r="10017" spans="1:2" x14ac:dyDescent="0.2">
      <c r="A10017" s="117">
        <v>44714</v>
      </c>
      <c r="B10017" s="116">
        <f t="shared" si="160"/>
        <v>61</v>
      </c>
    </row>
    <row r="10018" spans="1:2" x14ac:dyDescent="0.2">
      <c r="A10018" s="117">
        <v>44715</v>
      </c>
      <c r="B10018" s="116">
        <f t="shared" si="160"/>
        <v>61</v>
      </c>
    </row>
    <row r="10019" spans="1:2" x14ac:dyDescent="0.2">
      <c r="A10019" s="117">
        <v>44716</v>
      </c>
      <c r="B10019" s="116">
        <f t="shared" si="160"/>
        <v>61</v>
      </c>
    </row>
    <row r="10020" spans="1:2" x14ac:dyDescent="0.2">
      <c r="A10020" s="117">
        <v>44717</v>
      </c>
      <c r="B10020" s="116">
        <f t="shared" si="160"/>
        <v>62</v>
      </c>
    </row>
    <row r="10021" spans="1:2" x14ac:dyDescent="0.2">
      <c r="A10021" s="117">
        <v>44718</v>
      </c>
      <c r="B10021" s="116">
        <f t="shared" si="160"/>
        <v>62</v>
      </c>
    </row>
    <row r="10022" spans="1:2" x14ac:dyDescent="0.2">
      <c r="A10022" s="117">
        <v>44719</v>
      </c>
      <c r="B10022" s="116">
        <f t="shared" si="160"/>
        <v>62</v>
      </c>
    </row>
    <row r="10023" spans="1:2" x14ac:dyDescent="0.2">
      <c r="A10023" s="117">
        <v>44720</v>
      </c>
      <c r="B10023" s="116">
        <f t="shared" si="160"/>
        <v>62</v>
      </c>
    </row>
    <row r="10024" spans="1:2" x14ac:dyDescent="0.2">
      <c r="A10024" s="117">
        <v>44721</v>
      </c>
      <c r="B10024" s="116">
        <f t="shared" si="160"/>
        <v>62</v>
      </c>
    </row>
    <row r="10025" spans="1:2" x14ac:dyDescent="0.2">
      <c r="A10025" s="117">
        <v>44722</v>
      </c>
      <c r="B10025" s="116">
        <f t="shared" si="160"/>
        <v>62</v>
      </c>
    </row>
    <row r="10026" spans="1:2" x14ac:dyDescent="0.2">
      <c r="A10026" s="117">
        <v>44723</v>
      </c>
      <c r="B10026" s="116">
        <f t="shared" si="160"/>
        <v>62</v>
      </c>
    </row>
    <row r="10027" spans="1:2" x14ac:dyDescent="0.2">
      <c r="A10027" s="117">
        <v>44724</v>
      </c>
      <c r="B10027" s="116">
        <f t="shared" si="160"/>
        <v>63</v>
      </c>
    </row>
    <row r="10028" spans="1:2" x14ac:dyDescent="0.2">
      <c r="A10028" s="117">
        <v>44725</v>
      </c>
      <c r="B10028" s="116">
        <f t="shared" si="160"/>
        <v>63</v>
      </c>
    </row>
    <row r="10029" spans="1:2" x14ac:dyDescent="0.2">
      <c r="A10029" s="117">
        <v>44726</v>
      </c>
      <c r="B10029" s="116">
        <f t="shared" si="160"/>
        <v>63</v>
      </c>
    </row>
    <row r="10030" spans="1:2" x14ac:dyDescent="0.2">
      <c r="A10030" s="117">
        <v>44727</v>
      </c>
      <c r="B10030" s="116">
        <f t="shared" si="160"/>
        <v>63</v>
      </c>
    </row>
    <row r="10031" spans="1:2" x14ac:dyDescent="0.2">
      <c r="A10031" s="117">
        <v>44728</v>
      </c>
      <c r="B10031" s="116">
        <f t="shared" si="160"/>
        <v>63</v>
      </c>
    </row>
    <row r="10032" spans="1:2" x14ac:dyDescent="0.2">
      <c r="A10032" s="117">
        <v>44729</v>
      </c>
      <c r="B10032" s="116">
        <f t="shared" si="160"/>
        <v>63</v>
      </c>
    </row>
    <row r="10033" spans="1:2" x14ac:dyDescent="0.2">
      <c r="A10033" s="117">
        <v>44730</v>
      </c>
      <c r="B10033" s="116">
        <f t="shared" si="160"/>
        <v>63</v>
      </c>
    </row>
    <row r="10034" spans="1:2" x14ac:dyDescent="0.2">
      <c r="A10034" s="117">
        <v>44731</v>
      </c>
      <c r="B10034" s="116">
        <f t="shared" si="160"/>
        <v>64</v>
      </c>
    </row>
    <row r="10035" spans="1:2" x14ac:dyDescent="0.2">
      <c r="A10035" s="117">
        <v>44732</v>
      </c>
      <c r="B10035" s="116">
        <f t="shared" si="160"/>
        <v>64</v>
      </c>
    </row>
    <row r="10036" spans="1:2" x14ac:dyDescent="0.2">
      <c r="A10036" s="117">
        <v>44733</v>
      </c>
      <c r="B10036" s="116">
        <f t="shared" si="160"/>
        <v>64</v>
      </c>
    </row>
    <row r="10037" spans="1:2" x14ac:dyDescent="0.2">
      <c r="A10037" s="117">
        <v>44734</v>
      </c>
      <c r="B10037" s="116">
        <f t="shared" si="160"/>
        <v>64</v>
      </c>
    </row>
    <row r="10038" spans="1:2" x14ac:dyDescent="0.2">
      <c r="A10038" s="117">
        <v>44735</v>
      </c>
      <c r="B10038" s="116">
        <f t="shared" si="160"/>
        <v>64</v>
      </c>
    </row>
    <row r="10039" spans="1:2" x14ac:dyDescent="0.2">
      <c r="A10039" s="117">
        <v>44736</v>
      </c>
      <c r="B10039" s="116">
        <f t="shared" si="160"/>
        <v>64</v>
      </c>
    </row>
    <row r="10040" spans="1:2" x14ac:dyDescent="0.2">
      <c r="A10040" s="117">
        <v>44737</v>
      </c>
      <c r="B10040" s="116">
        <f t="shared" si="160"/>
        <v>64</v>
      </c>
    </row>
    <row r="10041" spans="1:2" x14ac:dyDescent="0.2">
      <c r="A10041" s="117">
        <v>44738</v>
      </c>
      <c r="B10041" s="116">
        <f t="shared" si="160"/>
        <v>71</v>
      </c>
    </row>
    <row r="10042" spans="1:2" x14ac:dyDescent="0.2">
      <c r="A10042" s="117">
        <v>44739</v>
      </c>
      <c r="B10042" s="116">
        <f t="shared" si="160"/>
        <v>71</v>
      </c>
    </row>
    <row r="10043" spans="1:2" x14ac:dyDescent="0.2">
      <c r="A10043" s="117">
        <v>44740</v>
      </c>
      <c r="B10043" s="116">
        <f t="shared" si="160"/>
        <v>71</v>
      </c>
    </row>
    <row r="10044" spans="1:2" x14ac:dyDescent="0.2">
      <c r="A10044" s="117">
        <v>44741</v>
      </c>
      <c r="B10044" s="116">
        <f t="shared" si="160"/>
        <v>71</v>
      </c>
    </row>
    <row r="10045" spans="1:2" x14ac:dyDescent="0.2">
      <c r="A10045" s="117">
        <v>44742</v>
      </c>
      <c r="B10045" s="116">
        <f t="shared" si="160"/>
        <v>71</v>
      </c>
    </row>
    <row r="10046" spans="1:2" x14ac:dyDescent="0.2">
      <c r="A10046" s="117">
        <v>44743</v>
      </c>
      <c r="B10046" s="116">
        <f t="shared" si="160"/>
        <v>71</v>
      </c>
    </row>
    <row r="10047" spans="1:2" x14ac:dyDescent="0.2">
      <c r="A10047" s="117">
        <v>44744</v>
      </c>
      <c r="B10047" s="116">
        <f t="shared" si="160"/>
        <v>71</v>
      </c>
    </row>
    <row r="10048" spans="1:2" x14ac:dyDescent="0.2">
      <c r="A10048" s="117">
        <v>44745</v>
      </c>
      <c r="B10048" s="116">
        <f t="shared" si="160"/>
        <v>72</v>
      </c>
    </row>
    <row r="10049" spans="1:2" x14ac:dyDescent="0.2">
      <c r="A10049" s="117">
        <v>44746</v>
      </c>
      <c r="B10049" s="116">
        <f t="shared" si="160"/>
        <v>72</v>
      </c>
    </row>
    <row r="10050" spans="1:2" x14ac:dyDescent="0.2">
      <c r="A10050" s="117">
        <v>44747</v>
      </c>
      <c r="B10050" s="116">
        <f t="shared" si="160"/>
        <v>72</v>
      </c>
    </row>
    <row r="10051" spans="1:2" x14ac:dyDescent="0.2">
      <c r="A10051" s="117">
        <v>44748</v>
      </c>
      <c r="B10051" s="116">
        <f t="shared" si="160"/>
        <v>72</v>
      </c>
    </row>
    <row r="10052" spans="1:2" x14ac:dyDescent="0.2">
      <c r="A10052" s="117">
        <v>44749</v>
      </c>
      <c r="B10052" s="116">
        <f t="shared" si="160"/>
        <v>72</v>
      </c>
    </row>
    <row r="10053" spans="1:2" x14ac:dyDescent="0.2">
      <c r="A10053" s="117">
        <v>44750</v>
      </c>
      <c r="B10053" s="116">
        <f t="shared" si="160"/>
        <v>72</v>
      </c>
    </row>
    <row r="10054" spans="1:2" x14ac:dyDescent="0.2">
      <c r="A10054" s="117">
        <v>44751</v>
      </c>
      <c r="B10054" s="116">
        <f t="shared" si="160"/>
        <v>72</v>
      </c>
    </row>
    <row r="10055" spans="1:2" x14ac:dyDescent="0.2">
      <c r="A10055" s="117">
        <v>44752</v>
      </c>
      <c r="B10055" s="116">
        <f t="shared" si="160"/>
        <v>73</v>
      </c>
    </row>
    <row r="10056" spans="1:2" x14ac:dyDescent="0.2">
      <c r="A10056" s="117">
        <v>44753</v>
      </c>
      <c r="B10056" s="116">
        <f t="shared" ref="B10056:B10119" si="161">VLOOKUP(WEEKNUM(A10056),$D$4:$E$59,2)</f>
        <v>73</v>
      </c>
    </row>
    <row r="10057" spans="1:2" x14ac:dyDescent="0.2">
      <c r="A10057" s="117">
        <v>44754</v>
      </c>
      <c r="B10057" s="116">
        <f t="shared" si="161"/>
        <v>73</v>
      </c>
    </row>
    <row r="10058" spans="1:2" x14ac:dyDescent="0.2">
      <c r="A10058" s="117">
        <v>44755</v>
      </c>
      <c r="B10058" s="116">
        <f t="shared" si="161"/>
        <v>73</v>
      </c>
    </row>
    <row r="10059" spans="1:2" x14ac:dyDescent="0.2">
      <c r="A10059" s="117">
        <v>44756</v>
      </c>
      <c r="B10059" s="116">
        <f t="shared" si="161"/>
        <v>73</v>
      </c>
    </row>
    <row r="10060" spans="1:2" x14ac:dyDescent="0.2">
      <c r="A10060" s="117">
        <v>44757</v>
      </c>
      <c r="B10060" s="116">
        <f t="shared" si="161"/>
        <v>73</v>
      </c>
    </row>
    <row r="10061" spans="1:2" x14ac:dyDescent="0.2">
      <c r="A10061" s="117">
        <v>44758</v>
      </c>
      <c r="B10061" s="116">
        <f t="shared" si="161"/>
        <v>73</v>
      </c>
    </row>
    <row r="10062" spans="1:2" x14ac:dyDescent="0.2">
      <c r="A10062" s="117">
        <v>44759</v>
      </c>
      <c r="B10062" s="116">
        <f t="shared" si="161"/>
        <v>74</v>
      </c>
    </row>
    <row r="10063" spans="1:2" x14ac:dyDescent="0.2">
      <c r="A10063" s="117">
        <v>44760</v>
      </c>
      <c r="B10063" s="116">
        <f t="shared" si="161"/>
        <v>74</v>
      </c>
    </row>
    <row r="10064" spans="1:2" x14ac:dyDescent="0.2">
      <c r="A10064" s="117">
        <v>44761</v>
      </c>
      <c r="B10064" s="116">
        <f t="shared" si="161"/>
        <v>74</v>
      </c>
    </row>
    <row r="10065" spans="1:2" x14ac:dyDescent="0.2">
      <c r="A10065" s="117">
        <v>44762</v>
      </c>
      <c r="B10065" s="116">
        <f t="shared" si="161"/>
        <v>74</v>
      </c>
    </row>
    <row r="10066" spans="1:2" x14ac:dyDescent="0.2">
      <c r="A10066" s="117">
        <v>44763</v>
      </c>
      <c r="B10066" s="116">
        <f t="shared" si="161"/>
        <v>74</v>
      </c>
    </row>
    <row r="10067" spans="1:2" x14ac:dyDescent="0.2">
      <c r="A10067" s="117">
        <v>44764</v>
      </c>
      <c r="B10067" s="116">
        <f t="shared" si="161"/>
        <v>74</v>
      </c>
    </row>
    <row r="10068" spans="1:2" x14ac:dyDescent="0.2">
      <c r="A10068" s="117">
        <v>44765</v>
      </c>
      <c r="B10068" s="116">
        <f t="shared" si="161"/>
        <v>74</v>
      </c>
    </row>
    <row r="10069" spans="1:2" x14ac:dyDescent="0.2">
      <c r="A10069" s="117">
        <v>44766</v>
      </c>
      <c r="B10069" s="116">
        <f t="shared" si="161"/>
        <v>75</v>
      </c>
    </row>
    <row r="10070" spans="1:2" x14ac:dyDescent="0.2">
      <c r="A10070" s="117">
        <v>44767</v>
      </c>
      <c r="B10070" s="116">
        <f t="shared" si="161"/>
        <v>75</v>
      </c>
    </row>
    <row r="10071" spans="1:2" x14ac:dyDescent="0.2">
      <c r="A10071" s="117">
        <v>44768</v>
      </c>
      <c r="B10071" s="116">
        <f t="shared" si="161"/>
        <v>75</v>
      </c>
    </row>
    <row r="10072" spans="1:2" x14ac:dyDescent="0.2">
      <c r="A10072" s="117">
        <v>44769</v>
      </c>
      <c r="B10072" s="116">
        <f t="shared" si="161"/>
        <v>75</v>
      </c>
    </row>
    <row r="10073" spans="1:2" x14ac:dyDescent="0.2">
      <c r="A10073" s="117">
        <v>44770</v>
      </c>
      <c r="B10073" s="116">
        <f t="shared" si="161"/>
        <v>75</v>
      </c>
    </row>
    <row r="10074" spans="1:2" x14ac:dyDescent="0.2">
      <c r="A10074" s="117">
        <v>44771</v>
      </c>
      <c r="B10074" s="116">
        <f t="shared" si="161"/>
        <v>75</v>
      </c>
    </row>
    <row r="10075" spans="1:2" x14ac:dyDescent="0.2">
      <c r="A10075" s="117">
        <v>44772</v>
      </c>
      <c r="B10075" s="116">
        <f t="shared" si="161"/>
        <v>75</v>
      </c>
    </row>
    <row r="10076" spans="1:2" x14ac:dyDescent="0.2">
      <c r="A10076" s="117">
        <v>44773</v>
      </c>
      <c r="B10076" s="116">
        <f t="shared" si="161"/>
        <v>81</v>
      </c>
    </row>
    <row r="10077" spans="1:2" x14ac:dyDescent="0.2">
      <c r="A10077" s="117">
        <v>44774</v>
      </c>
      <c r="B10077" s="116">
        <f t="shared" si="161"/>
        <v>81</v>
      </c>
    </row>
    <row r="10078" spans="1:2" x14ac:dyDescent="0.2">
      <c r="A10078" s="117">
        <v>44775</v>
      </c>
      <c r="B10078" s="116">
        <f t="shared" si="161"/>
        <v>81</v>
      </c>
    </row>
    <row r="10079" spans="1:2" x14ac:dyDescent="0.2">
      <c r="A10079" s="117">
        <v>44776</v>
      </c>
      <c r="B10079" s="116">
        <f t="shared" si="161"/>
        <v>81</v>
      </c>
    </row>
    <row r="10080" spans="1:2" x14ac:dyDescent="0.2">
      <c r="A10080" s="117">
        <v>44777</v>
      </c>
      <c r="B10080" s="116">
        <f t="shared" si="161"/>
        <v>81</v>
      </c>
    </row>
    <row r="10081" spans="1:2" x14ac:dyDescent="0.2">
      <c r="A10081" s="117">
        <v>44778</v>
      </c>
      <c r="B10081" s="116">
        <f t="shared" si="161"/>
        <v>81</v>
      </c>
    </row>
    <row r="10082" spans="1:2" x14ac:dyDescent="0.2">
      <c r="A10082" s="117">
        <v>44779</v>
      </c>
      <c r="B10082" s="116">
        <f t="shared" si="161"/>
        <v>81</v>
      </c>
    </row>
    <row r="10083" spans="1:2" x14ac:dyDescent="0.2">
      <c r="A10083" s="117">
        <v>44780</v>
      </c>
      <c r="B10083" s="116">
        <f t="shared" si="161"/>
        <v>82</v>
      </c>
    </row>
    <row r="10084" spans="1:2" x14ac:dyDescent="0.2">
      <c r="A10084" s="117">
        <v>44781</v>
      </c>
      <c r="B10084" s="116">
        <f t="shared" si="161"/>
        <v>82</v>
      </c>
    </row>
    <row r="10085" spans="1:2" x14ac:dyDescent="0.2">
      <c r="A10085" s="117">
        <v>44782</v>
      </c>
      <c r="B10085" s="116">
        <f t="shared" si="161"/>
        <v>82</v>
      </c>
    </row>
    <row r="10086" spans="1:2" x14ac:dyDescent="0.2">
      <c r="A10086" s="117">
        <v>44783</v>
      </c>
      <c r="B10086" s="116">
        <f t="shared" si="161"/>
        <v>82</v>
      </c>
    </row>
    <row r="10087" spans="1:2" x14ac:dyDescent="0.2">
      <c r="A10087" s="117">
        <v>44784</v>
      </c>
      <c r="B10087" s="116">
        <f t="shared" si="161"/>
        <v>82</v>
      </c>
    </row>
    <row r="10088" spans="1:2" x14ac:dyDescent="0.2">
      <c r="A10088" s="117">
        <v>44785</v>
      </c>
      <c r="B10088" s="116">
        <f t="shared" si="161"/>
        <v>82</v>
      </c>
    </row>
    <row r="10089" spans="1:2" x14ac:dyDescent="0.2">
      <c r="A10089" s="117">
        <v>44786</v>
      </c>
      <c r="B10089" s="116">
        <f t="shared" si="161"/>
        <v>82</v>
      </c>
    </row>
    <row r="10090" spans="1:2" x14ac:dyDescent="0.2">
      <c r="A10090" s="117">
        <v>44787</v>
      </c>
      <c r="B10090" s="116">
        <f t="shared" si="161"/>
        <v>83</v>
      </c>
    </row>
    <row r="10091" spans="1:2" x14ac:dyDescent="0.2">
      <c r="A10091" s="117">
        <v>44788</v>
      </c>
      <c r="B10091" s="116">
        <f t="shared" si="161"/>
        <v>83</v>
      </c>
    </row>
    <row r="10092" spans="1:2" x14ac:dyDescent="0.2">
      <c r="A10092" s="117">
        <v>44789</v>
      </c>
      <c r="B10092" s="116">
        <f t="shared" si="161"/>
        <v>83</v>
      </c>
    </row>
    <row r="10093" spans="1:2" x14ac:dyDescent="0.2">
      <c r="A10093" s="117">
        <v>44790</v>
      </c>
      <c r="B10093" s="116">
        <f t="shared" si="161"/>
        <v>83</v>
      </c>
    </row>
    <row r="10094" spans="1:2" x14ac:dyDescent="0.2">
      <c r="A10094" s="117">
        <v>44791</v>
      </c>
      <c r="B10094" s="116">
        <f t="shared" si="161"/>
        <v>83</v>
      </c>
    </row>
    <row r="10095" spans="1:2" x14ac:dyDescent="0.2">
      <c r="A10095" s="117">
        <v>44792</v>
      </c>
      <c r="B10095" s="116">
        <f t="shared" si="161"/>
        <v>83</v>
      </c>
    </row>
    <row r="10096" spans="1:2" x14ac:dyDescent="0.2">
      <c r="A10096" s="117">
        <v>44793</v>
      </c>
      <c r="B10096" s="116">
        <f t="shared" si="161"/>
        <v>83</v>
      </c>
    </row>
    <row r="10097" spans="1:2" x14ac:dyDescent="0.2">
      <c r="A10097" s="117">
        <v>44794</v>
      </c>
      <c r="B10097" s="116">
        <f t="shared" si="161"/>
        <v>84</v>
      </c>
    </row>
    <row r="10098" spans="1:2" x14ac:dyDescent="0.2">
      <c r="A10098" s="117">
        <v>44795</v>
      </c>
      <c r="B10098" s="116">
        <f t="shared" si="161"/>
        <v>84</v>
      </c>
    </row>
    <row r="10099" spans="1:2" x14ac:dyDescent="0.2">
      <c r="A10099" s="117">
        <v>44796</v>
      </c>
      <c r="B10099" s="116">
        <f t="shared" si="161"/>
        <v>84</v>
      </c>
    </row>
    <row r="10100" spans="1:2" x14ac:dyDescent="0.2">
      <c r="A10100" s="117">
        <v>44797</v>
      </c>
      <c r="B10100" s="116">
        <f t="shared" si="161"/>
        <v>84</v>
      </c>
    </row>
    <row r="10101" spans="1:2" x14ac:dyDescent="0.2">
      <c r="A10101" s="117">
        <v>44798</v>
      </c>
      <c r="B10101" s="116">
        <f t="shared" si="161"/>
        <v>84</v>
      </c>
    </row>
    <row r="10102" spans="1:2" x14ac:dyDescent="0.2">
      <c r="A10102" s="117">
        <v>44799</v>
      </c>
      <c r="B10102" s="116">
        <f t="shared" si="161"/>
        <v>84</v>
      </c>
    </row>
    <row r="10103" spans="1:2" x14ac:dyDescent="0.2">
      <c r="A10103" s="117">
        <v>44800</v>
      </c>
      <c r="B10103" s="116">
        <f t="shared" si="161"/>
        <v>84</v>
      </c>
    </row>
    <row r="10104" spans="1:2" x14ac:dyDescent="0.2">
      <c r="A10104" s="117">
        <v>44801</v>
      </c>
      <c r="B10104" s="116">
        <f t="shared" si="161"/>
        <v>91</v>
      </c>
    </row>
    <row r="10105" spans="1:2" x14ac:dyDescent="0.2">
      <c r="A10105" s="117">
        <v>44802</v>
      </c>
      <c r="B10105" s="116">
        <f t="shared" si="161"/>
        <v>91</v>
      </c>
    </row>
    <row r="10106" spans="1:2" x14ac:dyDescent="0.2">
      <c r="A10106" s="117">
        <v>44803</v>
      </c>
      <c r="B10106" s="116">
        <f t="shared" si="161"/>
        <v>91</v>
      </c>
    </row>
    <row r="10107" spans="1:2" x14ac:dyDescent="0.2">
      <c r="A10107" s="117">
        <v>44804</v>
      </c>
      <c r="B10107" s="116">
        <f t="shared" si="161"/>
        <v>91</v>
      </c>
    </row>
    <row r="10108" spans="1:2" x14ac:dyDescent="0.2">
      <c r="A10108" s="117">
        <v>44805</v>
      </c>
      <c r="B10108" s="116">
        <f t="shared" si="161"/>
        <v>91</v>
      </c>
    </row>
    <row r="10109" spans="1:2" x14ac:dyDescent="0.2">
      <c r="A10109" s="117">
        <v>44806</v>
      </c>
      <c r="B10109" s="116">
        <f t="shared" si="161"/>
        <v>91</v>
      </c>
    </row>
    <row r="10110" spans="1:2" x14ac:dyDescent="0.2">
      <c r="A10110" s="117">
        <v>44807</v>
      </c>
      <c r="B10110" s="116">
        <f t="shared" si="161"/>
        <v>91</v>
      </c>
    </row>
    <row r="10111" spans="1:2" x14ac:dyDescent="0.2">
      <c r="A10111" s="117">
        <v>44808</v>
      </c>
      <c r="B10111" s="116">
        <f t="shared" si="161"/>
        <v>92</v>
      </c>
    </row>
    <row r="10112" spans="1:2" x14ac:dyDescent="0.2">
      <c r="A10112" s="117">
        <v>44809</v>
      </c>
      <c r="B10112" s="116">
        <f t="shared" si="161"/>
        <v>92</v>
      </c>
    </row>
    <row r="10113" spans="1:2" x14ac:dyDescent="0.2">
      <c r="A10113" s="117">
        <v>44810</v>
      </c>
      <c r="B10113" s="116">
        <f t="shared" si="161"/>
        <v>92</v>
      </c>
    </row>
    <row r="10114" spans="1:2" x14ac:dyDescent="0.2">
      <c r="A10114" s="117">
        <v>44811</v>
      </c>
      <c r="B10114" s="116">
        <f t="shared" si="161"/>
        <v>92</v>
      </c>
    </row>
    <row r="10115" spans="1:2" x14ac:dyDescent="0.2">
      <c r="A10115" s="117">
        <v>44812</v>
      </c>
      <c r="B10115" s="116">
        <f t="shared" si="161"/>
        <v>92</v>
      </c>
    </row>
    <row r="10116" spans="1:2" x14ac:dyDescent="0.2">
      <c r="A10116" s="117">
        <v>44813</v>
      </c>
      <c r="B10116" s="116">
        <f t="shared" si="161"/>
        <v>92</v>
      </c>
    </row>
    <row r="10117" spans="1:2" x14ac:dyDescent="0.2">
      <c r="A10117" s="117">
        <v>44814</v>
      </c>
      <c r="B10117" s="116">
        <f t="shared" si="161"/>
        <v>92</v>
      </c>
    </row>
    <row r="10118" spans="1:2" x14ac:dyDescent="0.2">
      <c r="A10118" s="117">
        <v>44815</v>
      </c>
      <c r="B10118" s="116">
        <f t="shared" si="161"/>
        <v>93</v>
      </c>
    </row>
    <row r="10119" spans="1:2" x14ac:dyDescent="0.2">
      <c r="A10119" s="117">
        <v>44816</v>
      </c>
      <c r="B10119" s="116">
        <f t="shared" si="161"/>
        <v>93</v>
      </c>
    </row>
    <row r="10120" spans="1:2" x14ac:dyDescent="0.2">
      <c r="A10120" s="117">
        <v>44817</v>
      </c>
      <c r="B10120" s="116">
        <f t="shared" ref="B10120:B10183" si="162">VLOOKUP(WEEKNUM(A10120),$D$4:$E$59,2)</f>
        <v>93</v>
      </c>
    </row>
    <row r="10121" spans="1:2" x14ac:dyDescent="0.2">
      <c r="A10121" s="117">
        <v>44818</v>
      </c>
      <c r="B10121" s="116">
        <f t="shared" si="162"/>
        <v>93</v>
      </c>
    </row>
    <row r="10122" spans="1:2" x14ac:dyDescent="0.2">
      <c r="A10122" s="117">
        <v>44819</v>
      </c>
      <c r="B10122" s="116">
        <f t="shared" si="162"/>
        <v>93</v>
      </c>
    </row>
    <row r="10123" spans="1:2" x14ac:dyDescent="0.2">
      <c r="A10123" s="117">
        <v>44820</v>
      </c>
      <c r="B10123" s="116">
        <f t="shared" si="162"/>
        <v>93</v>
      </c>
    </row>
    <row r="10124" spans="1:2" x14ac:dyDescent="0.2">
      <c r="A10124" s="117">
        <v>44821</v>
      </c>
      <c r="B10124" s="116">
        <f t="shared" si="162"/>
        <v>93</v>
      </c>
    </row>
    <row r="10125" spans="1:2" x14ac:dyDescent="0.2">
      <c r="A10125" s="117">
        <v>44822</v>
      </c>
      <c r="B10125" s="116">
        <f t="shared" si="162"/>
        <v>94</v>
      </c>
    </row>
    <row r="10126" spans="1:2" x14ac:dyDescent="0.2">
      <c r="A10126" s="117">
        <v>44823</v>
      </c>
      <c r="B10126" s="116">
        <f t="shared" si="162"/>
        <v>94</v>
      </c>
    </row>
    <row r="10127" spans="1:2" x14ac:dyDescent="0.2">
      <c r="A10127" s="117">
        <v>44824</v>
      </c>
      <c r="B10127" s="116">
        <f t="shared" si="162"/>
        <v>94</v>
      </c>
    </row>
    <row r="10128" spans="1:2" x14ac:dyDescent="0.2">
      <c r="A10128" s="117">
        <v>44825</v>
      </c>
      <c r="B10128" s="116">
        <f t="shared" si="162"/>
        <v>94</v>
      </c>
    </row>
    <row r="10129" spans="1:2" x14ac:dyDescent="0.2">
      <c r="A10129" s="117">
        <v>44826</v>
      </c>
      <c r="B10129" s="116">
        <f t="shared" si="162"/>
        <v>94</v>
      </c>
    </row>
    <row r="10130" spans="1:2" x14ac:dyDescent="0.2">
      <c r="A10130" s="117">
        <v>44827</v>
      </c>
      <c r="B10130" s="116">
        <f t="shared" si="162"/>
        <v>94</v>
      </c>
    </row>
    <row r="10131" spans="1:2" x14ac:dyDescent="0.2">
      <c r="A10131" s="117">
        <v>44828</v>
      </c>
      <c r="B10131" s="116">
        <f t="shared" si="162"/>
        <v>94</v>
      </c>
    </row>
    <row r="10132" spans="1:2" x14ac:dyDescent="0.2">
      <c r="A10132" s="117">
        <v>44829</v>
      </c>
      <c r="B10132" s="116">
        <f t="shared" si="162"/>
        <v>101</v>
      </c>
    </row>
    <row r="10133" spans="1:2" x14ac:dyDescent="0.2">
      <c r="A10133" s="117">
        <v>44830</v>
      </c>
      <c r="B10133" s="116">
        <f t="shared" si="162"/>
        <v>101</v>
      </c>
    </row>
    <row r="10134" spans="1:2" x14ac:dyDescent="0.2">
      <c r="A10134" s="117">
        <v>44831</v>
      </c>
      <c r="B10134" s="116">
        <f t="shared" si="162"/>
        <v>101</v>
      </c>
    </row>
    <row r="10135" spans="1:2" x14ac:dyDescent="0.2">
      <c r="A10135" s="117">
        <v>44832</v>
      </c>
      <c r="B10135" s="116">
        <f t="shared" si="162"/>
        <v>101</v>
      </c>
    </row>
    <row r="10136" spans="1:2" x14ac:dyDescent="0.2">
      <c r="A10136" s="117">
        <v>44833</v>
      </c>
      <c r="B10136" s="116">
        <f t="shared" si="162"/>
        <v>101</v>
      </c>
    </row>
    <row r="10137" spans="1:2" x14ac:dyDescent="0.2">
      <c r="A10137" s="117">
        <v>44834</v>
      </c>
      <c r="B10137" s="116">
        <f t="shared" si="162"/>
        <v>101</v>
      </c>
    </row>
    <row r="10138" spans="1:2" x14ac:dyDescent="0.2">
      <c r="A10138" s="117">
        <v>44835</v>
      </c>
      <c r="B10138" s="116">
        <f t="shared" si="162"/>
        <v>101</v>
      </c>
    </row>
    <row r="10139" spans="1:2" x14ac:dyDescent="0.2">
      <c r="A10139" s="117">
        <v>44836</v>
      </c>
      <c r="B10139" s="116">
        <f t="shared" si="162"/>
        <v>102</v>
      </c>
    </row>
    <row r="10140" spans="1:2" x14ac:dyDescent="0.2">
      <c r="A10140" s="117">
        <v>44837</v>
      </c>
      <c r="B10140" s="116">
        <f t="shared" si="162"/>
        <v>102</v>
      </c>
    </row>
    <row r="10141" spans="1:2" x14ac:dyDescent="0.2">
      <c r="A10141" s="117">
        <v>44838</v>
      </c>
      <c r="B10141" s="116">
        <f t="shared" si="162"/>
        <v>102</v>
      </c>
    </row>
    <row r="10142" spans="1:2" x14ac:dyDescent="0.2">
      <c r="A10142" s="117">
        <v>44839</v>
      </c>
      <c r="B10142" s="116">
        <f t="shared" si="162"/>
        <v>102</v>
      </c>
    </row>
    <row r="10143" spans="1:2" x14ac:dyDescent="0.2">
      <c r="A10143" s="117">
        <v>44840</v>
      </c>
      <c r="B10143" s="116">
        <f t="shared" si="162"/>
        <v>102</v>
      </c>
    </row>
    <row r="10144" spans="1:2" x14ac:dyDescent="0.2">
      <c r="A10144" s="117">
        <v>44841</v>
      </c>
      <c r="B10144" s="116">
        <f t="shared" si="162"/>
        <v>102</v>
      </c>
    </row>
    <row r="10145" spans="1:2" x14ac:dyDescent="0.2">
      <c r="A10145" s="117">
        <v>44842</v>
      </c>
      <c r="B10145" s="116">
        <f t="shared" si="162"/>
        <v>102</v>
      </c>
    </row>
    <row r="10146" spans="1:2" x14ac:dyDescent="0.2">
      <c r="A10146" s="117">
        <v>44843</v>
      </c>
      <c r="B10146" s="116">
        <f t="shared" si="162"/>
        <v>103</v>
      </c>
    </row>
    <row r="10147" spans="1:2" x14ac:dyDescent="0.2">
      <c r="A10147" s="117">
        <v>44844</v>
      </c>
      <c r="B10147" s="116">
        <f t="shared" si="162"/>
        <v>103</v>
      </c>
    </row>
    <row r="10148" spans="1:2" x14ac:dyDescent="0.2">
      <c r="A10148" s="117">
        <v>44845</v>
      </c>
      <c r="B10148" s="116">
        <f t="shared" si="162"/>
        <v>103</v>
      </c>
    </row>
    <row r="10149" spans="1:2" x14ac:dyDescent="0.2">
      <c r="A10149" s="117">
        <v>44846</v>
      </c>
      <c r="B10149" s="116">
        <f t="shared" si="162"/>
        <v>103</v>
      </c>
    </row>
    <row r="10150" spans="1:2" x14ac:dyDescent="0.2">
      <c r="A10150" s="117">
        <v>44847</v>
      </c>
      <c r="B10150" s="116">
        <f t="shared" si="162"/>
        <v>103</v>
      </c>
    </row>
    <row r="10151" spans="1:2" x14ac:dyDescent="0.2">
      <c r="A10151" s="117">
        <v>44848</v>
      </c>
      <c r="B10151" s="116">
        <f t="shared" si="162"/>
        <v>103</v>
      </c>
    </row>
    <row r="10152" spans="1:2" x14ac:dyDescent="0.2">
      <c r="A10152" s="117">
        <v>44849</v>
      </c>
      <c r="B10152" s="116">
        <f t="shared" si="162"/>
        <v>103</v>
      </c>
    </row>
    <row r="10153" spans="1:2" x14ac:dyDescent="0.2">
      <c r="A10153" s="117">
        <v>44850</v>
      </c>
      <c r="B10153" s="116">
        <f t="shared" si="162"/>
        <v>104</v>
      </c>
    </row>
    <row r="10154" spans="1:2" x14ac:dyDescent="0.2">
      <c r="A10154" s="117">
        <v>44851</v>
      </c>
      <c r="B10154" s="116">
        <f t="shared" si="162"/>
        <v>104</v>
      </c>
    </row>
    <row r="10155" spans="1:2" x14ac:dyDescent="0.2">
      <c r="A10155" s="117">
        <v>44852</v>
      </c>
      <c r="B10155" s="116">
        <f t="shared" si="162"/>
        <v>104</v>
      </c>
    </row>
    <row r="10156" spans="1:2" x14ac:dyDescent="0.2">
      <c r="A10156" s="117">
        <v>44853</v>
      </c>
      <c r="B10156" s="116">
        <f t="shared" si="162"/>
        <v>104</v>
      </c>
    </row>
    <row r="10157" spans="1:2" x14ac:dyDescent="0.2">
      <c r="A10157" s="117">
        <v>44854</v>
      </c>
      <c r="B10157" s="116">
        <f t="shared" si="162"/>
        <v>104</v>
      </c>
    </row>
    <row r="10158" spans="1:2" x14ac:dyDescent="0.2">
      <c r="A10158" s="117">
        <v>44855</v>
      </c>
      <c r="B10158" s="116">
        <f t="shared" si="162"/>
        <v>104</v>
      </c>
    </row>
    <row r="10159" spans="1:2" x14ac:dyDescent="0.2">
      <c r="A10159" s="117">
        <v>44856</v>
      </c>
      <c r="B10159" s="116">
        <f t="shared" si="162"/>
        <v>104</v>
      </c>
    </row>
    <row r="10160" spans="1:2" x14ac:dyDescent="0.2">
      <c r="A10160" s="117">
        <v>44857</v>
      </c>
      <c r="B10160" s="116">
        <f t="shared" si="162"/>
        <v>105</v>
      </c>
    </row>
    <row r="10161" spans="1:2" x14ac:dyDescent="0.2">
      <c r="A10161" s="117">
        <v>44858</v>
      </c>
      <c r="B10161" s="116">
        <f t="shared" si="162"/>
        <v>105</v>
      </c>
    </row>
    <row r="10162" spans="1:2" x14ac:dyDescent="0.2">
      <c r="A10162" s="117">
        <v>44859</v>
      </c>
      <c r="B10162" s="116">
        <f t="shared" si="162"/>
        <v>105</v>
      </c>
    </row>
    <row r="10163" spans="1:2" x14ac:dyDescent="0.2">
      <c r="A10163" s="117">
        <v>44860</v>
      </c>
      <c r="B10163" s="116">
        <f t="shared" si="162"/>
        <v>105</v>
      </c>
    </row>
    <row r="10164" spans="1:2" x14ac:dyDescent="0.2">
      <c r="A10164" s="117">
        <v>44861</v>
      </c>
      <c r="B10164" s="116">
        <f t="shared" si="162"/>
        <v>105</v>
      </c>
    </row>
    <row r="10165" spans="1:2" x14ac:dyDescent="0.2">
      <c r="A10165" s="117">
        <v>44862</v>
      </c>
      <c r="B10165" s="116">
        <f t="shared" si="162"/>
        <v>105</v>
      </c>
    </row>
    <row r="10166" spans="1:2" x14ac:dyDescent="0.2">
      <c r="A10166" s="117">
        <v>44863</v>
      </c>
      <c r="B10166" s="116">
        <f t="shared" si="162"/>
        <v>105</v>
      </c>
    </row>
    <row r="10167" spans="1:2" x14ac:dyDescent="0.2">
      <c r="A10167" s="117">
        <v>44864</v>
      </c>
      <c r="B10167" s="116">
        <f t="shared" si="162"/>
        <v>111</v>
      </c>
    </row>
    <row r="10168" spans="1:2" x14ac:dyDescent="0.2">
      <c r="A10168" s="117">
        <v>44865</v>
      </c>
      <c r="B10168" s="116">
        <f t="shared" si="162"/>
        <v>111</v>
      </c>
    </row>
    <row r="10169" spans="1:2" x14ac:dyDescent="0.2">
      <c r="A10169" s="117">
        <v>44866</v>
      </c>
      <c r="B10169" s="116">
        <f t="shared" si="162"/>
        <v>111</v>
      </c>
    </row>
    <row r="10170" spans="1:2" x14ac:dyDescent="0.2">
      <c r="A10170" s="117">
        <v>44867</v>
      </c>
      <c r="B10170" s="116">
        <f t="shared" si="162"/>
        <v>111</v>
      </c>
    </row>
    <row r="10171" spans="1:2" x14ac:dyDescent="0.2">
      <c r="A10171" s="117">
        <v>44868</v>
      </c>
      <c r="B10171" s="116">
        <f t="shared" si="162"/>
        <v>111</v>
      </c>
    </row>
    <row r="10172" spans="1:2" x14ac:dyDescent="0.2">
      <c r="A10172" s="117">
        <v>44869</v>
      </c>
      <c r="B10172" s="116">
        <f t="shared" si="162"/>
        <v>111</v>
      </c>
    </row>
    <row r="10173" spans="1:2" x14ac:dyDescent="0.2">
      <c r="A10173" s="117">
        <v>44870</v>
      </c>
      <c r="B10173" s="116">
        <f t="shared" si="162"/>
        <v>111</v>
      </c>
    </row>
    <row r="10174" spans="1:2" x14ac:dyDescent="0.2">
      <c r="A10174" s="117">
        <v>44871</v>
      </c>
      <c r="B10174" s="116">
        <f t="shared" si="162"/>
        <v>112</v>
      </c>
    </row>
    <row r="10175" spans="1:2" x14ac:dyDescent="0.2">
      <c r="A10175" s="117">
        <v>44872</v>
      </c>
      <c r="B10175" s="116">
        <f t="shared" si="162"/>
        <v>112</v>
      </c>
    </row>
    <row r="10176" spans="1:2" x14ac:dyDescent="0.2">
      <c r="A10176" s="117">
        <v>44873</v>
      </c>
      <c r="B10176" s="116">
        <f t="shared" si="162"/>
        <v>112</v>
      </c>
    </row>
    <row r="10177" spans="1:2" x14ac:dyDescent="0.2">
      <c r="A10177" s="117">
        <v>44874</v>
      </c>
      <c r="B10177" s="116">
        <f t="shared" si="162"/>
        <v>112</v>
      </c>
    </row>
    <row r="10178" spans="1:2" x14ac:dyDescent="0.2">
      <c r="A10178" s="117">
        <v>44875</v>
      </c>
      <c r="B10178" s="116">
        <f t="shared" si="162"/>
        <v>112</v>
      </c>
    </row>
    <row r="10179" spans="1:2" x14ac:dyDescent="0.2">
      <c r="A10179" s="117">
        <v>44876</v>
      </c>
      <c r="B10179" s="116">
        <f t="shared" si="162"/>
        <v>112</v>
      </c>
    </row>
    <row r="10180" spans="1:2" x14ac:dyDescent="0.2">
      <c r="A10180" s="117">
        <v>44877</v>
      </c>
      <c r="B10180" s="116">
        <f t="shared" si="162"/>
        <v>112</v>
      </c>
    </row>
    <row r="10181" spans="1:2" x14ac:dyDescent="0.2">
      <c r="A10181" s="117">
        <v>44878</v>
      </c>
      <c r="B10181" s="116">
        <f t="shared" si="162"/>
        <v>113</v>
      </c>
    </row>
    <row r="10182" spans="1:2" x14ac:dyDescent="0.2">
      <c r="A10182" s="117">
        <v>44879</v>
      </c>
      <c r="B10182" s="116">
        <f t="shared" si="162"/>
        <v>113</v>
      </c>
    </row>
    <row r="10183" spans="1:2" x14ac:dyDescent="0.2">
      <c r="A10183" s="117">
        <v>44880</v>
      </c>
      <c r="B10183" s="116">
        <f t="shared" si="162"/>
        <v>113</v>
      </c>
    </row>
    <row r="10184" spans="1:2" x14ac:dyDescent="0.2">
      <c r="A10184" s="117">
        <v>44881</v>
      </c>
      <c r="B10184" s="116">
        <f t="shared" ref="B10184:B10247" si="163">VLOOKUP(WEEKNUM(A10184),$D$4:$E$59,2)</f>
        <v>113</v>
      </c>
    </row>
    <row r="10185" spans="1:2" x14ac:dyDescent="0.2">
      <c r="A10185" s="117">
        <v>44882</v>
      </c>
      <c r="B10185" s="116">
        <f t="shared" si="163"/>
        <v>113</v>
      </c>
    </row>
    <row r="10186" spans="1:2" x14ac:dyDescent="0.2">
      <c r="A10186" s="117">
        <v>44883</v>
      </c>
      <c r="B10186" s="116">
        <f t="shared" si="163"/>
        <v>113</v>
      </c>
    </row>
    <row r="10187" spans="1:2" x14ac:dyDescent="0.2">
      <c r="A10187" s="117">
        <v>44884</v>
      </c>
      <c r="B10187" s="116">
        <f t="shared" si="163"/>
        <v>113</v>
      </c>
    </row>
    <row r="10188" spans="1:2" x14ac:dyDescent="0.2">
      <c r="A10188" s="117">
        <v>44885</v>
      </c>
      <c r="B10188" s="116">
        <f t="shared" si="163"/>
        <v>114</v>
      </c>
    </row>
    <row r="10189" spans="1:2" x14ac:dyDescent="0.2">
      <c r="A10189" s="117">
        <v>44886</v>
      </c>
      <c r="B10189" s="116">
        <f t="shared" si="163"/>
        <v>114</v>
      </c>
    </row>
    <row r="10190" spans="1:2" x14ac:dyDescent="0.2">
      <c r="A10190" s="117">
        <v>44887</v>
      </c>
      <c r="B10190" s="116">
        <f t="shared" si="163"/>
        <v>114</v>
      </c>
    </row>
    <row r="10191" spans="1:2" x14ac:dyDescent="0.2">
      <c r="A10191" s="117">
        <v>44888</v>
      </c>
      <c r="B10191" s="116">
        <f t="shared" si="163"/>
        <v>114</v>
      </c>
    </row>
    <row r="10192" spans="1:2" x14ac:dyDescent="0.2">
      <c r="A10192" s="117">
        <v>44889</v>
      </c>
      <c r="B10192" s="116">
        <f t="shared" si="163"/>
        <v>114</v>
      </c>
    </row>
    <row r="10193" spans="1:2" x14ac:dyDescent="0.2">
      <c r="A10193" s="117">
        <v>44890</v>
      </c>
      <c r="B10193" s="116">
        <f t="shared" si="163"/>
        <v>114</v>
      </c>
    </row>
    <row r="10194" spans="1:2" x14ac:dyDescent="0.2">
      <c r="A10194" s="117">
        <v>44891</v>
      </c>
      <c r="B10194" s="116">
        <f t="shared" si="163"/>
        <v>114</v>
      </c>
    </row>
    <row r="10195" spans="1:2" x14ac:dyDescent="0.2">
      <c r="A10195" s="117">
        <v>44892</v>
      </c>
      <c r="B10195" s="116">
        <f t="shared" si="163"/>
        <v>115</v>
      </c>
    </row>
    <row r="10196" spans="1:2" x14ac:dyDescent="0.2">
      <c r="A10196" s="117">
        <v>44893</v>
      </c>
      <c r="B10196" s="116">
        <f t="shared" si="163"/>
        <v>115</v>
      </c>
    </row>
    <row r="10197" spans="1:2" x14ac:dyDescent="0.2">
      <c r="A10197" s="117">
        <v>44894</v>
      </c>
      <c r="B10197" s="116">
        <f t="shared" si="163"/>
        <v>115</v>
      </c>
    </row>
    <row r="10198" spans="1:2" x14ac:dyDescent="0.2">
      <c r="A10198" s="117">
        <v>44895</v>
      </c>
      <c r="B10198" s="116">
        <f t="shared" si="163"/>
        <v>115</v>
      </c>
    </row>
    <row r="10199" spans="1:2" x14ac:dyDescent="0.2">
      <c r="A10199" s="117">
        <v>44896</v>
      </c>
      <c r="B10199" s="116">
        <f t="shared" si="163"/>
        <v>115</v>
      </c>
    </row>
    <row r="10200" spans="1:2" x14ac:dyDescent="0.2">
      <c r="A10200" s="117">
        <v>44897</v>
      </c>
      <c r="B10200" s="116">
        <f t="shared" si="163"/>
        <v>115</v>
      </c>
    </row>
    <row r="10201" spans="1:2" x14ac:dyDescent="0.2">
      <c r="A10201" s="117">
        <v>44898</v>
      </c>
      <c r="B10201" s="116">
        <f t="shared" si="163"/>
        <v>115</v>
      </c>
    </row>
    <row r="10202" spans="1:2" x14ac:dyDescent="0.2">
      <c r="A10202" s="117">
        <v>44899</v>
      </c>
      <c r="B10202" s="116">
        <f t="shared" si="163"/>
        <v>121</v>
      </c>
    </row>
    <row r="10203" spans="1:2" x14ac:dyDescent="0.2">
      <c r="A10203" s="117">
        <v>44900</v>
      </c>
      <c r="B10203" s="116">
        <f t="shared" si="163"/>
        <v>121</v>
      </c>
    </row>
    <row r="10204" spans="1:2" x14ac:dyDescent="0.2">
      <c r="A10204" s="117">
        <v>44901</v>
      </c>
      <c r="B10204" s="116">
        <f t="shared" si="163"/>
        <v>121</v>
      </c>
    </row>
    <row r="10205" spans="1:2" x14ac:dyDescent="0.2">
      <c r="A10205" s="117">
        <v>44902</v>
      </c>
      <c r="B10205" s="116">
        <f t="shared" si="163"/>
        <v>121</v>
      </c>
    </row>
    <row r="10206" spans="1:2" x14ac:dyDescent="0.2">
      <c r="A10206" s="117">
        <v>44903</v>
      </c>
      <c r="B10206" s="116">
        <f t="shared" si="163"/>
        <v>121</v>
      </c>
    </row>
    <row r="10207" spans="1:2" x14ac:dyDescent="0.2">
      <c r="A10207" s="117">
        <v>44904</v>
      </c>
      <c r="B10207" s="116">
        <f t="shared" si="163"/>
        <v>121</v>
      </c>
    </row>
    <row r="10208" spans="1:2" x14ac:dyDescent="0.2">
      <c r="A10208" s="117">
        <v>44905</v>
      </c>
      <c r="B10208" s="116">
        <f t="shared" si="163"/>
        <v>121</v>
      </c>
    </row>
    <row r="10209" spans="1:2" x14ac:dyDescent="0.2">
      <c r="A10209" s="117">
        <v>44906</v>
      </c>
      <c r="B10209" s="116">
        <f t="shared" si="163"/>
        <v>122</v>
      </c>
    </row>
    <row r="10210" spans="1:2" x14ac:dyDescent="0.2">
      <c r="A10210" s="117">
        <v>44907</v>
      </c>
      <c r="B10210" s="116">
        <f t="shared" si="163"/>
        <v>122</v>
      </c>
    </row>
    <row r="10211" spans="1:2" x14ac:dyDescent="0.2">
      <c r="A10211" s="117">
        <v>44908</v>
      </c>
      <c r="B10211" s="116">
        <f t="shared" si="163"/>
        <v>122</v>
      </c>
    </row>
    <row r="10212" spans="1:2" x14ac:dyDescent="0.2">
      <c r="A10212" s="117">
        <v>44909</v>
      </c>
      <c r="B10212" s="116">
        <f t="shared" si="163"/>
        <v>122</v>
      </c>
    </row>
    <row r="10213" spans="1:2" x14ac:dyDescent="0.2">
      <c r="A10213" s="117">
        <v>44910</v>
      </c>
      <c r="B10213" s="116">
        <f t="shared" si="163"/>
        <v>122</v>
      </c>
    </row>
    <row r="10214" spans="1:2" x14ac:dyDescent="0.2">
      <c r="A10214" s="117">
        <v>44911</v>
      </c>
      <c r="B10214" s="116">
        <f t="shared" si="163"/>
        <v>122</v>
      </c>
    </row>
    <row r="10215" spans="1:2" x14ac:dyDescent="0.2">
      <c r="A10215" s="117">
        <v>44912</v>
      </c>
      <c r="B10215" s="116">
        <f t="shared" si="163"/>
        <v>122</v>
      </c>
    </row>
    <row r="10216" spans="1:2" x14ac:dyDescent="0.2">
      <c r="A10216" s="117">
        <v>44913</v>
      </c>
      <c r="B10216" s="116">
        <f t="shared" si="163"/>
        <v>123</v>
      </c>
    </row>
    <row r="10217" spans="1:2" x14ac:dyDescent="0.2">
      <c r="A10217" s="117">
        <v>44914</v>
      </c>
      <c r="B10217" s="116">
        <f t="shared" si="163"/>
        <v>123</v>
      </c>
    </row>
    <row r="10218" spans="1:2" x14ac:dyDescent="0.2">
      <c r="A10218" s="117">
        <v>44915</v>
      </c>
      <c r="B10218" s="116">
        <f t="shared" si="163"/>
        <v>123</v>
      </c>
    </row>
    <row r="10219" spans="1:2" x14ac:dyDescent="0.2">
      <c r="A10219" s="117">
        <v>44916</v>
      </c>
      <c r="B10219" s="116">
        <f t="shared" si="163"/>
        <v>123</v>
      </c>
    </row>
    <row r="10220" spans="1:2" x14ac:dyDescent="0.2">
      <c r="A10220" s="117">
        <v>44917</v>
      </c>
      <c r="B10220" s="116">
        <f t="shared" si="163"/>
        <v>123</v>
      </c>
    </row>
    <row r="10221" spans="1:2" x14ac:dyDescent="0.2">
      <c r="A10221" s="117">
        <v>44918</v>
      </c>
      <c r="B10221" s="116">
        <f t="shared" si="163"/>
        <v>123</v>
      </c>
    </row>
    <row r="10222" spans="1:2" x14ac:dyDescent="0.2">
      <c r="A10222" s="117">
        <v>44919</v>
      </c>
      <c r="B10222" s="116">
        <f t="shared" si="163"/>
        <v>123</v>
      </c>
    </row>
    <row r="10223" spans="1:2" x14ac:dyDescent="0.2">
      <c r="A10223" s="117">
        <v>44920</v>
      </c>
      <c r="B10223" s="116">
        <f t="shared" si="163"/>
        <v>124</v>
      </c>
    </row>
    <row r="10224" spans="1:2" x14ac:dyDescent="0.2">
      <c r="A10224" s="117">
        <v>44921</v>
      </c>
      <c r="B10224" s="116">
        <f t="shared" si="163"/>
        <v>124</v>
      </c>
    </row>
    <row r="10225" spans="1:2" x14ac:dyDescent="0.2">
      <c r="A10225" s="117">
        <v>44922</v>
      </c>
      <c r="B10225" s="116">
        <f t="shared" si="163"/>
        <v>124</v>
      </c>
    </row>
    <row r="10226" spans="1:2" x14ac:dyDescent="0.2">
      <c r="A10226" s="117">
        <v>44923</v>
      </c>
      <c r="B10226" s="116">
        <f t="shared" si="163"/>
        <v>124</v>
      </c>
    </row>
    <row r="10227" spans="1:2" x14ac:dyDescent="0.2">
      <c r="A10227" s="117">
        <v>44924</v>
      </c>
      <c r="B10227" s="116">
        <f t="shared" si="163"/>
        <v>124</v>
      </c>
    </row>
    <row r="10228" spans="1:2" x14ac:dyDescent="0.2">
      <c r="A10228" s="117">
        <v>44925</v>
      </c>
      <c r="B10228" s="116">
        <f t="shared" si="163"/>
        <v>124</v>
      </c>
    </row>
    <row r="10229" spans="1:2" x14ac:dyDescent="0.2">
      <c r="A10229" s="117">
        <v>44926</v>
      </c>
      <c r="B10229" s="116">
        <f t="shared" si="163"/>
        <v>124</v>
      </c>
    </row>
    <row r="10230" spans="1:2" x14ac:dyDescent="0.2">
      <c r="A10230" s="117">
        <v>44927</v>
      </c>
      <c r="B10230" s="116">
        <f t="shared" si="163"/>
        <v>11</v>
      </c>
    </row>
    <row r="10231" spans="1:2" x14ac:dyDescent="0.2">
      <c r="A10231" s="117">
        <v>44928</v>
      </c>
      <c r="B10231" s="116">
        <f t="shared" si="163"/>
        <v>11</v>
      </c>
    </row>
    <row r="10232" spans="1:2" x14ac:dyDescent="0.2">
      <c r="A10232" s="117">
        <v>44929</v>
      </c>
      <c r="B10232" s="116">
        <f t="shared" si="163"/>
        <v>11</v>
      </c>
    </row>
    <row r="10233" spans="1:2" x14ac:dyDescent="0.2">
      <c r="A10233" s="117">
        <v>44930</v>
      </c>
      <c r="B10233" s="116">
        <f t="shared" si="163"/>
        <v>11</v>
      </c>
    </row>
    <row r="10234" spans="1:2" x14ac:dyDescent="0.2">
      <c r="A10234" s="117">
        <v>44931</v>
      </c>
      <c r="B10234" s="116">
        <f t="shared" si="163"/>
        <v>11</v>
      </c>
    </row>
    <row r="10235" spans="1:2" x14ac:dyDescent="0.2">
      <c r="A10235" s="117">
        <v>44932</v>
      </c>
      <c r="B10235" s="116">
        <f t="shared" si="163"/>
        <v>11</v>
      </c>
    </row>
    <row r="10236" spans="1:2" x14ac:dyDescent="0.2">
      <c r="A10236" s="117">
        <v>44933</v>
      </c>
      <c r="B10236" s="116">
        <f t="shared" si="163"/>
        <v>11</v>
      </c>
    </row>
    <row r="10237" spans="1:2" x14ac:dyDescent="0.2">
      <c r="A10237" s="117">
        <v>44934</v>
      </c>
      <c r="B10237" s="116">
        <f t="shared" si="163"/>
        <v>12</v>
      </c>
    </row>
    <row r="10238" spans="1:2" x14ac:dyDescent="0.2">
      <c r="A10238" s="117">
        <v>44935</v>
      </c>
      <c r="B10238" s="116">
        <f t="shared" si="163"/>
        <v>12</v>
      </c>
    </row>
    <row r="10239" spans="1:2" x14ac:dyDescent="0.2">
      <c r="A10239" s="117">
        <v>44936</v>
      </c>
      <c r="B10239" s="116">
        <f t="shared" si="163"/>
        <v>12</v>
      </c>
    </row>
    <row r="10240" spans="1:2" x14ac:dyDescent="0.2">
      <c r="A10240" s="117">
        <v>44937</v>
      </c>
      <c r="B10240" s="116">
        <f t="shared" si="163"/>
        <v>12</v>
      </c>
    </row>
    <row r="10241" spans="1:2" x14ac:dyDescent="0.2">
      <c r="A10241" s="117">
        <v>44938</v>
      </c>
      <c r="B10241" s="116">
        <f t="shared" si="163"/>
        <v>12</v>
      </c>
    </row>
    <row r="10242" spans="1:2" x14ac:dyDescent="0.2">
      <c r="A10242" s="117">
        <v>44939</v>
      </c>
      <c r="B10242" s="116">
        <f t="shared" si="163"/>
        <v>12</v>
      </c>
    </row>
    <row r="10243" spans="1:2" x14ac:dyDescent="0.2">
      <c r="A10243" s="117">
        <v>44940</v>
      </c>
      <c r="B10243" s="116">
        <f t="shared" si="163"/>
        <v>12</v>
      </c>
    </row>
    <row r="10244" spans="1:2" x14ac:dyDescent="0.2">
      <c r="A10244" s="117">
        <v>44941</v>
      </c>
      <c r="B10244" s="116">
        <f t="shared" si="163"/>
        <v>13</v>
      </c>
    </row>
    <row r="10245" spans="1:2" x14ac:dyDescent="0.2">
      <c r="A10245" s="117">
        <v>44942</v>
      </c>
      <c r="B10245" s="116">
        <f t="shared" si="163"/>
        <v>13</v>
      </c>
    </row>
    <row r="10246" spans="1:2" x14ac:dyDescent="0.2">
      <c r="A10246" s="117">
        <v>44943</v>
      </c>
      <c r="B10246" s="116">
        <f t="shared" si="163"/>
        <v>13</v>
      </c>
    </row>
    <row r="10247" spans="1:2" x14ac:dyDescent="0.2">
      <c r="A10247" s="117">
        <v>44944</v>
      </c>
      <c r="B10247" s="116">
        <f t="shared" si="163"/>
        <v>13</v>
      </c>
    </row>
    <row r="10248" spans="1:2" x14ac:dyDescent="0.2">
      <c r="A10248" s="117">
        <v>44945</v>
      </c>
      <c r="B10248" s="116">
        <f t="shared" ref="B10248:B10311" si="164">VLOOKUP(WEEKNUM(A10248),$D$4:$E$59,2)</f>
        <v>13</v>
      </c>
    </row>
    <row r="10249" spans="1:2" x14ac:dyDescent="0.2">
      <c r="A10249" s="117">
        <v>44946</v>
      </c>
      <c r="B10249" s="116">
        <f t="shared" si="164"/>
        <v>13</v>
      </c>
    </row>
    <row r="10250" spans="1:2" x14ac:dyDescent="0.2">
      <c r="A10250" s="117">
        <v>44947</v>
      </c>
      <c r="B10250" s="116">
        <f t="shared" si="164"/>
        <v>13</v>
      </c>
    </row>
    <row r="10251" spans="1:2" x14ac:dyDescent="0.2">
      <c r="A10251" s="117">
        <v>44948</v>
      </c>
      <c r="B10251" s="116">
        <f t="shared" si="164"/>
        <v>14</v>
      </c>
    </row>
    <row r="10252" spans="1:2" x14ac:dyDescent="0.2">
      <c r="A10252" s="117">
        <v>44949</v>
      </c>
      <c r="B10252" s="116">
        <f t="shared" si="164"/>
        <v>14</v>
      </c>
    </row>
    <row r="10253" spans="1:2" x14ac:dyDescent="0.2">
      <c r="A10253" s="117">
        <v>44950</v>
      </c>
      <c r="B10253" s="116">
        <f t="shared" si="164"/>
        <v>14</v>
      </c>
    </row>
    <row r="10254" spans="1:2" x14ac:dyDescent="0.2">
      <c r="A10254" s="117">
        <v>44951</v>
      </c>
      <c r="B10254" s="116">
        <f t="shared" si="164"/>
        <v>14</v>
      </c>
    </row>
    <row r="10255" spans="1:2" x14ac:dyDescent="0.2">
      <c r="A10255" s="117">
        <v>44952</v>
      </c>
      <c r="B10255" s="116">
        <f t="shared" si="164"/>
        <v>14</v>
      </c>
    </row>
    <row r="10256" spans="1:2" x14ac:dyDescent="0.2">
      <c r="A10256" s="117">
        <v>44953</v>
      </c>
      <c r="B10256" s="116">
        <f t="shared" si="164"/>
        <v>14</v>
      </c>
    </row>
    <row r="10257" spans="1:2" x14ac:dyDescent="0.2">
      <c r="A10257" s="117">
        <v>44954</v>
      </c>
      <c r="B10257" s="116">
        <f t="shared" si="164"/>
        <v>14</v>
      </c>
    </row>
    <row r="10258" spans="1:2" x14ac:dyDescent="0.2">
      <c r="A10258" s="117">
        <v>44955</v>
      </c>
      <c r="B10258" s="116">
        <f t="shared" si="164"/>
        <v>15</v>
      </c>
    </row>
    <row r="10259" spans="1:2" x14ac:dyDescent="0.2">
      <c r="A10259" s="117">
        <v>44956</v>
      </c>
      <c r="B10259" s="116">
        <f t="shared" si="164"/>
        <v>15</v>
      </c>
    </row>
    <row r="10260" spans="1:2" x14ac:dyDescent="0.2">
      <c r="A10260" s="117">
        <v>44957</v>
      </c>
      <c r="B10260" s="116">
        <f t="shared" si="164"/>
        <v>15</v>
      </c>
    </row>
    <row r="10261" spans="1:2" x14ac:dyDescent="0.2">
      <c r="A10261" s="117">
        <v>44958</v>
      </c>
      <c r="B10261" s="116">
        <f t="shared" si="164"/>
        <v>15</v>
      </c>
    </row>
    <row r="10262" spans="1:2" x14ac:dyDescent="0.2">
      <c r="A10262" s="117">
        <v>44959</v>
      </c>
      <c r="B10262" s="116">
        <f t="shared" si="164"/>
        <v>15</v>
      </c>
    </row>
    <row r="10263" spans="1:2" x14ac:dyDescent="0.2">
      <c r="A10263" s="117">
        <v>44960</v>
      </c>
      <c r="B10263" s="116">
        <f t="shared" si="164"/>
        <v>15</v>
      </c>
    </row>
    <row r="10264" spans="1:2" x14ac:dyDescent="0.2">
      <c r="A10264" s="117">
        <v>44961</v>
      </c>
      <c r="B10264" s="116">
        <f t="shared" si="164"/>
        <v>15</v>
      </c>
    </row>
    <row r="10265" spans="1:2" x14ac:dyDescent="0.2">
      <c r="A10265" s="117">
        <v>44962</v>
      </c>
      <c r="B10265" s="116">
        <f t="shared" si="164"/>
        <v>21</v>
      </c>
    </row>
    <row r="10266" spans="1:2" x14ac:dyDescent="0.2">
      <c r="A10266" s="117">
        <v>44963</v>
      </c>
      <c r="B10266" s="116">
        <f t="shared" si="164"/>
        <v>21</v>
      </c>
    </row>
    <row r="10267" spans="1:2" x14ac:dyDescent="0.2">
      <c r="A10267" s="117">
        <v>44964</v>
      </c>
      <c r="B10267" s="116">
        <f t="shared" si="164"/>
        <v>21</v>
      </c>
    </row>
    <row r="10268" spans="1:2" x14ac:dyDescent="0.2">
      <c r="A10268" s="117">
        <v>44965</v>
      </c>
      <c r="B10268" s="116">
        <f t="shared" si="164"/>
        <v>21</v>
      </c>
    </row>
    <row r="10269" spans="1:2" x14ac:dyDescent="0.2">
      <c r="A10269" s="117">
        <v>44966</v>
      </c>
      <c r="B10269" s="116">
        <f t="shared" si="164"/>
        <v>21</v>
      </c>
    </row>
    <row r="10270" spans="1:2" x14ac:dyDescent="0.2">
      <c r="A10270" s="117">
        <v>44967</v>
      </c>
      <c r="B10270" s="116">
        <f t="shared" si="164"/>
        <v>21</v>
      </c>
    </row>
    <row r="10271" spans="1:2" x14ac:dyDescent="0.2">
      <c r="A10271" s="117">
        <v>44968</v>
      </c>
      <c r="B10271" s="116">
        <f t="shared" si="164"/>
        <v>21</v>
      </c>
    </row>
    <row r="10272" spans="1:2" x14ac:dyDescent="0.2">
      <c r="A10272" s="117">
        <v>44969</v>
      </c>
      <c r="B10272" s="116">
        <f t="shared" si="164"/>
        <v>22</v>
      </c>
    </row>
    <row r="10273" spans="1:2" x14ac:dyDescent="0.2">
      <c r="A10273" s="117">
        <v>44970</v>
      </c>
      <c r="B10273" s="116">
        <f t="shared" si="164"/>
        <v>22</v>
      </c>
    </row>
    <row r="10274" spans="1:2" x14ac:dyDescent="0.2">
      <c r="A10274" s="117">
        <v>44971</v>
      </c>
      <c r="B10274" s="116">
        <f t="shared" si="164"/>
        <v>22</v>
      </c>
    </row>
    <row r="10275" spans="1:2" x14ac:dyDescent="0.2">
      <c r="A10275" s="117">
        <v>44972</v>
      </c>
      <c r="B10275" s="116">
        <f t="shared" si="164"/>
        <v>22</v>
      </c>
    </row>
    <row r="10276" spans="1:2" x14ac:dyDescent="0.2">
      <c r="A10276" s="117">
        <v>44973</v>
      </c>
      <c r="B10276" s="116">
        <f t="shared" si="164"/>
        <v>22</v>
      </c>
    </row>
    <row r="10277" spans="1:2" x14ac:dyDescent="0.2">
      <c r="A10277" s="117">
        <v>44974</v>
      </c>
      <c r="B10277" s="116">
        <f t="shared" si="164"/>
        <v>22</v>
      </c>
    </row>
    <row r="10278" spans="1:2" x14ac:dyDescent="0.2">
      <c r="A10278" s="117">
        <v>44975</v>
      </c>
      <c r="B10278" s="116">
        <f t="shared" si="164"/>
        <v>22</v>
      </c>
    </row>
    <row r="10279" spans="1:2" x14ac:dyDescent="0.2">
      <c r="A10279" s="117">
        <v>44976</v>
      </c>
      <c r="B10279" s="116">
        <f t="shared" si="164"/>
        <v>23</v>
      </c>
    </row>
    <row r="10280" spans="1:2" x14ac:dyDescent="0.2">
      <c r="A10280" s="117">
        <v>44977</v>
      </c>
      <c r="B10280" s="116">
        <f t="shared" si="164"/>
        <v>23</v>
      </c>
    </row>
    <row r="10281" spans="1:2" x14ac:dyDescent="0.2">
      <c r="A10281" s="117">
        <v>44978</v>
      </c>
      <c r="B10281" s="116">
        <f t="shared" si="164"/>
        <v>23</v>
      </c>
    </row>
    <row r="10282" spans="1:2" x14ac:dyDescent="0.2">
      <c r="A10282" s="117">
        <v>44979</v>
      </c>
      <c r="B10282" s="116">
        <f t="shared" si="164"/>
        <v>23</v>
      </c>
    </row>
    <row r="10283" spans="1:2" x14ac:dyDescent="0.2">
      <c r="A10283" s="117">
        <v>44980</v>
      </c>
      <c r="B10283" s="116">
        <f t="shared" si="164"/>
        <v>23</v>
      </c>
    </row>
    <row r="10284" spans="1:2" x14ac:dyDescent="0.2">
      <c r="A10284" s="117">
        <v>44981</v>
      </c>
      <c r="B10284" s="116">
        <f t="shared" si="164"/>
        <v>23</v>
      </c>
    </row>
    <row r="10285" spans="1:2" x14ac:dyDescent="0.2">
      <c r="A10285" s="117">
        <v>44982</v>
      </c>
      <c r="B10285" s="116">
        <f t="shared" si="164"/>
        <v>23</v>
      </c>
    </row>
    <row r="10286" spans="1:2" x14ac:dyDescent="0.2">
      <c r="A10286" s="117">
        <v>44983</v>
      </c>
      <c r="B10286" s="116">
        <f t="shared" si="164"/>
        <v>24</v>
      </c>
    </row>
    <row r="10287" spans="1:2" x14ac:dyDescent="0.2">
      <c r="A10287" s="117">
        <v>44984</v>
      </c>
      <c r="B10287" s="116">
        <f t="shared" si="164"/>
        <v>24</v>
      </c>
    </row>
    <row r="10288" spans="1:2" x14ac:dyDescent="0.2">
      <c r="A10288" s="117">
        <v>44985</v>
      </c>
      <c r="B10288" s="116">
        <f t="shared" si="164"/>
        <v>24</v>
      </c>
    </row>
    <row r="10289" spans="1:2" x14ac:dyDescent="0.2">
      <c r="A10289" s="117">
        <v>44986</v>
      </c>
      <c r="B10289" s="116">
        <f t="shared" si="164"/>
        <v>24</v>
      </c>
    </row>
    <row r="10290" spans="1:2" x14ac:dyDescent="0.2">
      <c r="A10290" s="117">
        <v>44987</v>
      </c>
      <c r="B10290" s="116">
        <f t="shared" si="164"/>
        <v>24</v>
      </c>
    </row>
    <row r="10291" spans="1:2" x14ac:dyDescent="0.2">
      <c r="A10291" s="117">
        <v>44988</v>
      </c>
      <c r="B10291" s="116">
        <f t="shared" si="164"/>
        <v>24</v>
      </c>
    </row>
    <row r="10292" spans="1:2" x14ac:dyDescent="0.2">
      <c r="A10292" s="117">
        <v>44989</v>
      </c>
      <c r="B10292" s="116">
        <f t="shared" si="164"/>
        <v>24</v>
      </c>
    </row>
    <row r="10293" spans="1:2" x14ac:dyDescent="0.2">
      <c r="A10293" s="117">
        <v>44990</v>
      </c>
      <c r="B10293" s="116">
        <f t="shared" si="164"/>
        <v>31</v>
      </c>
    </row>
    <row r="10294" spans="1:2" x14ac:dyDescent="0.2">
      <c r="A10294" s="117">
        <v>44991</v>
      </c>
      <c r="B10294" s="116">
        <f t="shared" si="164"/>
        <v>31</v>
      </c>
    </row>
    <row r="10295" spans="1:2" x14ac:dyDescent="0.2">
      <c r="A10295" s="117">
        <v>44992</v>
      </c>
      <c r="B10295" s="116">
        <f t="shared" si="164"/>
        <v>31</v>
      </c>
    </row>
    <row r="10296" spans="1:2" x14ac:dyDescent="0.2">
      <c r="A10296" s="117">
        <v>44993</v>
      </c>
      <c r="B10296" s="116">
        <f t="shared" si="164"/>
        <v>31</v>
      </c>
    </row>
    <row r="10297" spans="1:2" x14ac:dyDescent="0.2">
      <c r="A10297" s="117">
        <v>44994</v>
      </c>
      <c r="B10297" s="116">
        <f t="shared" si="164"/>
        <v>31</v>
      </c>
    </row>
    <row r="10298" spans="1:2" x14ac:dyDescent="0.2">
      <c r="A10298" s="117">
        <v>44995</v>
      </c>
      <c r="B10298" s="116">
        <f t="shared" si="164"/>
        <v>31</v>
      </c>
    </row>
    <row r="10299" spans="1:2" x14ac:dyDescent="0.2">
      <c r="A10299" s="117">
        <v>44996</v>
      </c>
      <c r="B10299" s="116">
        <f t="shared" si="164"/>
        <v>31</v>
      </c>
    </row>
    <row r="10300" spans="1:2" x14ac:dyDescent="0.2">
      <c r="A10300" s="117">
        <v>44997</v>
      </c>
      <c r="B10300" s="116">
        <f t="shared" si="164"/>
        <v>32</v>
      </c>
    </row>
    <row r="10301" spans="1:2" x14ac:dyDescent="0.2">
      <c r="A10301" s="117">
        <v>44998</v>
      </c>
      <c r="B10301" s="116">
        <f t="shared" si="164"/>
        <v>32</v>
      </c>
    </row>
    <row r="10302" spans="1:2" x14ac:dyDescent="0.2">
      <c r="A10302" s="117">
        <v>44999</v>
      </c>
      <c r="B10302" s="116">
        <f t="shared" si="164"/>
        <v>32</v>
      </c>
    </row>
    <row r="10303" spans="1:2" x14ac:dyDescent="0.2">
      <c r="A10303" s="117">
        <v>45000</v>
      </c>
      <c r="B10303" s="116">
        <f t="shared" si="164"/>
        <v>32</v>
      </c>
    </row>
    <row r="10304" spans="1:2" x14ac:dyDescent="0.2">
      <c r="A10304" s="117">
        <v>45001</v>
      </c>
      <c r="B10304" s="116">
        <f t="shared" si="164"/>
        <v>32</v>
      </c>
    </row>
    <row r="10305" spans="1:2" x14ac:dyDescent="0.2">
      <c r="A10305" s="117">
        <v>45002</v>
      </c>
      <c r="B10305" s="116">
        <f t="shared" si="164"/>
        <v>32</v>
      </c>
    </row>
    <row r="10306" spans="1:2" x14ac:dyDescent="0.2">
      <c r="A10306" s="117">
        <v>45003</v>
      </c>
      <c r="B10306" s="116">
        <f t="shared" si="164"/>
        <v>32</v>
      </c>
    </row>
    <row r="10307" spans="1:2" x14ac:dyDescent="0.2">
      <c r="A10307" s="117">
        <v>45004</v>
      </c>
      <c r="B10307" s="116">
        <f t="shared" si="164"/>
        <v>33</v>
      </c>
    </row>
    <row r="10308" spans="1:2" x14ac:dyDescent="0.2">
      <c r="A10308" s="117">
        <v>45005</v>
      </c>
      <c r="B10308" s="116">
        <f t="shared" si="164"/>
        <v>33</v>
      </c>
    </row>
    <row r="10309" spans="1:2" x14ac:dyDescent="0.2">
      <c r="A10309" s="117">
        <v>45006</v>
      </c>
      <c r="B10309" s="116">
        <f t="shared" si="164"/>
        <v>33</v>
      </c>
    </row>
    <row r="10310" spans="1:2" x14ac:dyDescent="0.2">
      <c r="A10310" s="117">
        <v>45007</v>
      </c>
      <c r="B10310" s="116">
        <f t="shared" si="164"/>
        <v>33</v>
      </c>
    </row>
    <row r="10311" spans="1:2" x14ac:dyDescent="0.2">
      <c r="A10311" s="117">
        <v>45008</v>
      </c>
      <c r="B10311" s="116">
        <f t="shared" si="164"/>
        <v>33</v>
      </c>
    </row>
    <row r="10312" spans="1:2" x14ac:dyDescent="0.2">
      <c r="A10312" s="117">
        <v>45009</v>
      </c>
      <c r="B10312" s="116">
        <f t="shared" ref="B10312:B10375" si="165">VLOOKUP(WEEKNUM(A10312),$D$4:$E$59,2)</f>
        <v>33</v>
      </c>
    </row>
    <row r="10313" spans="1:2" x14ac:dyDescent="0.2">
      <c r="A10313" s="117">
        <v>45010</v>
      </c>
      <c r="B10313" s="116">
        <f t="shared" si="165"/>
        <v>33</v>
      </c>
    </row>
    <row r="10314" spans="1:2" x14ac:dyDescent="0.2">
      <c r="A10314" s="117">
        <v>45011</v>
      </c>
      <c r="B10314" s="116">
        <f t="shared" si="165"/>
        <v>34</v>
      </c>
    </row>
    <row r="10315" spans="1:2" x14ac:dyDescent="0.2">
      <c r="A10315" s="117">
        <v>45012</v>
      </c>
      <c r="B10315" s="116">
        <f t="shared" si="165"/>
        <v>34</v>
      </c>
    </row>
    <row r="10316" spans="1:2" x14ac:dyDescent="0.2">
      <c r="A10316" s="117">
        <v>45013</v>
      </c>
      <c r="B10316" s="116">
        <f t="shared" si="165"/>
        <v>34</v>
      </c>
    </row>
    <row r="10317" spans="1:2" x14ac:dyDescent="0.2">
      <c r="A10317" s="117">
        <v>45014</v>
      </c>
      <c r="B10317" s="116">
        <f t="shared" si="165"/>
        <v>34</v>
      </c>
    </row>
    <row r="10318" spans="1:2" x14ac:dyDescent="0.2">
      <c r="A10318" s="117">
        <v>45015</v>
      </c>
      <c r="B10318" s="116">
        <f t="shared" si="165"/>
        <v>34</v>
      </c>
    </row>
    <row r="10319" spans="1:2" x14ac:dyDescent="0.2">
      <c r="A10319" s="117">
        <v>45016</v>
      </c>
      <c r="B10319" s="116">
        <f t="shared" si="165"/>
        <v>34</v>
      </c>
    </row>
    <row r="10320" spans="1:2" x14ac:dyDescent="0.2">
      <c r="A10320" s="117">
        <v>45017</v>
      </c>
      <c r="B10320" s="116">
        <f t="shared" si="165"/>
        <v>34</v>
      </c>
    </row>
    <row r="10321" spans="1:2" x14ac:dyDescent="0.2">
      <c r="A10321" s="117">
        <v>45018</v>
      </c>
      <c r="B10321" s="116">
        <f t="shared" si="165"/>
        <v>41</v>
      </c>
    </row>
    <row r="10322" spans="1:2" x14ac:dyDescent="0.2">
      <c r="A10322" s="117">
        <v>45019</v>
      </c>
      <c r="B10322" s="116">
        <f t="shared" si="165"/>
        <v>41</v>
      </c>
    </row>
    <row r="10323" spans="1:2" x14ac:dyDescent="0.2">
      <c r="A10323" s="117">
        <v>45020</v>
      </c>
      <c r="B10323" s="116">
        <f t="shared" si="165"/>
        <v>41</v>
      </c>
    </row>
    <row r="10324" spans="1:2" x14ac:dyDescent="0.2">
      <c r="A10324" s="117">
        <v>45021</v>
      </c>
      <c r="B10324" s="116">
        <f t="shared" si="165"/>
        <v>41</v>
      </c>
    </row>
    <row r="10325" spans="1:2" x14ac:dyDescent="0.2">
      <c r="A10325" s="117">
        <v>45022</v>
      </c>
      <c r="B10325" s="116">
        <f t="shared" si="165"/>
        <v>41</v>
      </c>
    </row>
    <row r="10326" spans="1:2" x14ac:dyDescent="0.2">
      <c r="A10326" s="117">
        <v>45023</v>
      </c>
      <c r="B10326" s="116">
        <f t="shared" si="165"/>
        <v>41</v>
      </c>
    </row>
    <row r="10327" spans="1:2" x14ac:dyDescent="0.2">
      <c r="A10327" s="117">
        <v>45024</v>
      </c>
      <c r="B10327" s="116">
        <f t="shared" si="165"/>
        <v>41</v>
      </c>
    </row>
    <row r="10328" spans="1:2" x14ac:dyDescent="0.2">
      <c r="A10328" s="117">
        <v>45025</v>
      </c>
      <c r="B10328" s="116">
        <f t="shared" si="165"/>
        <v>42</v>
      </c>
    </row>
    <row r="10329" spans="1:2" x14ac:dyDescent="0.2">
      <c r="A10329" s="117">
        <v>45026</v>
      </c>
      <c r="B10329" s="116">
        <f t="shared" si="165"/>
        <v>42</v>
      </c>
    </row>
    <row r="10330" spans="1:2" x14ac:dyDescent="0.2">
      <c r="A10330" s="117">
        <v>45027</v>
      </c>
      <c r="B10330" s="116">
        <f t="shared" si="165"/>
        <v>42</v>
      </c>
    </row>
    <row r="10331" spans="1:2" x14ac:dyDescent="0.2">
      <c r="A10331" s="117">
        <v>45028</v>
      </c>
      <c r="B10331" s="116">
        <f t="shared" si="165"/>
        <v>42</v>
      </c>
    </row>
    <row r="10332" spans="1:2" x14ac:dyDescent="0.2">
      <c r="A10332" s="117">
        <v>45029</v>
      </c>
      <c r="B10332" s="116">
        <f t="shared" si="165"/>
        <v>42</v>
      </c>
    </row>
    <row r="10333" spans="1:2" x14ac:dyDescent="0.2">
      <c r="A10333" s="117">
        <v>45030</v>
      </c>
      <c r="B10333" s="116">
        <f t="shared" si="165"/>
        <v>42</v>
      </c>
    </row>
    <row r="10334" spans="1:2" x14ac:dyDescent="0.2">
      <c r="A10334" s="117">
        <v>45031</v>
      </c>
      <c r="B10334" s="116">
        <f t="shared" si="165"/>
        <v>42</v>
      </c>
    </row>
    <row r="10335" spans="1:2" x14ac:dyDescent="0.2">
      <c r="A10335" s="117">
        <v>45032</v>
      </c>
      <c r="B10335" s="116">
        <f t="shared" si="165"/>
        <v>43</v>
      </c>
    </row>
    <row r="10336" spans="1:2" x14ac:dyDescent="0.2">
      <c r="A10336" s="117">
        <v>45033</v>
      </c>
      <c r="B10336" s="116">
        <f t="shared" si="165"/>
        <v>43</v>
      </c>
    </row>
    <row r="10337" spans="1:2" x14ac:dyDescent="0.2">
      <c r="A10337" s="117">
        <v>45034</v>
      </c>
      <c r="B10337" s="116">
        <f t="shared" si="165"/>
        <v>43</v>
      </c>
    </row>
    <row r="10338" spans="1:2" x14ac:dyDescent="0.2">
      <c r="A10338" s="117">
        <v>45035</v>
      </c>
      <c r="B10338" s="116">
        <f t="shared" si="165"/>
        <v>43</v>
      </c>
    </row>
    <row r="10339" spans="1:2" x14ac:dyDescent="0.2">
      <c r="A10339" s="117">
        <v>45036</v>
      </c>
      <c r="B10339" s="116">
        <f t="shared" si="165"/>
        <v>43</v>
      </c>
    </row>
    <row r="10340" spans="1:2" x14ac:dyDescent="0.2">
      <c r="A10340" s="117">
        <v>45037</v>
      </c>
      <c r="B10340" s="116">
        <f t="shared" si="165"/>
        <v>43</v>
      </c>
    </row>
    <row r="10341" spans="1:2" x14ac:dyDescent="0.2">
      <c r="A10341" s="117">
        <v>45038</v>
      </c>
      <c r="B10341" s="116">
        <f t="shared" si="165"/>
        <v>43</v>
      </c>
    </row>
    <row r="10342" spans="1:2" x14ac:dyDescent="0.2">
      <c r="A10342" s="117">
        <v>45039</v>
      </c>
      <c r="B10342" s="116">
        <f t="shared" si="165"/>
        <v>44</v>
      </c>
    </row>
    <row r="10343" spans="1:2" x14ac:dyDescent="0.2">
      <c r="A10343" s="117">
        <v>45040</v>
      </c>
      <c r="B10343" s="116">
        <f t="shared" si="165"/>
        <v>44</v>
      </c>
    </row>
    <row r="10344" spans="1:2" x14ac:dyDescent="0.2">
      <c r="A10344" s="117">
        <v>45041</v>
      </c>
      <c r="B10344" s="116">
        <f t="shared" si="165"/>
        <v>44</v>
      </c>
    </row>
    <row r="10345" spans="1:2" x14ac:dyDescent="0.2">
      <c r="A10345" s="117">
        <v>45042</v>
      </c>
      <c r="B10345" s="116">
        <f t="shared" si="165"/>
        <v>44</v>
      </c>
    </row>
    <row r="10346" spans="1:2" x14ac:dyDescent="0.2">
      <c r="A10346" s="117">
        <v>45043</v>
      </c>
      <c r="B10346" s="116">
        <f t="shared" si="165"/>
        <v>44</v>
      </c>
    </row>
    <row r="10347" spans="1:2" x14ac:dyDescent="0.2">
      <c r="A10347" s="117">
        <v>45044</v>
      </c>
      <c r="B10347" s="116">
        <f t="shared" si="165"/>
        <v>44</v>
      </c>
    </row>
    <row r="10348" spans="1:2" x14ac:dyDescent="0.2">
      <c r="A10348" s="117">
        <v>45045</v>
      </c>
      <c r="B10348" s="116">
        <f t="shared" si="165"/>
        <v>44</v>
      </c>
    </row>
    <row r="10349" spans="1:2" x14ac:dyDescent="0.2">
      <c r="A10349" s="117">
        <v>45046</v>
      </c>
      <c r="B10349" s="116">
        <f t="shared" si="165"/>
        <v>45</v>
      </c>
    </row>
    <row r="10350" spans="1:2" x14ac:dyDescent="0.2">
      <c r="A10350" s="117">
        <v>45047</v>
      </c>
      <c r="B10350" s="116">
        <f t="shared" si="165"/>
        <v>45</v>
      </c>
    </row>
    <row r="10351" spans="1:2" x14ac:dyDescent="0.2">
      <c r="A10351" s="117">
        <v>45048</v>
      </c>
      <c r="B10351" s="116">
        <f t="shared" si="165"/>
        <v>45</v>
      </c>
    </row>
    <row r="10352" spans="1:2" x14ac:dyDescent="0.2">
      <c r="A10352" s="117">
        <v>45049</v>
      </c>
      <c r="B10352" s="116">
        <f t="shared" si="165"/>
        <v>45</v>
      </c>
    </row>
    <row r="10353" spans="1:2" x14ac:dyDescent="0.2">
      <c r="A10353" s="117">
        <v>45050</v>
      </c>
      <c r="B10353" s="116">
        <f t="shared" si="165"/>
        <v>45</v>
      </c>
    </row>
    <row r="10354" spans="1:2" x14ac:dyDescent="0.2">
      <c r="A10354" s="117">
        <v>45051</v>
      </c>
      <c r="B10354" s="116">
        <f t="shared" si="165"/>
        <v>45</v>
      </c>
    </row>
    <row r="10355" spans="1:2" x14ac:dyDescent="0.2">
      <c r="A10355" s="117">
        <v>45052</v>
      </c>
      <c r="B10355" s="116">
        <f t="shared" si="165"/>
        <v>45</v>
      </c>
    </row>
    <row r="10356" spans="1:2" x14ac:dyDescent="0.2">
      <c r="A10356" s="117">
        <v>45053</v>
      </c>
      <c r="B10356" s="116">
        <f t="shared" si="165"/>
        <v>51</v>
      </c>
    </row>
    <row r="10357" spans="1:2" x14ac:dyDescent="0.2">
      <c r="A10357" s="117">
        <v>45054</v>
      </c>
      <c r="B10357" s="116">
        <f t="shared" si="165"/>
        <v>51</v>
      </c>
    </row>
    <row r="10358" spans="1:2" x14ac:dyDescent="0.2">
      <c r="A10358" s="117">
        <v>45055</v>
      </c>
      <c r="B10358" s="116">
        <f t="shared" si="165"/>
        <v>51</v>
      </c>
    </row>
    <row r="10359" spans="1:2" x14ac:dyDescent="0.2">
      <c r="A10359" s="117">
        <v>45056</v>
      </c>
      <c r="B10359" s="116">
        <f t="shared" si="165"/>
        <v>51</v>
      </c>
    </row>
    <row r="10360" spans="1:2" x14ac:dyDescent="0.2">
      <c r="A10360" s="117">
        <v>45057</v>
      </c>
      <c r="B10360" s="116">
        <f t="shared" si="165"/>
        <v>51</v>
      </c>
    </row>
    <row r="10361" spans="1:2" x14ac:dyDescent="0.2">
      <c r="A10361" s="117">
        <v>45058</v>
      </c>
      <c r="B10361" s="116">
        <f t="shared" si="165"/>
        <v>51</v>
      </c>
    </row>
    <row r="10362" spans="1:2" x14ac:dyDescent="0.2">
      <c r="A10362" s="117">
        <v>45059</v>
      </c>
      <c r="B10362" s="116">
        <f t="shared" si="165"/>
        <v>51</v>
      </c>
    </row>
    <row r="10363" spans="1:2" x14ac:dyDescent="0.2">
      <c r="A10363" s="117">
        <v>45060</v>
      </c>
      <c r="B10363" s="116">
        <f t="shared" si="165"/>
        <v>52</v>
      </c>
    </row>
    <row r="10364" spans="1:2" x14ac:dyDescent="0.2">
      <c r="A10364" s="117">
        <v>45061</v>
      </c>
      <c r="B10364" s="116">
        <f t="shared" si="165"/>
        <v>52</v>
      </c>
    </row>
    <row r="10365" spans="1:2" x14ac:dyDescent="0.2">
      <c r="A10365" s="117">
        <v>45062</v>
      </c>
      <c r="B10365" s="116">
        <f t="shared" si="165"/>
        <v>52</v>
      </c>
    </row>
    <row r="10366" spans="1:2" x14ac:dyDescent="0.2">
      <c r="A10366" s="117">
        <v>45063</v>
      </c>
      <c r="B10366" s="116">
        <f t="shared" si="165"/>
        <v>52</v>
      </c>
    </row>
    <row r="10367" spans="1:2" x14ac:dyDescent="0.2">
      <c r="A10367" s="117">
        <v>45064</v>
      </c>
      <c r="B10367" s="116">
        <f t="shared" si="165"/>
        <v>52</v>
      </c>
    </row>
    <row r="10368" spans="1:2" x14ac:dyDescent="0.2">
      <c r="A10368" s="117">
        <v>45065</v>
      </c>
      <c r="B10368" s="116">
        <f t="shared" si="165"/>
        <v>52</v>
      </c>
    </row>
    <row r="10369" spans="1:2" x14ac:dyDescent="0.2">
      <c r="A10369" s="117">
        <v>45066</v>
      </c>
      <c r="B10369" s="116">
        <f t="shared" si="165"/>
        <v>52</v>
      </c>
    </row>
    <row r="10370" spans="1:2" x14ac:dyDescent="0.2">
      <c r="A10370" s="117">
        <v>45067</v>
      </c>
      <c r="B10370" s="116">
        <f t="shared" si="165"/>
        <v>53</v>
      </c>
    </row>
    <row r="10371" spans="1:2" x14ac:dyDescent="0.2">
      <c r="A10371" s="117">
        <v>45068</v>
      </c>
      <c r="B10371" s="116">
        <f t="shared" si="165"/>
        <v>53</v>
      </c>
    </row>
    <row r="10372" spans="1:2" x14ac:dyDescent="0.2">
      <c r="A10372" s="117">
        <v>45069</v>
      </c>
      <c r="B10372" s="116">
        <f t="shared" si="165"/>
        <v>53</v>
      </c>
    </row>
    <row r="10373" spans="1:2" x14ac:dyDescent="0.2">
      <c r="A10373" s="117">
        <v>45070</v>
      </c>
      <c r="B10373" s="116">
        <f t="shared" si="165"/>
        <v>53</v>
      </c>
    </row>
    <row r="10374" spans="1:2" x14ac:dyDescent="0.2">
      <c r="A10374" s="117">
        <v>45071</v>
      </c>
      <c r="B10374" s="116">
        <f t="shared" si="165"/>
        <v>53</v>
      </c>
    </row>
    <row r="10375" spans="1:2" x14ac:dyDescent="0.2">
      <c r="A10375" s="117">
        <v>45072</v>
      </c>
      <c r="B10375" s="116">
        <f t="shared" si="165"/>
        <v>53</v>
      </c>
    </row>
    <row r="10376" spans="1:2" x14ac:dyDescent="0.2">
      <c r="A10376" s="117">
        <v>45073</v>
      </c>
      <c r="B10376" s="116">
        <f t="shared" ref="B10376:B10439" si="166">VLOOKUP(WEEKNUM(A10376),$D$4:$E$59,2)</f>
        <v>53</v>
      </c>
    </row>
    <row r="10377" spans="1:2" x14ac:dyDescent="0.2">
      <c r="A10377" s="117">
        <v>45074</v>
      </c>
      <c r="B10377" s="116">
        <f t="shared" si="166"/>
        <v>54</v>
      </c>
    </row>
    <row r="10378" spans="1:2" x14ac:dyDescent="0.2">
      <c r="A10378" s="117">
        <v>45075</v>
      </c>
      <c r="B10378" s="116">
        <f t="shared" si="166"/>
        <v>54</v>
      </c>
    </row>
    <row r="10379" spans="1:2" x14ac:dyDescent="0.2">
      <c r="A10379" s="117">
        <v>45076</v>
      </c>
      <c r="B10379" s="116">
        <f t="shared" si="166"/>
        <v>54</v>
      </c>
    </row>
    <row r="10380" spans="1:2" x14ac:dyDescent="0.2">
      <c r="A10380" s="117">
        <v>45077</v>
      </c>
      <c r="B10380" s="116">
        <f t="shared" si="166"/>
        <v>54</v>
      </c>
    </row>
    <row r="10381" spans="1:2" x14ac:dyDescent="0.2">
      <c r="A10381" s="117">
        <v>45078</v>
      </c>
      <c r="B10381" s="116">
        <f t="shared" si="166"/>
        <v>54</v>
      </c>
    </row>
    <row r="10382" spans="1:2" x14ac:dyDescent="0.2">
      <c r="A10382" s="117">
        <v>45079</v>
      </c>
      <c r="B10382" s="116">
        <f t="shared" si="166"/>
        <v>54</v>
      </c>
    </row>
    <row r="10383" spans="1:2" x14ac:dyDescent="0.2">
      <c r="A10383" s="117">
        <v>45080</v>
      </c>
      <c r="B10383" s="116">
        <f t="shared" si="166"/>
        <v>54</v>
      </c>
    </row>
    <row r="10384" spans="1:2" x14ac:dyDescent="0.2">
      <c r="A10384" s="117">
        <v>45081</v>
      </c>
      <c r="B10384" s="116">
        <f t="shared" si="166"/>
        <v>61</v>
      </c>
    </row>
    <row r="10385" spans="1:2" x14ac:dyDescent="0.2">
      <c r="A10385" s="117">
        <v>45082</v>
      </c>
      <c r="B10385" s="116">
        <f t="shared" si="166"/>
        <v>61</v>
      </c>
    </row>
    <row r="10386" spans="1:2" x14ac:dyDescent="0.2">
      <c r="A10386" s="117">
        <v>45083</v>
      </c>
      <c r="B10386" s="116">
        <f t="shared" si="166"/>
        <v>61</v>
      </c>
    </row>
    <row r="10387" spans="1:2" x14ac:dyDescent="0.2">
      <c r="A10387" s="117">
        <v>45084</v>
      </c>
      <c r="B10387" s="116">
        <f t="shared" si="166"/>
        <v>61</v>
      </c>
    </row>
    <row r="10388" spans="1:2" x14ac:dyDescent="0.2">
      <c r="A10388" s="117">
        <v>45085</v>
      </c>
      <c r="B10388" s="116">
        <f t="shared" si="166"/>
        <v>61</v>
      </c>
    </row>
    <row r="10389" spans="1:2" x14ac:dyDescent="0.2">
      <c r="A10389" s="117">
        <v>45086</v>
      </c>
      <c r="B10389" s="116">
        <f t="shared" si="166"/>
        <v>61</v>
      </c>
    </row>
    <row r="10390" spans="1:2" x14ac:dyDescent="0.2">
      <c r="A10390" s="117">
        <v>45087</v>
      </c>
      <c r="B10390" s="116">
        <f t="shared" si="166"/>
        <v>61</v>
      </c>
    </row>
    <row r="10391" spans="1:2" x14ac:dyDescent="0.2">
      <c r="A10391" s="117">
        <v>45088</v>
      </c>
      <c r="B10391" s="116">
        <f t="shared" si="166"/>
        <v>62</v>
      </c>
    </row>
    <row r="10392" spans="1:2" x14ac:dyDescent="0.2">
      <c r="A10392" s="117">
        <v>45089</v>
      </c>
      <c r="B10392" s="116">
        <f t="shared" si="166"/>
        <v>62</v>
      </c>
    </row>
    <row r="10393" spans="1:2" x14ac:dyDescent="0.2">
      <c r="A10393" s="117">
        <v>45090</v>
      </c>
      <c r="B10393" s="116">
        <f t="shared" si="166"/>
        <v>62</v>
      </c>
    </row>
    <row r="10394" spans="1:2" x14ac:dyDescent="0.2">
      <c r="A10394" s="117">
        <v>45091</v>
      </c>
      <c r="B10394" s="116">
        <f t="shared" si="166"/>
        <v>62</v>
      </c>
    </row>
    <row r="10395" spans="1:2" x14ac:dyDescent="0.2">
      <c r="A10395" s="117">
        <v>45092</v>
      </c>
      <c r="B10395" s="116">
        <f t="shared" si="166"/>
        <v>62</v>
      </c>
    </row>
    <row r="10396" spans="1:2" x14ac:dyDescent="0.2">
      <c r="A10396" s="117">
        <v>45093</v>
      </c>
      <c r="B10396" s="116">
        <f t="shared" si="166"/>
        <v>62</v>
      </c>
    </row>
    <row r="10397" spans="1:2" x14ac:dyDescent="0.2">
      <c r="A10397" s="117">
        <v>45094</v>
      </c>
      <c r="B10397" s="116">
        <f t="shared" si="166"/>
        <v>62</v>
      </c>
    </row>
    <row r="10398" spans="1:2" x14ac:dyDescent="0.2">
      <c r="A10398" s="117">
        <v>45095</v>
      </c>
      <c r="B10398" s="116">
        <f t="shared" si="166"/>
        <v>63</v>
      </c>
    </row>
    <row r="10399" spans="1:2" x14ac:dyDescent="0.2">
      <c r="A10399" s="117">
        <v>45096</v>
      </c>
      <c r="B10399" s="116">
        <f t="shared" si="166"/>
        <v>63</v>
      </c>
    </row>
    <row r="10400" spans="1:2" x14ac:dyDescent="0.2">
      <c r="A10400" s="117">
        <v>45097</v>
      </c>
      <c r="B10400" s="116">
        <f t="shared" si="166"/>
        <v>63</v>
      </c>
    </row>
    <row r="10401" spans="1:2" x14ac:dyDescent="0.2">
      <c r="A10401" s="117">
        <v>45098</v>
      </c>
      <c r="B10401" s="116">
        <f t="shared" si="166"/>
        <v>63</v>
      </c>
    </row>
    <row r="10402" spans="1:2" x14ac:dyDescent="0.2">
      <c r="A10402" s="117">
        <v>45099</v>
      </c>
      <c r="B10402" s="116">
        <f t="shared" si="166"/>
        <v>63</v>
      </c>
    </row>
    <row r="10403" spans="1:2" x14ac:dyDescent="0.2">
      <c r="A10403" s="117">
        <v>45100</v>
      </c>
      <c r="B10403" s="116">
        <f t="shared" si="166"/>
        <v>63</v>
      </c>
    </row>
    <row r="10404" spans="1:2" x14ac:dyDescent="0.2">
      <c r="A10404" s="117">
        <v>45101</v>
      </c>
      <c r="B10404" s="116">
        <f t="shared" si="166"/>
        <v>63</v>
      </c>
    </row>
    <row r="10405" spans="1:2" x14ac:dyDescent="0.2">
      <c r="A10405" s="117">
        <v>45102</v>
      </c>
      <c r="B10405" s="116">
        <f t="shared" si="166"/>
        <v>64</v>
      </c>
    </row>
    <row r="10406" spans="1:2" x14ac:dyDescent="0.2">
      <c r="A10406" s="117">
        <v>45103</v>
      </c>
      <c r="B10406" s="116">
        <f t="shared" si="166"/>
        <v>64</v>
      </c>
    </row>
    <row r="10407" spans="1:2" x14ac:dyDescent="0.2">
      <c r="A10407" s="117">
        <v>45104</v>
      </c>
      <c r="B10407" s="116">
        <f t="shared" si="166"/>
        <v>64</v>
      </c>
    </row>
    <row r="10408" spans="1:2" x14ac:dyDescent="0.2">
      <c r="A10408" s="117">
        <v>45105</v>
      </c>
      <c r="B10408" s="116">
        <f t="shared" si="166"/>
        <v>64</v>
      </c>
    </row>
    <row r="10409" spans="1:2" x14ac:dyDescent="0.2">
      <c r="A10409" s="117">
        <v>45106</v>
      </c>
      <c r="B10409" s="116">
        <f t="shared" si="166"/>
        <v>64</v>
      </c>
    </row>
    <row r="10410" spans="1:2" x14ac:dyDescent="0.2">
      <c r="A10410" s="117">
        <v>45107</v>
      </c>
      <c r="B10410" s="116">
        <f t="shared" si="166"/>
        <v>64</v>
      </c>
    </row>
    <row r="10411" spans="1:2" x14ac:dyDescent="0.2">
      <c r="A10411" s="117">
        <v>45108</v>
      </c>
      <c r="B10411" s="116">
        <f t="shared" si="166"/>
        <v>64</v>
      </c>
    </row>
    <row r="10412" spans="1:2" x14ac:dyDescent="0.2">
      <c r="A10412" s="117">
        <v>45109</v>
      </c>
      <c r="B10412" s="116">
        <f t="shared" si="166"/>
        <v>71</v>
      </c>
    </row>
    <row r="10413" spans="1:2" x14ac:dyDescent="0.2">
      <c r="A10413" s="117">
        <v>45110</v>
      </c>
      <c r="B10413" s="116">
        <f t="shared" si="166"/>
        <v>71</v>
      </c>
    </row>
    <row r="10414" spans="1:2" x14ac:dyDescent="0.2">
      <c r="A10414" s="117">
        <v>45111</v>
      </c>
      <c r="B10414" s="116">
        <f t="shared" si="166"/>
        <v>71</v>
      </c>
    </row>
    <row r="10415" spans="1:2" x14ac:dyDescent="0.2">
      <c r="A10415" s="117">
        <v>45112</v>
      </c>
      <c r="B10415" s="116">
        <f t="shared" si="166"/>
        <v>71</v>
      </c>
    </row>
    <row r="10416" spans="1:2" x14ac:dyDescent="0.2">
      <c r="A10416" s="117">
        <v>45113</v>
      </c>
      <c r="B10416" s="116">
        <f t="shared" si="166"/>
        <v>71</v>
      </c>
    </row>
    <row r="10417" spans="1:2" x14ac:dyDescent="0.2">
      <c r="A10417" s="117">
        <v>45114</v>
      </c>
      <c r="B10417" s="116">
        <f t="shared" si="166"/>
        <v>71</v>
      </c>
    </row>
    <row r="10418" spans="1:2" x14ac:dyDescent="0.2">
      <c r="A10418" s="117">
        <v>45115</v>
      </c>
      <c r="B10418" s="116">
        <f t="shared" si="166"/>
        <v>71</v>
      </c>
    </row>
    <row r="10419" spans="1:2" x14ac:dyDescent="0.2">
      <c r="A10419" s="117">
        <v>45116</v>
      </c>
      <c r="B10419" s="116">
        <f t="shared" si="166"/>
        <v>72</v>
      </c>
    </row>
    <row r="10420" spans="1:2" x14ac:dyDescent="0.2">
      <c r="A10420" s="117">
        <v>45117</v>
      </c>
      <c r="B10420" s="116">
        <f t="shared" si="166"/>
        <v>72</v>
      </c>
    </row>
    <row r="10421" spans="1:2" x14ac:dyDescent="0.2">
      <c r="A10421" s="117">
        <v>45118</v>
      </c>
      <c r="B10421" s="116">
        <f t="shared" si="166"/>
        <v>72</v>
      </c>
    </row>
    <row r="10422" spans="1:2" x14ac:dyDescent="0.2">
      <c r="A10422" s="117">
        <v>45119</v>
      </c>
      <c r="B10422" s="116">
        <f t="shared" si="166"/>
        <v>72</v>
      </c>
    </row>
    <row r="10423" spans="1:2" x14ac:dyDescent="0.2">
      <c r="A10423" s="117">
        <v>45120</v>
      </c>
      <c r="B10423" s="116">
        <f t="shared" si="166"/>
        <v>72</v>
      </c>
    </row>
    <row r="10424" spans="1:2" x14ac:dyDescent="0.2">
      <c r="A10424" s="117">
        <v>45121</v>
      </c>
      <c r="B10424" s="116">
        <f t="shared" si="166"/>
        <v>72</v>
      </c>
    </row>
    <row r="10425" spans="1:2" x14ac:dyDescent="0.2">
      <c r="A10425" s="117">
        <v>45122</v>
      </c>
      <c r="B10425" s="116">
        <f t="shared" si="166"/>
        <v>72</v>
      </c>
    </row>
    <row r="10426" spans="1:2" x14ac:dyDescent="0.2">
      <c r="A10426" s="117">
        <v>45123</v>
      </c>
      <c r="B10426" s="116">
        <f t="shared" si="166"/>
        <v>73</v>
      </c>
    </row>
    <row r="10427" spans="1:2" x14ac:dyDescent="0.2">
      <c r="A10427" s="117">
        <v>45124</v>
      </c>
      <c r="B10427" s="116">
        <f t="shared" si="166"/>
        <v>73</v>
      </c>
    </row>
    <row r="10428" spans="1:2" x14ac:dyDescent="0.2">
      <c r="A10428" s="117">
        <v>45125</v>
      </c>
      <c r="B10428" s="116">
        <f t="shared" si="166"/>
        <v>73</v>
      </c>
    </row>
    <row r="10429" spans="1:2" x14ac:dyDescent="0.2">
      <c r="A10429" s="117">
        <v>45126</v>
      </c>
      <c r="B10429" s="116">
        <f t="shared" si="166"/>
        <v>73</v>
      </c>
    </row>
    <row r="10430" spans="1:2" x14ac:dyDescent="0.2">
      <c r="A10430" s="117">
        <v>45127</v>
      </c>
      <c r="B10430" s="116">
        <f t="shared" si="166"/>
        <v>73</v>
      </c>
    </row>
    <row r="10431" spans="1:2" x14ac:dyDescent="0.2">
      <c r="A10431" s="117">
        <v>45128</v>
      </c>
      <c r="B10431" s="116">
        <f t="shared" si="166"/>
        <v>73</v>
      </c>
    </row>
    <row r="10432" spans="1:2" x14ac:dyDescent="0.2">
      <c r="A10432" s="117">
        <v>45129</v>
      </c>
      <c r="B10432" s="116">
        <f t="shared" si="166"/>
        <v>73</v>
      </c>
    </row>
    <row r="10433" spans="1:2" x14ac:dyDescent="0.2">
      <c r="A10433" s="117">
        <v>45130</v>
      </c>
      <c r="B10433" s="116">
        <f t="shared" si="166"/>
        <v>74</v>
      </c>
    </row>
    <row r="10434" spans="1:2" x14ac:dyDescent="0.2">
      <c r="A10434" s="117">
        <v>45131</v>
      </c>
      <c r="B10434" s="116">
        <f t="shared" si="166"/>
        <v>74</v>
      </c>
    </row>
    <row r="10435" spans="1:2" x14ac:dyDescent="0.2">
      <c r="A10435" s="117">
        <v>45132</v>
      </c>
      <c r="B10435" s="116">
        <f t="shared" si="166"/>
        <v>74</v>
      </c>
    </row>
    <row r="10436" spans="1:2" x14ac:dyDescent="0.2">
      <c r="A10436" s="117">
        <v>45133</v>
      </c>
      <c r="B10436" s="116">
        <f t="shared" si="166"/>
        <v>74</v>
      </c>
    </row>
    <row r="10437" spans="1:2" x14ac:dyDescent="0.2">
      <c r="A10437" s="117">
        <v>45134</v>
      </c>
      <c r="B10437" s="116">
        <f t="shared" si="166"/>
        <v>74</v>
      </c>
    </row>
    <row r="10438" spans="1:2" x14ac:dyDescent="0.2">
      <c r="A10438" s="117">
        <v>45135</v>
      </c>
      <c r="B10438" s="116">
        <f t="shared" si="166"/>
        <v>74</v>
      </c>
    </row>
    <row r="10439" spans="1:2" x14ac:dyDescent="0.2">
      <c r="A10439" s="117">
        <v>45136</v>
      </c>
      <c r="B10439" s="116">
        <f t="shared" si="166"/>
        <v>74</v>
      </c>
    </row>
    <row r="10440" spans="1:2" x14ac:dyDescent="0.2">
      <c r="A10440" s="117">
        <v>45137</v>
      </c>
      <c r="B10440" s="116">
        <f t="shared" ref="B10440:B10503" si="167">VLOOKUP(WEEKNUM(A10440),$D$4:$E$59,2)</f>
        <v>75</v>
      </c>
    </row>
    <row r="10441" spans="1:2" x14ac:dyDescent="0.2">
      <c r="A10441" s="117">
        <v>45138</v>
      </c>
      <c r="B10441" s="116">
        <f t="shared" si="167"/>
        <v>75</v>
      </c>
    </row>
    <row r="10442" spans="1:2" x14ac:dyDescent="0.2">
      <c r="A10442" s="117">
        <v>45139</v>
      </c>
      <c r="B10442" s="116">
        <f t="shared" si="167"/>
        <v>75</v>
      </c>
    </row>
    <row r="10443" spans="1:2" x14ac:dyDescent="0.2">
      <c r="A10443" s="117">
        <v>45140</v>
      </c>
      <c r="B10443" s="116">
        <f t="shared" si="167"/>
        <v>75</v>
      </c>
    </row>
    <row r="10444" spans="1:2" x14ac:dyDescent="0.2">
      <c r="A10444" s="117">
        <v>45141</v>
      </c>
      <c r="B10444" s="116">
        <f t="shared" si="167"/>
        <v>75</v>
      </c>
    </row>
    <row r="10445" spans="1:2" x14ac:dyDescent="0.2">
      <c r="A10445" s="117">
        <v>45142</v>
      </c>
      <c r="B10445" s="116">
        <f t="shared" si="167"/>
        <v>75</v>
      </c>
    </row>
    <row r="10446" spans="1:2" x14ac:dyDescent="0.2">
      <c r="A10446" s="117">
        <v>45143</v>
      </c>
      <c r="B10446" s="116">
        <f t="shared" si="167"/>
        <v>75</v>
      </c>
    </row>
    <row r="10447" spans="1:2" x14ac:dyDescent="0.2">
      <c r="A10447" s="117">
        <v>45144</v>
      </c>
      <c r="B10447" s="116">
        <f t="shared" si="167"/>
        <v>81</v>
      </c>
    </row>
    <row r="10448" spans="1:2" x14ac:dyDescent="0.2">
      <c r="A10448" s="117">
        <v>45145</v>
      </c>
      <c r="B10448" s="116">
        <f t="shared" si="167"/>
        <v>81</v>
      </c>
    </row>
    <row r="10449" spans="1:2" x14ac:dyDescent="0.2">
      <c r="A10449" s="117">
        <v>45146</v>
      </c>
      <c r="B10449" s="116">
        <f t="shared" si="167"/>
        <v>81</v>
      </c>
    </row>
    <row r="10450" spans="1:2" x14ac:dyDescent="0.2">
      <c r="A10450" s="117">
        <v>45147</v>
      </c>
      <c r="B10450" s="116">
        <f t="shared" si="167"/>
        <v>81</v>
      </c>
    </row>
    <row r="10451" spans="1:2" x14ac:dyDescent="0.2">
      <c r="A10451" s="117">
        <v>45148</v>
      </c>
      <c r="B10451" s="116">
        <f t="shared" si="167"/>
        <v>81</v>
      </c>
    </row>
    <row r="10452" spans="1:2" x14ac:dyDescent="0.2">
      <c r="A10452" s="117">
        <v>45149</v>
      </c>
      <c r="B10452" s="116">
        <f t="shared" si="167"/>
        <v>81</v>
      </c>
    </row>
    <row r="10453" spans="1:2" x14ac:dyDescent="0.2">
      <c r="A10453" s="117">
        <v>45150</v>
      </c>
      <c r="B10453" s="116">
        <f t="shared" si="167"/>
        <v>81</v>
      </c>
    </row>
    <row r="10454" spans="1:2" x14ac:dyDescent="0.2">
      <c r="A10454" s="117">
        <v>45151</v>
      </c>
      <c r="B10454" s="116">
        <f t="shared" si="167"/>
        <v>82</v>
      </c>
    </row>
    <row r="10455" spans="1:2" x14ac:dyDescent="0.2">
      <c r="A10455" s="117">
        <v>45152</v>
      </c>
      <c r="B10455" s="116">
        <f t="shared" si="167"/>
        <v>82</v>
      </c>
    </row>
    <row r="10456" spans="1:2" x14ac:dyDescent="0.2">
      <c r="A10456" s="117">
        <v>45153</v>
      </c>
      <c r="B10456" s="116">
        <f t="shared" si="167"/>
        <v>82</v>
      </c>
    </row>
    <row r="10457" spans="1:2" x14ac:dyDescent="0.2">
      <c r="A10457" s="117">
        <v>45154</v>
      </c>
      <c r="B10457" s="116">
        <f t="shared" si="167"/>
        <v>82</v>
      </c>
    </row>
    <row r="10458" spans="1:2" x14ac:dyDescent="0.2">
      <c r="A10458" s="117">
        <v>45155</v>
      </c>
      <c r="B10458" s="116">
        <f t="shared" si="167"/>
        <v>82</v>
      </c>
    </row>
    <row r="10459" spans="1:2" x14ac:dyDescent="0.2">
      <c r="A10459" s="117">
        <v>45156</v>
      </c>
      <c r="B10459" s="116">
        <f t="shared" si="167"/>
        <v>82</v>
      </c>
    </row>
    <row r="10460" spans="1:2" x14ac:dyDescent="0.2">
      <c r="A10460" s="117">
        <v>45157</v>
      </c>
      <c r="B10460" s="116">
        <f t="shared" si="167"/>
        <v>82</v>
      </c>
    </row>
    <row r="10461" spans="1:2" x14ac:dyDescent="0.2">
      <c r="A10461" s="117">
        <v>45158</v>
      </c>
      <c r="B10461" s="116">
        <f t="shared" si="167"/>
        <v>83</v>
      </c>
    </row>
    <row r="10462" spans="1:2" x14ac:dyDescent="0.2">
      <c r="A10462" s="117">
        <v>45159</v>
      </c>
      <c r="B10462" s="116">
        <f t="shared" si="167"/>
        <v>83</v>
      </c>
    </row>
    <row r="10463" spans="1:2" x14ac:dyDescent="0.2">
      <c r="A10463" s="117">
        <v>45160</v>
      </c>
      <c r="B10463" s="116">
        <f t="shared" si="167"/>
        <v>83</v>
      </c>
    </row>
    <row r="10464" spans="1:2" x14ac:dyDescent="0.2">
      <c r="A10464" s="117">
        <v>45161</v>
      </c>
      <c r="B10464" s="116">
        <f t="shared" si="167"/>
        <v>83</v>
      </c>
    </row>
    <row r="10465" spans="1:2" x14ac:dyDescent="0.2">
      <c r="A10465" s="117">
        <v>45162</v>
      </c>
      <c r="B10465" s="116">
        <f t="shared" si="167"/>
        <v>83</v>
      </c>
    </row>
    <row r="10466" spans="1:2" x14ac:dyDescent="0.2">
      <c r="A10466" s="117">
        <v>45163</v>
      </c>
      <c r="B10466" s="116">
        <f t="shared" si="167"/>
        <v>83</v>
      </c>
    </row>
    <row r="10467" spans="1:2" x14ac:dyDescent="0.2">
      <c r="A10467" s="117">
        <v>45164</v>
      </c>
      <c r="B10467" s="116">
        <f t="shared" si="167"/>
        <v>83</v>
      </c>
    </row>
    <row r="10468" spans="1:2" x14ac:dyDescent="0.2">
      <c r="A10468" s="117">
        <v>45165</v>
      </c>
      <c r="B10468" s="116">
        <f t="shared" si="167"/>
        <v>84</v>
      </c>
    </row>
    <row r="10469" spans="1:2" x14ac:dyDescent="0.2">
      <c r="A10469" s="117">
        <v>45166</v>
      </c>
      <c r="B10469" s="116">
        <f t="shared" si="167"/>
        <v>84</v>
      </c>
    </row>
    <row r="10470" spans="1:2" x14ac:dyDescent="0.2">
      <c r="A10470" s="117">
        <v>45167</v>
      </c>
      <c r="B10470" s="116">
        <f t="shared" si="167"/>
        <v>84</v>
      </c>
    </row>
    <row r="10471" spans="1:2" x14ac:dyDescent="0.2">
      <c r="A10471" s="117">
        <v>45168</v>
      </c>
      <c r="B10471" s="116">
        <f t="shared" si="167"/>
        <v>84</v>
      </c>
    </row>
    <row r="10472" spans="1:2" x14ac:dyDescent="0.2">
      <c r="A10472" s="117">
        <v>45169</v>
      </c>
      <c r="B10472" s="116">
        <f t="shared" si="167"/>
        <v>84</v>
      </c>
    </row>
    <row r="10473" spans="1:2" x14ac:dyDescent="0.2">
      <c r="A10473" s="117">
        <v>45170</v>
      </c>
      <c r="B10473" s="116">
        <f t="shared" si="167"/>
        <v>84</v>
      </c>
    </row>
    <row r="10474" spans="1:2" x14ac:dyDescent="0.2">
      <c r="A10474" s="117">
        <v>45171</v>
      </c>
      <c r="B10474" s="116">
        <f t="shared" si="167"/>
        <v>84</v>
      </c>
    </row>
    <row r="10475" spans="1:2" x14ac:dyDescent="0.2">
      <c r="A10475" s="117">
        <v>45172</v>
      </c>
      <c r="B10475" s="116">
        <f t="shared" si="167"/>
        <v>91</v>
      </c>
    </row>
    <row r="10476" spans="1:2" x14ac:dyDescent="0.2">
      <c r="A10476" s="117">
        <v>45173</v>
      </c>
      <c r="B10476" s="116">
        <f t="shared" si="167"/>
        <v>91</v>
      </c>
    </row>
    <row r="10477" spans="1:2" x14ac:dyDescent="0.2">
      <c r="A10477" s="117">
        <v>45174</v>
      </c>
      <c r="B10477" s="116">
        <f t="shared" si="167"/>
        <v>91</v>
      </c>
    </row>
    <row r="10478" spans="1:2" x14ac:dyDescent="0.2">
      <c r="A10478" s="117">
        <v>45175</v>
      </c>
      <c r="B10478" s="116">
        <f t="shared" si="167"/>
        <v>91</v>
      </c>
    </row>
    <row r="10479" spans="1:2" x14ac:dyDescent="0.2">
      <c r="A10479" s="117">
        <v>45176</v>
      </c>
      <c r="B10479" s="116">
        <f t="shared" si="167"/>
        <v>91</v>
      </c>
    </row>
    <row r="10480" spans="1:2" x14ac:dyDescent="0.2">
      <c r="A10480" s="117">
        <v>45177</v>
      </c>
      <c r="B10480" s="116">
        <f t="shared" si="167"/>
        <v>91</v>
      </c>
    </row>
    <row r="10481" spans="1:2" x14ac:dyDescent="0.2">
      <c r="A10481" s="117">
        <v>45178</v>
      </c>
      <c r="B10481" s="116">
        <f t="shared" si="167"/>
        <v>91</v>
      </c>
    </row>
    <row r="10482" spans="1:2" x14ac:dyDescent="0.2">
      <c r="A10482" s="117">
        <v>45179</v>
      </c>
      <c r="B10482" s="116">
        <f t="shared" si="167"/>
        <v>92</v>
      </c>
    </row>
    <row r="10483" spans="1:2" x14ac:dyDescent="0.2">
      <c r="A10483" s="117">
        <v>45180</v>
      </c>
      <c r="B10483" s="116">
        <f t="shared" si="167"/>
        <v>92</v>
      </c>
    </row>
    <row r="10484" spans="1:2" x14ac:dyDescent="0.2">
      <c r="A10484" s="117">
        <v>45181</v>
      </c>
      <c r="B10484" s="116">
        <f t="shared" si="167"/>
        <v>92</v>
      </c>
    </row>
    <row r="10485" spans="1:2" x14ac:dyDescent="0.2">
      <c r="A10485" s="117">
        <v>45182</v>
      </c>
      <c r="B10485" s="116">
        <f t="shared" si="167"/>
        <v>92</v>
      </c>
    </row>
    <row r="10486" spans="1:2" x14ac:dyDescent="0.2">
      <c r="A10486" s="117">
        <v>45183</v>
      </c>
      <c r="B10486" s="116">
        <f t="shared" si="167"/>
        <v>92</v>
      </c>
    </row>
    <row r="10487" spans="1:2" x14ac:dyDescent="0.2">
      <c r="A10487" s="117">
        <v>45184</v>
      </c>
      <c r="B10487" s="116">
        <f t="shared" si="167"/>
        <v>92</v>
      </c>
    </row>
    <row r="10488" spans="1:2" x14ac:dyDescent="0.2">
      <c r="A10488" s="117">
        <v>45185</v>
      </c>
      <c r="B10488" s="116">
        <f t="shared" si="167"/>
        <v>92</v>
      </c>
    </row>
    <row r="10489" spans="1:2" x14ac:dyDescent="0.2">
      <c r="A10489" s="117">
        <v>45186</v>
      </c>
      <c r="B10489" s="116">
        <f t="shared" si="167"/>
        <v>93</v>
      </c>
    </row>
    <row r="10490" spans="1:2" x14ac:dyDescent="0.2">
      <c r="A10490" s="117">
        <v>45187</v>
      </c>
      <c r="B10490" s="116">
        <f t="shared" si="167"/>
        <v>93</v>
      </c>
    </row>
    <row r="10491" spans="1:2" x14ac:dyDescent="0.2">
      <c r="A10491" s="117">
        <v>45188</v>
      </c>
      <c r="B10491" s="116">
        <f t="shared" si="167"/>
        <v>93</v>
      </c>
    </row>
    <row r="10492" spans="1:2" x14ac:dyDescent="0.2">
      <c r="A10492" s="117">
        <v>45189</v>
      </c>
      <c r="B10492" s="116">
        <f t="shared" si="167"/>
        <v>93</v>
      </c>
    </row>
    <row r="10493" spans="1:2" x14ac:dyDescent="0.2">
      <c r="A10493" s="117">
        <v>45190</v>
      </c>
      <c r="B10493" s="116">
        <f t="shared" si="167"/>
        <v>93</v>
      </c>
    </row>
    <row r="10494" spans="1:2" x14ac:dyDescent="0.2">
      <c r="A10494" s="117">
        <v>45191</v>
      </c>
      <c r="B10494" s="116">
        <f t="shared" si="167"/>
        <v>93</v>
      </c>
    </row>
    <row r="10495" spans="1:2" x14ac:dyDescent="0.2">
      <c r="A10495" s="117">
        <v>45192</v>
      </c>
      <c r="B10495" s="116">
        <f t="shared" si="167"/>
        <v>93</v>
      </c>
    </row>
    <row r="10496" spans="1:2" x14ac:dyDescent="0.2">
      <c r="A10496" s="117">
        <v>45193</v>
      </c>
      <c r="B10496" s="116">
        <f t="shared" si="167"/>
        <v>94</v>
      </c>
    </row>
    <row r="10497" spans="1:2" x14ac:dyDescent="0.2">
      <c r="A10497" s="117">
        <v>45194</v>
      </c>
      <c r="B10497" s="116">
        <f t="shared" si="167"/>
        <v>94</v>
      </c>
    </row>
    <row r="10498" spans="1:2" x14ac:dyDescent="0.2">
      <c r="A10498" s="117">
        <v>45195</v>
      </c>
      <c r="B10498" s="116">
        <f t="shared" si="167"/>
        <v>94</v>
      </c>
    </row>
    <row r="10499" spans="1:2" x14ac:dyDescent="0.2">
      <c r="A10499" s="117">
        <v>45196</v>
      </c>
      <c r="B10499" s="116">
        <f t="shared" si="167"/>
        <v>94</v>
      </c>
    </row>
    <row r="10500" spans="1:2" x14ac:dyDescent="0.2">
      <c r="A10500" s="117">
        <v>45197</v>
      </c>
      <c r="B10500" s="116">
        <f t="shared" si="167"/>
        <v>94</v>
      </c>
    </row>
    <row r="10501" spans="1:2" x14ac:dyDescent="0.2">
      <c r="A10501" s="117">
        <v>45198</v>
      </c>
      <c r="B10501" s="116">
        <f t="shared" si="167"/>
        <v>94</v>
      </c>
    </row>
    <row r="10502" spans="1:2" x14ac:dyDescent="0.2">
      <c r="A10502" s="117">
        <v>45199</v>
      </c>
      <c r="B10502" s="116">
        <f t="shared" si="167"/>
        <v>94</v>
      </c>
    </row>
    <row r="10503" spans="1:2" x14ac:dyDescent="0.2">
      <c r="A10503" s="117">
        <v>45200</v>
      </c>
      <c r="B10503" s="116">
        <f t="shared" si="167"/>
        <v>101</v>
      </c>
    </row>
    <row r="10504" spans="1:2" x14ac:dyDescent="0.2">
      <c r="A10504" s="117">
        <v>45201</v>
      </c>
      <c r="B10504" s="116">
        <f t="shared" ref="B10504:B10567" si="168">VLOOKUP(WEEKNUM(A10504),$D$4:$E$59,2)</f>
        <v>101</v>
      </c>
    </row>
    <row r="10505" spans="1:2" x14ac:dyDescent="0.2">
      <c r="A10505" s="117">
        <v>45202</v>
      </c>
      <c r="B10505" s="116">
        <f t="shared" si="168"/>
        <v>101</v>
      </c>
    </row>
    <row r="10506" spans="1:2" x14ac:dyDescent="0.2">
      <c r="A10506" s="117">
        <v>45203</v>
      </c>
      <c r="B10506" s="116">
        <f t="shared" si="168"/>
        <v>101</v>
      </c>
    </row>
    <row r="10507" spans="1:2" x14ac:dyDescent="0.2">
      <c r="A10507" s="117">
        <v>45204</v>
      </c>
      <c r="B10507" s="116">
        <f t="shared" si="168"/>
        <v>101</v>
      </c>
    </row>
    <row r="10508" spans="1:2" x14ac:dyDescent="0.2">
      <c r="A10508" s="117">
        <v>45205</v>
      </c>
      <c r="B10508" s="116">
        <f t="shared" si="168"/>
        <v>101</v>
      </c>
    </row>
    <row r="10509" spans="1:2" x14ac:dyDescent="0.2">
      <c r="A10509" s="117">
        <v>45206</v>
      </c>
      <c r="B10509" s="116">
        <f t="shared" si="168"/>
        <v>101</v>
      </c>
    </row>
    <row r="10510" spans="1:2" x14ac:dyDescent="0.2">
      <c r="A10510" s="117">
        <v>45207</v>
      </c>
      <c r="B10510" s="116">
        <f t="shared" si="168"/>
        <v>102</v>
      </c>
    </row>
    <row r="10511" spans="1:2" x14ac:dyDescent="0.2">
      <c r="A10511" s="117">
        <v>45208</v>
      </c>
      <c r="B10511" s="116">
        <f t="shared" si="168"/>
        <v>102</v>
      </c>
    </row>
    <row r="10512" spans="1:2" x14ac:dyDescent="0.2">
      <c r="A10512" s="117">
        <v>45209</v>
      </c>
      <c r="B10512" s="116">
        <f t="shared" si="168"/>
        <v>102</v>
      </c>
    </row>
    <row r="10513" spans="1:2" x14ac:dyDescent="0.2">
      <c r="A10513" s="117">
        <v>45210</v>
      </c>
      <c r="B10513" s="116">
        <f t="shared" si="168"/>
        <v>102</v>
      </c>
    </row>
    <row r="10514" spans="1:2" x14ac:dyDescent="0.2">
      <c r="A10514" s="117">
        <v>45211</v>
      </c>
      <c r="B10514" s="116">
        <f t="shared" si="168"/>
        <v>102</v>
      </c>
    </row>
    <row r="10515" spans="1:2" x14ac:dyDescent="0.2">
      <c r="A10515" s="117">
        <v>45212</v>
      </c>
      <c r="B10515" s="116">
        <f t="shared" si="168"/>
        <v>102</v>
      </c>
    </row>
    <row r="10516" spans="1:2" x14ac:dyDescent="0.2">
      <c r="A10516" s="117">
        <v>45213</v>
      </c>
      <c r="B10516" s="116">
        <f t="shared" si="168"/>
        <v>102</v>
      </c>
    </row>
    <row r="10517" spans="1:2" x14ac:dyDescent="0.2">
      <c r="A10517" s="117">
        <v>45214</v>
      </c>
      <c r="B10517" s="116">
        <f t="shared" si="168"/>
        <v>103</v>
      </c>
    </row>
    <row r="10518" spans="1:2" x14ac:dyDescent="0.2">
      <c r="A10518" s="117">
        <v>45215</v>
      </c>
      <c r="B10518" s="116">
        <f t="shared" si="168"/>
        <v>103</v>
      </c>
    </row>
    <row r="10519" spans="1:2" x14ac:dyDescent="0.2">
      <c r="A10519" s="117">
        <v>45216</v>
      </c>
      <c r="B10519" s="116">
        <f t="shared" si="168"/>
        <v>103</v>
      </c>
    </row>
    <row r="10520" spans="1:2" x14ac:dyDescent="0.2">
      <c r="A10520" s="117">
        <v>45217</v>
      </c>
      <c r="B10520" s="116">
        <f t="shared" si="168"/>
        <v>103</v>
      </c>
    </row>
    <row r="10521" spans="1:2" x14ac:dyDescent="0.2">
      <c r="A10521" s="117">
        <v>45218</v>
      </c>
      <c r="B10521" s="116">
        <f t="shared" si="168"/>
        <v>103</v>
      </c>
    </row>
    <row r="10522" spans="1:2" x14ac:dyDescent="0.2">
      <c r="A10522" s="117">
        <v>45219</v>
      </c>
      <c r="B10522" s="116">
        <f t="shared" si="168"/>
        <v>103</v>
      </c>
    </row>
    <row r="10523" spans="1:2" x14ac:dyDescent="0.2">
      <c r="A10523" s="117">
        <v>45220</v>
      </c>
      <c r="B10523" s="116">
        <f t="shared" si="168"/>
        <v>103</v>
      </c>
    </row>
    <row r="10524" spans="1:2" x14ac:dyDescent="0.2">
      <c r="A10524" s="117">
        <v>45221</v>
      </c>
      <c r="B10524" s="116">
        <f t="shared" si="168"/>
        <v>104</v>
      </c>
    </row>
    <row r="10525" spans="1:2" x14ac:dyDescent="0.2">
      <c r="A10525" s="117">
        <v>45222</v>
      </c>
      <c r="B10525" s="116">
        <f t="shared" si="168"/>
        <v>104</v>
      </c>
    </row>
    <row r="10526" spans="1:2" x14ac:dyDescent="0.2">
      <c r="A10526" s="117">
        <v>45223</v>
      </c>
      <c r="B10526" s="116">
        <f t="shared" si="168"/>
        <v>104</v>
      </c>
    </row>
    <row r="10527" spans="1:2" x14ac:dyDescent="0.2">
      <c r="A10527" s="117">
        <v>45224</v>
      </c>
      <c r="B10527" s="116">
        <f t="shared" si="168"/>
        <v>104</v>
      </c>
    </row>
    <row r="10528" spans="1:2" x14ac:dyDescent="0.2">
      <c r="A10528" s="117">
        <v>45225</v>
      </c>
      <c r="B10528" s="116">
        <f t="shared" si="168"/>
        <v>104</v>
      </c>
    </row>
    <row r="10529" spans="1:2" x14ac:dyDescent="0.2">
      <c r="A10529" s="117">
        <v>45226</v>
      </c>
      <c r="B10529" s="116">
        <f t="shared" si="168"/>
        <v>104</v>
      </c>
    </row>
    <row r="10530" spans="1:2" x14ac:dyDescent="0.2">
      <c r="A10530" s="117">
        <v>45227</v>
      </c>
      <c r="B10530" s="116">
        <f t="shared" si="168"/>
        <v>104</v>
      </c>
    </row>
    <row r="10531" spans="1:2" x14ac:dyDescent="0.2">
      <c r="A10531" s="117">
        <v>45228</v>
      </c>
      <c r="B10531" s="116">
        <f t="shared" si="168"/>
        <v>105</v>
      </c>
    </row>
    <row r="10532" spans="1:2" x14ac:dyDescent="0.2">
      <c r="A10532" s="117">
        <v>45229</v>
      </c>
      <c r="B10532" s="116">
        <f t="shared" si="168"/>
        <v>105</v>
      </c>
    </row>
    <row r="10533" spans="1:2" x14ac:dyDescent="0.2">
      <c r="A10533" s="117">
        <v>45230</v>
      </c>
      <c r="B10533" s="116">
        <f t="shared" si="168"/>
        <v>105</v>
      </c>
    </row>
    <row r="10534" spans="1:2" x14ac:dyDescent="0.2">
      <c r="A10534" s="117">
        <v>45231</v>
      </c>
      <c r="B10534" s="116">
        <f t="shared" si="168"/>
        <v>105</v>
      </c>
    </row>
    <row r="10535" spans="1:2" x14ac:dyDescent="0.2">
      <c r="A10535" s="117">
        <v>45232</v>
      </c>
      <c r="B10535" s="116">
        <f t="shared" si="168"/>
        <v>105</v>
      </c>
    </row>
    <row r="10536" spans="1:2" x14ac:dyDescent="0.2">
      <c r="A10536" s="117">
        <v>45233</v>
      </c>
      <c r="B10536" s="116">
        <f t="shared" si="168"/>
        <v>105</v>
      </c>
    </row>
    <row r="10537" spans="1:2" x14ac:dyDescent="0.2">
      <c r="A10537" s="117">
        <v>45234</v>
      </c>
      <c r="B10537" s="116">
        <f t="shared" si="168"/>
        <v>105</v>
      </c>
    </row>
    <row r="10538" spans="1:2" x14ac:dyDescent="0.2">
      <c r="A10538" s="117">
        <v>45235</v>
      </c>
      <c r="B10538" s="116">
        <f t="shared" si="168"/>
        <v>111</v>
      </c>
    </row>
    <row r="10539" spans="1:2" x14ac:dyDescent="0.2">
      <c r="A10539" s="117">
        <v>45236</v>
      </c>
      <c r="B10539" s="116">
        <f t="shared" si="168"/>
        <v>111</v>
      </c>
    </row>
    <row r="10540" spans="1:2" x14ac:dyDescent="0.2">
      <c r="A10540" s="117">
        <v>45237</v>
      </c>
      <c r="B10540" s="116">
        <f t="shared" si="168"/>
        <v>111</v>
      </c>
    </row>
    <row r="10541" spans="1:2" x14ac:dyDescent="0.2">
      <c r="A10541" s="117">
        <v>45238</v>
      </c>
      <c r="B10541" s="116">
        <f t="shared" si="168"/>
        <v>111</v>
      </c>
    </row>
    <row r="10542" spans="1:2" x14ac:dyDescent="0.2">
      <c r="A10542" s="117">
        <v>45239</v>
      </c>
      <c r="B10542" s="116">
        <f t="shared" si="168"/>
        <v>111</v>
      </c>
    </row>
    <row r="10543" spans="1:2" x14ac:dyDescent="0.2">
      <c r="A10543" s="117">
        <v>45240</v>
      </c>
      <c r="B10543" s="116">
        <f t="shared" si="168"/>
        <v>111</v>
      </c>
    </row>
    <row r="10544" spans="1:2" x14ac:dyDescent="0.2">
      <c r="A10544" s="117">
        <v>45241</v>
      </c>
      <c r="B10544" s="116">
        <f t="shared" si="168"/>
        <v>111</v>
      </c>
    </row>
    <row r="10545" spans="1:2" x14ac:dyDescent="0.2">
      <c r="A10545" s="117">
        <v>45242</v>
      </c>
      <c r="B10545" s="116">
        <f t="shared" si="168"/>
        <v>112</v>
      </c>
    </row>
    <row r="10546" spans="1:2" x14ac:dyDescent="0.2">
      <c r="A10546" s="117">
        <v>45243</v>
      </c>
      <c r="B10546" s="116">
        <f t="shared" si="168"/>
        <v>112</v>
      </c>
    </row>
    <row r="10547" spans="1:2" x14ac:dyDescent="0.2">
      <c r="A10547" s="117">
        <v>45244</v>
      </c>
      <c r="B10547" s="116">
        <f t="shared" si="168"/>
        <v>112</v>
      </c>
    </row>
    <row r="10548" spans="1:2" x14ac:dyDescent="0.2">
      <c r="A10548" s="117">
        <v>45245</v>
      </c>
      <c r="B10548" s="116">
        <f t="shared" si="168"/>
        <v>112</v>
      </c>
    </row>
    <row r="10549" spans="1:2" x14ac:dyDescent="0.2">
      <c r="A10549" s="117">
        <v>45246</v>
      </c>
      <c r="B10549" s="116">
        <f t="shared" si="168"/>
        <v>112</v>
      </c>
    </row>
    <row r="10550" spans="1:2" x14ac:dyDescent="0.2">
      <c r="A10550" s="117">
        <v>45247</v>
      </c>
      <c r="B10550" s="116">
        <f t="shared" si="168"/>
        <v>112</v>
      </c>
    </row>
    <row r="10551" spans="1:2" x14ac:dyDescent="0.2">
      <c r="A10551" s="117">
        <v>45248</v>
      </c>
      <c r="B10551" s="116">
        <f t="shared" si="168"/>
        <v>112</v>
      </c>
    </row>
    <row r="10552" spans="1:2" x14ac:dyDescent="0.2">
      <c r="A10552" s="117">
        <v>45249</v>
      </c>
      <c r="B10552" s="116">
        <f t="shared" si="168"/>
        <v>113</v>
      </c>
    </row>
    <row r="10553" spans="1:2" x14ac:dyDescent="0.2">
      <c r="A10553" s="117">
        <v>45250</v>
      </c>
      <c r="B10553" s="116">
        <f t="shared" si="168"/>
        <v>113</v>
      </c>
    </row>
    <row r="10554" spans="1:2" x14ac:dyDescent="0.2">
      <c r="A10554" s="117">
        <v>45251</v>
      </c>
      <c r="B10554" s="116">
        <f t="shared" si="168"/>
        <v>113</v>
      </c>
    </row>
    <row r="10555" spans="1:2" x14ac:dyDescent="0.2">
      <c r="A10555" s="117">
        <v>45252</v>
      </c>
      <c r="B10555" s="116">
        <f t="shared" si="168"/>
        <v>113</v>
      </c>
    </row>
    <row r="10556" spans="1:2" x14ac:dyDescent="0.2">
      <c r="A10556" s="117">
        <v>45253</v>
      </c>
      <c r="B10556" s="116">
        <f t="shared" si="168"/>
        <v>113</v>
      </c>
    </row>
    <row r="10557" spans="1:2" x14ac:dyDescent="0.2">
      <c r="A10557" s="117">
        <v>45254</v>
      </c>
      <c r="B10557" s="116">
        <f t="shared" si="168"/>
        <v>113</v>
      </c>
    </row>
    <row r="10558" spans="1:2" x14ac:dyDescent="0.2">
      <c r="A10558" s="117">
        <v>45255</v>
      </c>
      <c r="B10558" s="116">
        <f t="shared" si="168"/>
        <v>113</v>
      </c>
    </row>
    <row r="10559" spans="1:2" x14ac:dyDescent="0.2">
      <c r="A10559" s="117">
        <v>45256</v>
      </c>
      <c r="B10559" s="116">
        <f t="shared" si="168"/>
        <v>114</v>
      </c>
    </row>
    <row r="10560" spans="1:2" x14ac:dyDescent="0.2">
      <c r="A10560" s="117">
        <v>45257</v>
      </c>
      <c r="B10560" s="116">
        <f t="shared" si="168"/>
        <v>114</v>
      </c>
    </row>
    <row r="10561" spans="1:2" x14ac:dyDescent="0.2">
      <c r="A10561" s="117">
        <v>45258</v>
      </c>
      <c r="B10561" s="116">
        <f t="shared" si="168"/>
        <v>114</v>
      </c>
    </row>
    <row r="10562" spans="1:2" x14ac:dyDescent="0.2">
      <c r="A10562" s="117">
        <v>45259</v>
      </c>
      <c r="B10562" s="116">
        <f t="shared" si="168"/>
        <v>114</v>
      </c>
    </row>
    <row r="10563" spans="1:2" x14ac:dyDescent="0.2">
      <c r="A10563" s="117">
        <v>45260</v>
      </c>
      <c r="B10563" s="116">
        <f t="shared" si="168"/>
        <v>114</v>
      </c>
    </row>
    <row r="10564" spans="1:2" x14ac:dyDescent="0.2">
      <c r="A10564" s="117">
        <v>45261</v>
      </c>
      <c r="B10564" s="116">
        <f t="shared" si="168"/>
        <v>114</v>
      </c>
    </row>
    <row r="10565" spans="1:2" x14ac:dyDescent="0.2">
      <c r="A10565" s="117">
        <v>45262</v>
      </c>
      <c r="B10565" s="116">
        <f t="shared" si="168"/>
        <v>114</v>
      </c>
    </row>
    <row r="10566" spans="1:2" x14ac:dyDescent="0.2">
      <c r="A10566" s="117">
        <v>45263</v>
      </c>
      <c r="B10566" s="116">
        <f t="shared" si="168"/>
        <v>115</v>
      </c>
    </row>
    <row r="10567" spans="1:2" x14ac:dyDescent="0.2">
      <c r="A10567" s="117">
        <v>45264</v>
      </c>
      <c r="B10567" s="116">
        <f t="shared" si="168"/>
        <v>115</v>
      </c>
    </row>
    <row r="10568" spans="1:2" x14ac:dyDescent="0.2">
      <c r="A10568" s="117">
        <v>45265</v>
      </c>
      <c r="B10568" s="116">
        <f t="shared" ref="B10568:B10631" si="169">VLOOKUP(WEEKNUM(A10568),$D$4:$E$59,2)</f>
        <v>115</v>
      </c>
    </row>
    <row r="10569" spans="1:2" x14ac:dyDescent="0.2">
      <c r="A10569" s="117">
        <v>45266</v>
      </c>
      <c r="B10569" s="116">
        <f t="shared" si="169"/>
        <v>115</v>
      </c>
    </row>
    <row r="10570" spans="1:2" x14ac:dyDescent="0.2">
      <c r="A10570" s="117">
        <v>45267</v>
      </c>
      <c r="B10570" s="116">
        <f t="shared" si="169"/>
        <v>115</v>
      </c>
    </row>
    <row r="10571" spans="1:2" x14ac:dyDescent="0.2">
      <c r="A10571" s="117">
        <v>45268</v>
      </c>
      <c r="B10571" s="116">
        <f t="shared" si="169"/>
        <v>115</v>
      </c>
    </row>
    <row r="10572" spans="1:2" x14ac:dyDescent="0.2">
      <c r="A10572" s="117">
        <v>45269</v>
      </c>
      <c r="B10572" s="116">
        <f t="shared" si="169"/>
        <v>115</v>
      </c>
    </row>
    <row r="10573" spans="1:2" x14ac:dyDescent="0.2">
      <c r="A10573" s="117">
        <v>45270</v>
      </c>
      <c r="B10573" s="116">
        <f t="shared" si="169"/>
        <v>121</v>
      </c>
    </row>
    <row r="10574" spans="1:2" x14ac:dyDescent="0.2">
      <c r="A10574" s="117">
        <v>45271</v>
      </c>
      <c r="B10574" s="116">
        <f t="shared" si="169"/>
        <v>121</v>
      </c>
    </row>
    <row r="10575" spans="1:2" x14ac:dyDescent="0.2">
      <c r="A10575" s="117">
        <v>45272</v>
      </c>
      <c r="B10575" s="116">
        <f t="shared" si="169"/>
        <v>121</v>
      </c>
    </row>
    <row r="10576" spans="1:2" x14ac:dyDescent="0.2">
      <c r="A10576" s="117">
        <v>45273</v>
      </c>
      <c r="B10576" s="116">
        <f t="shared" si="169"/>
        <v>121</v>
      </c>
    </row>
    <row r="10577" spans="1:2" x14ac:dyDescent="0.2">
      <c r="A10577" s="117">
        <v>45274</v>
      </c>
      <c r="B10577" s="116">
        <f t="shared" si="169"/>
        <v>121</v>
      </c>
    </row>
    <row r="10578" spans="1:2" x14ac:dyDescent="0.2">
      <c r="A10578" s="117">
        <v>45275</v>
      </c>
      <c r="B10578" s="116">
        <f t="shared" si="169"/>
        <v>121</v>
      </c>
    </row>
    <row r="10579" spans="1:2" x14ac:dyDescent="0.2">
      <c r="A10579" s="117">
        <v>45276</v>
      </c>
      <c r="B10579" s="116">
        <f t="shared" si="169"/>
        <v>121</v>
      </c>
    </row>
    <row r="10580" spans="1:2" x14ac:dyDescent="0.2">
      <c r="A10580" s="117">
        <v>45277</v>
      </c>
      <c r="B10580" s="116">
        <f t="shared" si="169"/>
        <v>122</v>
      </c>
    </row>
    <row r="10581" spans="1:2" x14ac:dyDescent="0.2">
      <c r="A10581" s="117">
        <v>45278</v>
      </c>
      <c r="B10581" s="116">
        <f t="shared" si="169"/>
        <v>122</v>
      </c>
    </row>
    <row r="10582" spans="1:2" x14ac:dyDescent="0.2">
      <c r="A10582" s="117">
        <v>45279</v>
      </c>
      <c r="B10582" s="116">
        <f t="shared" si="169"/>
        <v>122</v>
      </c>
    </row>
    <row r="10583" spans="1:2" x14ac:dyDescent="0.2">
      <c r="A10583" s="117">
        <v>45280</v>
      </c>
      <c r="B10583" s="116">
        <f t="shared" si="169"/>
        <v>122</v>
      </c>
    </row>
    <row r="10584" spans="1:2" x14ac:dyDescent="0.2">
      <c r="A10584" s="117">
        <v>45281</v>
      </c>
      <c r="B10584" s="116">
        <f t="shared" si="169"/>
        <v>122</v>
      </c>
    </row>
    <row r="10585" spans="1:2" x14ac:dyDescent="0.2">
      <c r="A10585" s="117">
        <v>45282</v>
      </c>
      <c r="B10585" s="116">
        <f t="shared" si="169"/>
        <v>122</v>
      </c>
    </row>
    <row r="10586" spans="1:2" x14ac:dyDescent="0.2">
      <c r="A10586" s="117">
        <v>45283</v>
      </c>
      <c r="B10586" s="116">
        <f t="shared" si="169"/>
        <v>122</v>
      </c>
    </row>
    <row r="10587" spans="1:2" x14ac:dyDescent="0.2">
      <c r="A10587" s="117">
        <v>45284</v>
      </c>
      <c r="B10587" s="116">
        <f t="shared" si="169"/>
        <v>123</v>
      </c>
    </row>
    <row r="10588" spans="1:2" x14ac:dyDescent="0.2">
      <c r="A10588" s="117">
        <v>45285</v>
      </c>
      <c r="B10588" s="116">
        <f t="shared" si="169"/>
        <v>123</v>
      </c>
    </row>
    <row r="10589" spans="1:2" x14ac:dyDescent="0.2">
      <c r="A10589" s="117">
        <v>45286</v>
      </c>
      <c r="B10589" s="116">
        <f t="shared" si="169"/>
        <v>123</v>
      </c>
    </row>
    <row r="10590" spans="1:2" x14ac:dyDescent="0.2">
      <c r="A10590" s="117">
        <v>45287</v>
      </c>
      <c r="B10590" s="116">
        <f t="shared" si="169"/>
        <v>123</v>
      </c>
    </row>
    <row r="10591" spans="1:2" x14ac:dyDescent="0.2">
      <c r="A10591" s="117">
        <v>45288</v>
      </c>
      <c r="B10591" s="116">
        <f t="shared" si="169"/>
        <v>123</v>
      </c>
    </row>
    <row r="10592" spans="1:2" x14ac:dyDescent="0.2">
      <c r="A10592" s="117">
        <v>45289</v>
      </c>
      <c r="B10592" s="116">
        <f t="shared" si="169"/>
        <v>123</v>
      </c>
    </row>
    <row r="10593" spans="1:2" x14ac:dyDescent="0.2">
      <c r="A10593" s="117">
        <v>45290</v>
      </c>
      <c r="B10593" s="116">
        <f t="shared" si="169"/>
        <v>123</v>
      </c>
    </row>
    <row r="10594" spans="1:2" x14ac:dyDescent="0.2">
      <c r="A10594" s="117">
        <v>45291</v>
      </c>
      <c r="B10594" s="116">
        <f t="shared" si="169"/>
        <v>124</v>
      </c>
    </row>
    <row r="10595" spans="1:2" x14ac:dyDescent="0.2">
      <c r="A10595" s="117">
        <v>45292</v>
      </c>
      <c r="B10595" s="116">
        <f t="shared" si="169"/>
        <v>11</v>
      </c>
    </row>
    <row r="10596" spans="1:2" x14ac:dyDescent="0.2">
      <c r="A10596" s="117">
        <v>45293</v>
      </c>
      <c r="B10596" s="116">
        <f t="shared" si="169"/>
        <v>11</v>
      </c>
    </row>
    <row r="10597" spans="1:2" x14ac:dyDescent="0.2">
      <c r="A10597" s="117">
        <v>45294</v>
      </c>
      <c r="B10597" s="116">
        <f t="shared" si="169"/>
        <v>11</v>
      </c>
    </row>
    <row r="10598" spans="1:2" x14ac:dyDescent="0.2">
      <c r="A10598" s="117">
        <v>45295</v>
      </c>
      <c r="B10598" s="116">
        <f t="shared" si="169"/>
        <v>11</v>
      </c>
    </row>
    <row r="10599" spans="1:2" x14ac:dyDescent="0.2">
      <c r="A10599" s="117">
        <v>45296</v>
      </c>
      <c r="B10599" s="116">
        <f t="shared" si="169"/>
        <v>11</v>
      </c>
    </row>
    <row r="10600" spans="1:2" x14ac:dyDescent="0.2">
      <c r="A10600" s="117">
        <v>45297</v>
      </c>
      <c r="B10600" s="116">
        <f t="shared" si="169"/>
        <v>11</v>
      </c>
    </row>
    <row r="10601" spans="1:2" x14ac:dyDescent="0.2">
      <c r="A10601" s="117">
        <v>45298</v>
      </c>
      <c r="B10601" s="116">
        <f t="shared" si="169"/>
        <v>12</v>
      </c>
    </row>
    <row r="10602" spans="1:2" x14ac:dyDescent="0.2">
      <c r="A10602" s="117">
        <v>45299</v>
      </c>
      <c r="B10602" s="116">
        <f t="shared" si="169"/>
        <v>12</v>
      </c>
    </row>
    <row r="10603" spans="1:2" x14ac:dyDescent="0.2">
      <c r="A10603" s="117">
        <v>45300</v>
      </c>
      <c r="B10603" s="116">
        <f t="shared" si="169"/>
        <v>12</v>
      </c>
    </row>
    <row r="10604" spans="1:2" x14ac:dyDescent="0.2">
      <c r="A10604" s="117">
        <v>45301</v>
      </c>
      <c r="B10604" s="116">
        <f t="shared" si="169"/>
        <v>12</v>
      </c>
    </row>
    <row r="10605" spans="1:2" x14ac:dyDescent="0.2">
      <c r="A10605" s="117">
        <v>45302</v>
      </c>
      <c r="B10605" s="116">
        <f t="shared" si="169"/>
        <v>12</v>
      </c>
    </row>
    <row r="10606" spans="1:2" x14ac:dyDescent="0.2">
      <c r="A10606" s="117">
        <v>45303</v>
      </c>
      <c r="B10606" s="116">
        <f t="shared" si="169"/>
        <v>12</v>
      </c>
    </row>
    <row r="10607" spans="1:2" x14ac:dyDescent="0.2">
      <c r="A10607" s="117">
        <v>45304</v>
      </c>
      <c r="B10607" s="116">
        <f t="shared" si="169"/>
        <v>12</v>
      </c>
    </row>
    <row r="10608" spans="1:2" x14ac:dyDescent="0.2">
      <c r="A10608" s="117">
        <v>45305</v>
      </c>
      <c r="B10608" s="116">
        <f t="shared" si="169"/>
        <v>13</v>
      </c>
    </row>
    <row r="10609" spans="1:2" x14ac:dyDescent="0.2">
      <c r="A10609" s="117">
        <v>45306</v>
      </c>
      <c r="B10609" s="116">
        <f t="shared" si="169"/>
        <v>13</v>
      </c>
    </row>
    <row r="10610" spans="1:2" x14ac:dyDescent="0.2">
      <c r="A10610" s="117">
        <v>45307</v>
      </c>
      <c r="B10610" s="116">
        <f t="shared" si="169"/>
        <v>13</v>
      </c>
    </row>
    <row r="10611" spans="1:2" x14ac:dyDescent="0.2">
      <c r="A10611" s="117">
        <v>45308</v>
      </c>
      <c r="B10611" s="116">
        <f t="shared" si="169"/>
        <v>13</v>
      </c>
    </row>
    <row r="10612" spans="1:2" x14ac:dyDescent="0.2">
      <c r="A10612" s="117">
        <v>45309</v>
      </c>
      <c r="B10612" s="116">
        <f t="shared" si="169"/>
        <v>13</v>
      </c>
    </row>
    <row r="10613" spans="1:2" x14ac:dyDescent="0.2">
      <c r="A10613" s="117">
        <v>45310</v>
      </c>
      <c r="B10613" s="116">
        <f t="shared" si="169"/>
        <v>13</v>
      </c>
    </row>
    <row r="10614" spans="1:2" x14ac:dyDescent="0.2">
      <c r="A10614" s="117">
        <v>45311</v>
      </c>
      <c r="B10614" s="116">
        <f t="shared" si="169"/>
        <v>13</v>
      </c>
    </row>
    <row r="10615" spans="1:2" x14ac:dyDescent="0.2">
      <c r="A10615" s="117">
        <v>45312</v>
      </c>
      <c r="B10615" s="116">
        <f t="shared" si="169"/>
        <v>14</v>
      </c>
    </row>
    <row r="10616" spans="1:2" x14ac:dyDescent="0.2">
      <c r="A10616" s="117">
        <v>45313</v>
      </c>
      <c r="B10616" s="116">
        <f t="shared" si="169"/>
        <v>14</v>
      </c>
    </row>
    <row r="10617" spans="1:2" x14ac:dyDescent="0.2">
      <c r="A10617" s="117">
        <v>45314</v>
      </c>
      <c r="B10617" s="116">
        <f t="shared" si="169"/>
        <v>14</v>
      </c>
    </row>
    <row r="10618" spans="1:2" x14ac:dyDescent="0.2">
      <c r="A10618" s="117">
        <v>45315</v>
      </c>
      <c r="B10618" s="116">
        <f t="shared" si="169"/>
        <v>14</v>
      </c>
    </row>
    <row r="10619" spans="1:2" x14ac:dyDescent="0.2">
      <c r="A10619" s="117">
        <v>45316</v>
      </c>
      <c r="B10619" s="116">
        <f t="shared" si="169"/>
        <v>14</v>
      </c>
    </row>
    <row r="10620" spans="1:2" x14ac:dyDescent="0.2">
      <c r="A10620" s="117">
        <v>45317</v>
      </c>
      <c r="B10620" s="116">
        <f t="shared" si="169"/>
        <v>14</v>
      </c>
    </row>
    <row r="10621" spans="1:2" x14ac:dyDescent="0.2">
      <c r="A10621" s="117">
        <v>45318</v>
      </c>
      <c r="B10621" s="116">
        <f t="shared" si="169"/>
        <v>14</v>
      </c>
    </row>
    <row r="10622" spans="1:2" x14ac:dyDescent="0.2">
      <c r="A10622" s="117">
        <v>45319</v>
      </c>
      <c r="B10622" s="116">
        <f t="shared" si="169"/>
        <v>15</v>
      </c>
    </row>
    <row r="10623" spans="1:2" x14ac:dyDescent="0.2">
      <c r="A10623" s="117">
        <v>45320</v>
      </c>
      <c r="B10623" s="116">
        <f t="shared" si="169"/>
        <v>15</v>
      </c>
    </row>
    <row r="10624" spans="1:2" x14ac:dyDescent="0.2">
      <c r="A10624" s="117">
        <v>45321</v>
      </c>
      <c r="B10624" s="116">
        <f t="shared" si="169"/>
        <v>15</v>
      </c>
    </row>
    <row r="10625" spans="1:2" x14ac:dyDescent="0.2">
      <c r="A10625" s="117">
        <v>45322</v>
      </c>
      <c r="B10625" s="116">
        <f t="shared" si="169"/>
        <v>15</v>
      </c>
    </row>
    <row r="10626" spans="1:2" x14ac:dyDescent="0.2">
      <c r="A10626" s="117">
        <v>45323</v>
      </c>
      <c r="B10626" s="116">
        <f t="shared" si="169"/>
        <v>15</v>
      </c>
    </row>
    <row r="10627" spans="1:2" x14ac:dyDescent="0.2">
      <c r="A10627" s="117">
        <v>45324</v>
      </c>
      <c r="B10627" s="116">
        <f t="shared" si="169"/>
        <v>15</v>
      </c>
    </row>
    <row r="10628" spans="1:2" x14ac:dyDescent="0.2">
      <c r="A10628" s="117">
        <v>45325</v>
      </c>
      <c r="B10628" s="116">
        <f t="shared" si="169"/>
        <v>15</v>
      </c>
    </row>
    <row r="10629" spans="1:2" x14ac:dyDescent="0.2">
      <c r="A10629" s="117">
        <v>45326</v>
      </c>
      <c r="B10629" s="116">
        <f t="shared" si="169"/>
        <v>21</v>
      </c>
    </row>
    <row r="10630" spans="1:2" x14ac:dyDescent="0.2">
      <c r="A10630" s="117">
        <v>45327</v>
      </c>
      <c r="B10630" s="116">
        <f t="shared" si="169"/>
        <v>21</v>
      </c>
    </row>
    <row r="10631" spans="1:2" x14ac:dyDescent="0.2">
      <c r="A10631" s="117">
        <v>45328</v>
      </c>
      <c r="B10631" s="116">
        <f t="shared" si="169"/>
        <v>21</v>
      </c>
    </row>
    <row r="10632" spans="1:2" x14ac:dyDescent="0.2">
      <c r="A10632" s="117">
        <v>45329</v>
      </c>
      <c r="B10632" s="116">
        <f t="shared" ref="B10632:B10695" si="170">VLOOKUP(WEEKNUM(A10632),$D$4:$E$59,2)</f>
        <v>21</v>
      </c>
    </row>
    <row r="10633" spans="1:2" x14ac:dyDescent="0.2">
      <c r="A10633" s="117">
        <v>45330</v>
      </c>
      <c r="B10633" s="116">
        <f t="shared" si="170"/>
        <v>21</v>
      </c>
    </row>
    <row r="10634" spans="1:2" x14ac:dyDescent="0.2">
      <c r="A10634" s="117">
        <v>45331</v>
      </c>
      <c r="B10634" s="116">
        <f t="shared" si="170"/>
        <v>21</v>
      </c>
    </row>
    <row r="10635" spans="1:2" x14ac:dyDescent="0.2">
      <c r="A10635" s="117">
        <v>45332</v>
      </c>
      <c r="B10635" s="116">
        <f t="shared" si="170"/>
        <v>21</v>
      </c>
    </row>
    <row r="10636" spans="1:2" x14ac:dyDescent="0.2">
      <c r="A10636" s="117">
        <v>45333</v>
      </c>
      <c r="B10636" s="116">
        <f t="shared" si="170"/>
        <v>22</v>
      </c>
    </row>
    <row r="10637" spans="1:2" x14ac:dyDescent="0.2">
      <c r="A10637" s="117">
        <v>45334</v>
      </c>
      <c r="B10637" s="116">
        <f t="shared" si="170"/>
        <v>22</v>
      </c>
    </row>
    <row r="10638" spans="1:2" x14ac:dyDescent="0.2">
      <c r="A10638" s="117">
        <v>45335</v>
      </c>
      <c r="B10638" s="116">
        <f t="shared" si="170"/>
        <v>22</v>
      </c>
    </row>
    <row r="10639" spans="1:2" x14ac:dyDescent="0.2">
      <c r="A10639" s="117">
        <v>45336</v>
      </c>
      <c r="B10639" s="116">
        <f t="shared" si="170"/>
        <v>22</v>
      </c>
    </row>
    <row r="10640" spans="1:2" x14ac:dyDescent="0.2">
      <c r="A10640" s="117">
        <v>45337</v>
      </c>
      <c r="B10640" s="116">
        <f t="shared" si="170"/>
        <v>22</v>
      </c>
    </row>
    <row r="10641" spans="1:2" x14ac:dyDescent="0.2">
      <c r="A10641" s="117">
        <v>45338</v>
      </c>
      <c r="B10641" s="116">
        <f t="shared" si="170"/>
        <v>22</v>
      </c>
    </row>
    <row r="10642" spans="1:2" x14ac:dyDescent="0.2">
      <c r="A10642" s="117">
        <v>45339</v>
      </c>
      <c r="B10642" s="116">
        <f t="shared" si="170"/>
        <v>22</v>
      </c>
    </row>
    <row r="10643" spans="1:2" x14ac:dyDescent="0.2">
      <c r="A10643" s="117">
        <v>45340</v>
      </c>
      <c r="B10643" s="116">
        <f t="shared" si="170"/>
        <v>23</v>
      </c>
    </row>
    <row r="10644" spans="1:2" x14ac:dyDescent="0.2">
      <c r="A10644" s="117">
        <v>45341</v>
      </c>
      <c r="B10644" s="116">
        <f t="shared" si="170"/>
        <v>23</v>
      </c>
    </row>
    <row r="10645" spans="1:2" x14ac:dyDescent="0.2">
      <c r="A10645" s="117">
        <v>45342</v>
      </c>
      <c r="B10645" s="116">
        <f t="shared" si="170"/>
        <v>23</v>
      </c>
    </row>
    <row r="10646" spans="1:2" x14ac:dyDescent="0.2">
      <c r="A10646" s="117">
        <v>45343</v>
      </c>
      <c r="B10646" s="116">
        <f t="shared" si="170"/>
        <v>23</v>
      </c>
    </row>
    <row r="10647" spans="1:2" x14ac:dyDescent="0.2">
      <c r="A10647" s="117">
        <v>45344</v>
      </c>
      <c r="B10647" s="116">
        <f t="shared" si="170"/>
        <v>23</v>
      </c>
    </row>
    <row r="10648" spans="1:2" x14ac:dyDescent="0.2">
      <c r="A10648" s="117">
        <v>45345</v>
      </c>
      <c r="B10648" s="116">
        <f t="shared" si="170"/>
        <v>23</v>
      </c>
    </row>
    <row r="10649" spans="1:2" x14ac:dyDescent="0.2">
      <c r="A10649" s="117">
        <v>45346</v>
      </c>
      <c r="B10649" s="116">
        <f t="shared" si="170"/>
        <v>23</v>
      </c>
    </row>
    <row r="10650" spans="1:2" x14ac:dyDescent="0.2">
      <c r="A10650" s="117">
        <v>45347</v>
      </c>
      <c r="B10650" s="116">
        <f t="shared" si="170"/>
        <v>24</v>
      </c>
    </row>
    <row r="10651" spans="1:2" x14ac:dyDescent="0.2">
      <c r="A10651" s="117">
        <v>45348</v>
      </c>
      <c r="B10651" s="116">
        <f t="shared" si="170"/>
        <v>24</v>
      </c>
    </row>
    <row r="10652" spans="1:2" x14ac:dyDescent="0.2">
      <c r="A10652" s="117">
        <v>45349</v>
      </c>
      <c r="B10652" s="116">
        <f t="shared" si="170"/>
        <v>24</v>
      </c>
    </row>
    <row r="10653" spans="1:2" x14ac:dyDescent="0.2">
      <c r="A10653" s="117">
        <v>45350</v>
      </c>
      <c r="B10653" s="116">
        <f t="shared" si="170"/>
        <v>24</v>
      </c>
    </row>
    <row r="10654" spans="1:2" x14ac:dyDescent="0.2">
      <c r="A10654" s="117">
        <v>45351</v>
      </c>
      <c r="B10654" s="116">
        <f t="shared" si="170"/>
        <v>24</v>
      </c>
    </row>
    <row r="10655" spans="1:2" x14ac:dyDescent="0.2">
      <c r="A10655" s="117">
        <v>45352</v>
      </c>
      <c r="B10655" s="116">
        <f t="shared" si="170"/>
        <v>24</v>
      </c>
    </row>
    <row r="10656" spans="1:2" x14ac:dyDescent="0.2">
      <c r="A10656" s="117">
        <v>45353</v>
      </c>
      <c r="B10656" s="116">
        <f t="shared" si="170"/>
        <v>24</v>
      </c>
    </row>
    <row r="10657" spans="1:2" x14ac:dyDescent="0.2">
      <c r="A10657" s="117">
        <v>45354</v>
      </c>
      <c r="B10657" s="116">
        <f t="shared" si="170"/>
        <v>31</v>
      </c>
    </row>
    <row r="10658" spans="1:2" x14ac:dyDescent="0.2">
      <c r="A10658" s="117">
        <v>45355</v>
      </c>
      <c r="B10658" s="116">
        <f t="shared" si="170"/>
        <v>31</v>
      </c>
    </row>
    <row r="10659" spans="1:2" x14ac:dyDescent="0.2">
      <c r="A10659" s="117">
        <v>45356</v>
      </c>
      <c r="B10659" s="116">
        <f t="shared" si="170"/>
        <v>31</v>
      </c>
    </row>
    <row r="10660" spans="1:2" x14ac:dyDescent="0.2">
      <c r="A10660" s="117">
        <v>45357</v>
      </c>
      <c r="B10660" s="116">
        <f t="shared" si="170"/>
        <v>31</v>
      </c>
    </row>
    <row r="10661" spans="1:2" x14ac:dyDescent="0.2">
      <c r="A10661" s="117">
        <v>45358</v>
      </c>
      <c r="B10661" s="116">
        <f t="shared" si="170"/>
        <v>31</v>
      </c>
    </row>
    <row r="10662" spans="1:2" x14ac:dyDescent="0.2">
      <c r="A10662" s="117">
        <v>45359</v>
      </c>
      <c r="B10662" s="116">
        <f t="shared" si="170"/>
        <v>31</v>
      </c>
    </row>
    <row r="10663" spans="1:2" x14ac:dyDescent="0.2">
      <c r="A10663" s="117">
        <v>45360</v>
      </c>
      <c r="B10663" s="116">
        <f t="shared" si="170"/>
        <v>31</v>
      </c>
    </row>
    <row r="10664" spans="1:2" x14ac:dyDescent="0.2">
      <c r="A10664" s="117">
        <v>45361</v>
      </c>
      <c r="B10664" s="116">
        <f t="shared" si="170"/>
        <v>32</v>
      </c>
    </row>
    <row r="10665" spans="1:2" x14ac:dyDescent="0.2">
      <c r="A10665" s="117">
        <v>45362</v>
      </c>
      <c r="B10665" s="116">
        <f t="shared" si="170"/>
        <v>32</v>
      </c>
    </row>
    <row r="10666" spans="1:2" x14ac:dyDescent="0.2">
      <c r="A10666" s="117">
        <v>45363</v>
      </c>
      <c r="B10666" s="116">
        <f t="shared" si="170"/>
        <v>32</v>
      </c>
    </row>
    <row r="10667" spans="1:2" x14ac:dyDescent="0.2">
      <c r="A10667" s="117">
        <v>45364</v>
      </c>
      <c r="B10667" s="116">
        <f t="shared" si="170"/>
        <v>32</v>
      </c>
    </row>
    <row r="10668" spans="1:2" x14ac:dyDescent="0.2">
      <c r="A10668" s="117">
        <v>45365</v>
      </c>
      <c r="B10668" s="116">
        <f t="shared" si="170"/>
        <v>32</v>
      </c>
    </row>
    <row r="10669" spans="1:2" x14ac:dyDescent="0.2">
      <c r="A10669" s="117">
        <v>45366</v>
      </c>
      <c r="B10669" s="116">
        <f t="shared" si="170"/>
        <v>32</v>
      </c>
    </row>
    <row r="10670" spans="1:2" x14ac:dyDescent="0.2">
      <c r="A10670" s="117">
        <v>45367</v>
      </c>
      <c r="B10670" s="116">
        <f t="shared" si="170"/>
        <v>32</v>
      </c>
    </row>
    <row r="10671" spans="1:2" x14ac:dyDescent="0.2">
      <c r="A10671" s="117">
        <v>45368</v>
      </c>
      <c r="B10671" s="116">
        <f t="shared" si="170"/>
        <v>33</v>
      </c>
    </row>
    <row r="10672" spans="1:2" x14ac:dyDescent="0.2">
      <c r="A10672" s="117">
        <v>45369</v>
      </c>
      <c r="B10672" s="116">
        <f t="shared" si="170"/>
        <v>33</v>
      </c>
    </row>
    <row r="10673" spans="1:2" x14ac:dyDescent="0.2">
      <c r="A10673" s="117">
        <v>45370</v>
      </c>
      <c r="B10673" s="116">
        <f t="shared" si="170"/>
        <v>33</v>
      </c>
    </row>
    <row r="10674" spans="1:2" x14ac:dyDescent="0.2">
      <c r="A10674" s="117">
        <v>45371</v>
      </c>
      <c r="B10674" s="116">
        <f t="shared" si="170"/>
        <v>33</v>
      </c>
    </row>
    <row r="10675" spans="1:2" x14ac:dyDescent="0.2">
      <c r="A10675" s="117">
        <v>45372</v>
      </c>
      <c r="B10675" s="116">
        <f t="shared" si="170"/>
        <v>33</v>
      </c>
    </row>
    <row r="10676" spans="1:2" x14ac:dyDescent="0.2">
      <c r="A10676" s="117">
        <v>45373</v>
      </c>
      <c r="B10676" s="116">
        <f t="shared" si="170"/>
        <v>33</v>
      </c>
    </row>
    <row r="10677" spans="1:2" x14ac:dyDescent="0.2">
      <c r="A10677" s="117">
        <v>45374</v>
      </c>
      <c r="B10677" s="116">
        <f t="shared" si="170"/>
        <v>33</v>
      </c>
    </row>
    <row r="10678" spans="1:2" x14ac:dyDescent="0.2">
      <c r="A10678" s="117">
        <v>45375</v>
      </c>
      <c r="B10678" s="116">
        <f t="shared" si="170"/>
        <v>34</v>
      </c>
    </row>
    <row r="10679" spans="1:2" x14ac:dyDescent="0.2">
      <c r="A10679" s="117">
        <v>45376</v>
      </c>
      <c r="B10679" s="116">
        <f t="shared" si="170"/>
        <v>34</v>
      </c>
    </row>
    <row r="10680" spans="1:2" x14ac:dyDescent="0.2">
      <c r="A10680" s="117">
        <v>45377</v>
      </c>
      <c r="B10680" s="116">
        <f t="shared" si="170"/>
        <v>34</v>
      </c>
    </row>
    <row r="10681" spans="1:2" x14ac:dyDescent="0.2">
      <c r="A10681" s="117">
        <v>45378</v>
      </c>
      <c r="B10681" s="116">
        <f t="shared" si="170"/>
        <v>34</v>
      </c>
    </row>
    <row r="10682" spans="1:2" x14ac:dyDescent="0.2">
      <c r="A10682" s="117">
        <v>45379</v>
      </c>
      <c r="B10682" s="116">
        <f t="shared" si="170"/>
        <v>34</v>
      </c>
    </row>
    <row r="10683" spans="1:2" x14ac:dyDescent="0.2">
      <c r="A10683" s="117">
        <v>45380</v>
      </c>
      <c r="B10683" s="116">
        <f t="shared" si="170"/>
        <v>34</v>
      </c>
    </row>
    <row r="10684" spans="1:2" x14ac:dyDescent="0.2">
      <c r="A10684" s="117">
        <v>45381</v>
      </c>
      <c r="B10684" s="116">
        <f t="shared" si="170"/>
        <v>34</v>
      </c>
    </row>
    <row r="10685" spans="1:2" x14ac:dyDescent="0.2">
      <c r="A10685" s="117">
        <v>45382</v>
      </c>
      <c r="B10685" s="116">
        <f t="shared" si="170"/>
        <v>41</v>
      </c>
    </row>
    <row r="10686" spans="1:2" x14ac:dyDescent="0.2">
      <c r="A10686" s="117">
        <v>45383</v>
      </c>
      <c r="B10686" s="116">
        <f t="shared" si="170"/>
        <v>41</v>
      </c>
    </row>
    <row r="10687" spans="1:2" x14ac:dyDescent="0.2">
      <c r="A10687" s="117">
        <v>45384</v>
      </c>
      <c r="B10687" s="116">
        <f t="shared" si="170"/>
        <v>41</v>
      </c>
    </row>
    <row r="10688" spans="1:2" x14ac:dyDescent="0.2">
      <c r="A10688" s="117">
        <v>45385</v>
      </c>
      <c r="B10688" s="116">
        <f t="shared" si="170"/>
        <v>41</v>
      </c>
    </row>
    <row r="10689" spans="1:2" x14ac:dyDescent="0.2">
      <c r="A10689" s="117">
        <v>45386</v>
      </c>
      <c r="B10689" s="116">
        <f t="shared" si="170"/>
        <v>41</v>
      </c>
    </row>
    <row r="10690" spans="1:2" x14ac:dyDescent="0.2">
      <c r="A10690" s="117">
        <v>45387</v>
      </c>
      <c r="B10690" s="116">
        <f t="shared" si="170"/>
        <v>41</v>
      </c>
    </row>
    <row r="10691" spans="1:2" x14ac:dyDescent="0.2">
      <c r="A10691" s="117">
        <v>45388</v>
      </c>
      <c r="B10691" s="116">
        <f t="shared" si="170"/>
        <v>41</v>
      </c>
    </row>
    <row r="10692" spans="1:2" x14ac:dyDescent="0.2">
      <c r="A10692" s="117">
        <v>45389</v>
      </c>
      <c r="B10692" s="116">
        <f t="shared" si="170"/>
        <v>42</v>
      </c>
    </row>
    <row r="10693" spans="1:2" x14ac:dyDescent="0.2">
      <c r="A10693" s="117">
        <v>45390</v>
      </c>
      <c r="B10693" s="116">
        <f t="shared" si="170"/>
        <v>42</v>
      </c>
    </row>
    <row r="10694" spans="1:2" x14ac:dyDescent="0.2">
      <c r="A10694" s="117">
        <v>45391</v>
      </c>
      <c r="B10694" s="116">
        <f t="shared" si="170"/>
        <v>42</v>
      </c>
    </row>
    <row r="10695" spans="1:2" x14ac:dyDescent="0.2">
      <c r="A10695" s="117">
        <v>45392</v>
      </c>
      <c r="B10695" s="116">
        <f t="shared" si="170"/>
        <v>42</v>
      </c>
    </row>
    <row r="10696" spans="1:2" x14ac:dyDescent="0.2">
      <c r="A10696" s="117">
        <v>45393</v>
      </c>
      <c r="B10696" s="116">
        <f t="shared" ref="B10696:B10759" si="171">VLOOKUP(WEEKNUM(A10696),$D$4:$E$59,2)</f>
        <v>42</v>
      </c>
    </row>
    <row r="10697" spans="1:2" x14ac:dyDescent="0.2">
      <c r="A10697" s="117">
        <v>45394</v>
      </c>
      <c r="B10697" s="116">
        <f t="shared" si="171"/>
        <v>42</v>
      </c>
    </row>
    <row r="10698" spans="1:2" x14ac:dyDescent="0.2">
      <c r="A10698" s="117">
        <v>45395</v>
      </c>
      <c r="B10698" s="116">
        <f t="shared" si="171"/>
        <v>42</v>
      </c>
    </row>
    <row r="10699" spans="1:2" x14ac:dyDescent="0.2">
      <c r="A10699" s="117">
        <v>45396</v>
      </c>
      <c r="B10699" s="116">
        <f t="shared" si="171"/>
        <v>43</v>
      </c>
    </row>
    <row r="10700" spans="1:2" x14ac:dyDescent="0.2">
      <c r="A10700" s="117">
        <v>45397</v>
      </c>
      <c r="B10700" s="116">
        <f t="shared" si="171"/>
        <v>43</v>
      </c>
    </row>
    <row r="10701" spans="1:2" x14ac:dyDescent="0.2">
      <c r="A10701" s="117">
        <v>45398</v>
      </c>
      <c r="B10701" s="116">
        <f t="shared" si="171"/>
        <v>43</v>
      </c>
    </row>
    <row r="10702" spans="1:2" x14ac:dyDescent="0.2">
      <c r="A10702" s="117">
        <v>45399</v>
      </c>
      <c r="B10702" s="116">
        <f t="shared" si="171"/>
        <v>43</v>
      </c>
    </row>
    <row r="10703" spans="1:2" x14ac:dyDescent="0.2">
      <c r="A10703" s="117">
        <v>45400</v>
      </c>
      <c r="B10703" s="116">
        <f t="shared" si="171"/>
        <v>43</v>
      </c>
    </row>
    <row r="10704" spans="1:2" x14ac:dyDescent="0.2">
      <c r="A10704" s="117">
        <v>45401</v>
      </c>
      <c r="B10704" s="116">
        <f t="shared" si="171"/>
        <v>43</v>
      </c>
    </row>
    <row r="10705" spans="1:2" x14ac:dyDescent="0.2">
      <c r="A10705" s="117">
        <v>45402</v>
      </c>
      <c r="B10705" s="116">
        <f t="shared" si="171"/>
        <v>43</v>
      </c>
    </row>
    <row r="10706" spans="1:2" x14ac:dyDescent="0.2">
      <c r="A10706" s="117">
        <v>45403</v>
      </c>
      <c r="B10706" s="116">
        <f t="shared" si="171"/>
        <v>44</v>
      </c>
    </row>
    <row r="10707" spans="1:2" x14ac:dyDescent="0.2">
      <c r="A10707" s="117">
        <v>45404</v>
      </c>
      <c r="B10707" s="116">
        <f t="shared" si="171"/>
        <v>44</v>
      </c>
    </row>
    <row r="10708" spans="1:2" x14ac:dyDescent="0.2">
      <c r="A10708" s="117">
        <v>45405</v>
      </c>
      <c r="B10708" s="116">
        <f t="shared" si="171"/>
        <v>44</v>
      </c>
    </row>
    <row r="10709" spans="1:2" x14ac:dyDescent="0.2">
      <c r="A10709" s="117">
        <v>45406</v>
      </c>
      <c r="B10709" s="116">
        <f t="shared" si="171"/>
        <v>44</v>
      </c>
    </row>
    <row r="10710" spans="1:2" x14ac:dyDescent="0.2">
      <c r="A10710" s="117">
        <v>45407</v>
      </c>
      <c r="B10710" s="116">
        <f t="shared" si="171"/>
        <v>44</v>
      </c>
    </row>
    <row r="10711" spans="1:2" x14ac:dyDescent="0.2">
      <c r="A10711" s="117">
        <v>45408</v>
      </c>
      <c r="B10711" s="116">
        <f t="shared" si="171"/>
        <v>44</v>
      </c>
    </row>
    <row r="10712" spans="1:2" x14ac:dyDescent="0.2">
      <c r="A10712" s="117">
        <v>45409</v>
      </c>
      <c r="B10712" s="116">
        <f t="shared" si="171"/>
        <v>44</v>
      </c>
    </row>
    <row r="10713" spans="1:2" x14ac:dyDescent="0.2">
      <c r="A10713" s="117">
        <v>45410</v>
      </c>
      <c r="B10713" s="116">
        <f t="shared" si="171"/>
        <v>45</v>
      </c>
    </row>
    <row r="10714" spans="1:2" x14ac:dyDescent="0.2">
      <c r="A10714" s="117">
        <v>45411</v>
      </c>
      <c r="B10714" s="116">
        <f t="shared" si="171"/>
        <v>45</v>
      </c>
    </row>
    <row r="10715" spans="1:2" x14ac:dyDescent="0.2">
      <c r="A10715" s="117">
        <v>45412</v>
      </c>
      <c r="B10715" s="116">
        <f t="shared" si="171"/>
        <v>45</v>
      </c>
    </row>
    <row r="10716" spans="1:2" x14ac:dyDescent="0.2">
      <c r="A10716" s="117">
        <v>45413</v>
      </c>
      <c r="B10716" s="116">
        <f t="shared" si="171"/>
        <v>45</v>
      </c>
    </row>
    <row r="10717" spans="1:2" x14ac:dyDescent="0.2">
      <c r="A10717" s="117">
        <v>45414</v>
      </c>
      <c r="B10717" s="116">
        <f t="shared" si="171"/>
        <v>45</v>
      </c>
    </row>
    <row r="10718" spans="1:2" x14ac:dyDescent="0.2">
      <c r="A10718" s="117">
        <v>45415</v>
      </c>
      <c r="B10718" s="116">
        <f t="shared" si="171"/>
        <v>45</v>
      </c>
    </row>
    <row r="10719" spans="1:2" x14ac:dyDescent="0.2">
      <c r="A10719" s="117">
        <v>45416</v>
      </c>
      <c r="B10719" s="116">
        <f t="shared" si="171"/>
        <v>45</v>
      </c>
    </row>
    <row r="10720" spans="1:2" x14ac:dyDescent="0.2">
      <c r="A10720" s="117">
        <v>45417</v>
      </c>
      <c r="B10720" s="116">
        <f t="shared" si="171"/>
        <v>51</v>
      </c>
    </row>
    <row r="10721" spans="1:2" x14ac:dyDescent="0.2">
      <c r="A10721" s="117">
        <v>45418</v>
      </c>
      <c r="B10721" s="116">
        <f t="shared" si="171"/>
        <v>51</v>
      </c>
    </row>
    <row r="10722" spans="1:2" x14ac:dyDescent="0.2">
      <c r="A10722" s="117">
        <v>45419</v>
      </c>
      <c r="B10722" s="116">
        <f t="shared" si="171"/>
        <v>51</v>
      </c>
    </row>
    <row r="10723" spans="1:2" x14ac:dyDescent="0.2">
      <c r="A10723" s="117">
        <v>45420</v>
      </c>
      <c r="B10723" s="116">
        <f t="shared" si="171"/>
        <v>51</v>
      </c>
    </row>
    <row r="10724" spans="1:2" x14ac:dyDescent="0.2">
      <c r="A10724" s="117">
        <v>45421</v>
      </c>
      <c r="B10724" s="116">
        <f t="shared" si="171"/>
        <v>51</v>
      </c>
    </row>
    <row r="10725" spans="1:2" x14ac:dyDescent="0.2">
      <c r="A10725" s="117">
        <v>45422</v>
      </c>
      <c r="B10725" s="116">
        <f t="shared" si="171"/>
        <v>51</v>
      </c>
    </row>
    <row r="10726" spans="1:2" x14ac:dyDescent="0.2">
      <c r="A10726" s="117">
        <v>45423</v>
      </c>
      <c r="B10726" s="116">
        <f t="shared" si="171"/>
        <v>51</v>
      </c>
    </row>
    <row r="10727" spans="1:2" x14ac:dyDescent="0.2">
      <c r="A10727" s="117">
        <v>45424</v>
      </c>
      <c r="B10727" s="116">
        <f t="shared" si="171"/>
        <v>52</v>
      </c>
    </row>
    <row r="10728" spans="1:2" x14ac:dyDescent="0.2">
      <c r="A10728" s="117">
        <v>45425</v>
      </c>
      <c r="B10728" s="116">
        <f t="shared" si="171"/>
        <v>52</v>
      </c>
    </row>
    <row r="10729" spans="1:2" x14ac:dyDescent="0.2">
      <c r="A10729" s="117">
        <v>45426</v>
      </c>
      <c r="B10729" s="116">
        <f t="shared" si="171"/>
        <v>52</v>
      </c>
    </row>
    <row r="10730" spans="1:2" x14ac:dyDescent="0.2">
      <c r="A10730" s="117">
        <v>45427</v>
      </c>
      <c r="B10730" s="116">
        <f t="shared" si="171"/>
        <v>52</v>
      </c>
    </row>
    <row r="10731" spans="1:2" x14ac:dyDescent="0.2">
      <c r="A10731" s="117">
        <v>45428</v>
      </c>
      <c r="B10731" s="116">
        <f t="shared" si="171"/>
        <v>52</v>
      </c>
    </row>
    <row r="10732" spans="1:2" x14ac:dyDescent="0.2">
      <c r="A10732" s="117">
        <v>45429</v>
      </c>
      <c r="B10732" s="116">
        <f t="shared" si="171"/>
        <v>52</v>
      </c>
    </row>
    <row r="10733" spans="1:2" x14ac:dyDescent="0.2">
      <c r="A10733" s="117">
        <v>45430</v>
      </c>
      <c r="B10733" s="116">
        <f t="shared" si="171"/>
        <v>52</v>
      </c>
    </row>
    <row r="10734" spans="1:2" x14ac:dyDescent="0.2">
      <c r="A10734" s="117">
        <v>45431</v>
      </c>
      <c r="B10734" s="116">
        <f t="shared" si="171"/>
        <v>53</v>
      </c>
    </row>
    <row r="10735" spans="1:2" x14ac:dyDescent="0.2">
      <c r="A10735" s="117">
        <v>45432</v>
      </c>
      <c r="B10735" s="116">
        <f t="shared" si="171"/>
        <v>53</v>
      </c>
    </row>
    <row r="10736" spans="1:2" x14ac:dyDescent="0.2">
      <c r="A10736" s="117">
        <v>45433</v>
      </c>
      <c r="B10736" s="116">
        <f t="shared" si="171"/>
        <v>53</v>
      </c>
    </row>
    <row r="10737" spans="1:2" x14ac:dyDescent="0.2">
      <c r="A10737" s="117">
        <v>45434</v>
      </c>
      <c r="B10737" s="116">
        <f t="shared" si="171"/>
        <v>53</v>
      </c>
    </row>
    <row r="10738" spans="1:2" x14ac:dyDescent="0.2">
      <c r="A10738" s="117">
        <v>45435</v>
      </c>
      <c r="B10738" s="116">
        <f t="shared" si="171"/>
        <v>53</v>
      </c>
    </row>
    <row r="10739" spans="1:2" x14ac:dyDescent="0.2">
      <c r="A10739" s="117">
        <v>45436</v>
      </c>
      <c r="B10739" s="116">
        <f t="shared" si="171"/>
        <v>53</v>
      </c>
    </row>
    <row r="10740" spans="1:2" x14ac:dyDescent="0.2">
      <c r="A10740" s="117">
        <v>45437</v>
      </c>
      <c r="B10740" s="116">
        <f t="shared" si="171"/>
        <v>53</v>
      </c>
    </row>
    <row r="10741" spans="1:2" x14ac:dyDescent="0.2">
      <c r="A10741" s="117">
        <v>45438</v>
      </c>
      <c r="B10741" s="116">
        <f t="shared" si="171"/>
        <v>54</v>
      </c>
    </row>
    <row r="10742" spans="1:2" x14ac:dyDescent="0.2">
      <c r="A10742" s="117">
        <v>45439</v>
      </c>
      <c r="B10742" s="116">
        <f t="shared" si="171"/>
        <v>54</v>
      </c>
    </row>
    <row r="10743" spans="1:2" x14ac:dyDescent="0.2">
      <c r="A10743" s="117">
        <v>45440</v>
      </c>
      <c r="B10743" s="116">
        <f t="shared" si="171"/>
        <v>54</v>
      </c>
    </row>
    <row r="10744" spans="1:2" x14ac:dyDescent="0.2">
      <c r="A10744" s="117">
        <v>45441</v>
      </c>
      <c r="B10744" s="116">
        <f t="shared" si="171"/>
        <v>54</v>
      </c>
    </row>
    <row r="10745" spans="1:2" x14ac:dyDescent="0.2">
      <c r="A10745" s="117">
        <v>45442</v>
      </c>
      <c r="B10745" s="116">
        <f t="shared" si="171"/>
        <v>54</v>
      </c>
    </row>
    <row r="10746" spans="1:2" x14ac:dyDescent="0.2">
      <c r="A10746" s="117">
        <v>45443</v>
      </c>
      <c r="B10746" s="116">
        <f t="shared" si="171"/>
        <v>54</v>
      </c>
    </row>
    <row r="10747" spans="1:2" x14ac:dyDescent="0.2">
      <c r="A10747" s="117">
        <v>45444</v>
      </c>
      <c r="B10747" s="116">
        <f t="shared" si="171"/>
        <v>54</v>
      </c>
    </row>
    <row r="10748" spans="1:2" x14ac:dyDescent="0.2">
      <c r="A10748" s="117">
        <v>45445</v>
      </c>
      <c r="B10748" s="116">
        <f t="shared" si="171"/>
        <v>61</v>
      </c>
    </row>
    <row r="10749" spans="1:2" x14ac:dyDescent="0.2">
      <c r="A10749" s="117">
        <v>45446</v>
      </c>
      <c r="B10749" s="116">
        <f t="shared" si="171"/>
        <v>61</v>
      </c>
    </row>
    <row r="10750" spans="1:2" x14ac:dyDescent="0.2">
      <c r="A10750" s="117">
        <v>45447</v>
      </c>
      <c r="B10750" s="116">
        <f t="shared" si="171"/>
        <v>61</v>
      </c>
    </row>
    <row r="10751" spans="1:2" x14ac:dyDescent="0.2">
      <c r="A10751" s="117">
        <v>45448</v>
      </c>
      <c r="B10751" s="116">
        <f t="shared" si="171"/>
        <v>61</v>
      </c>
    </row>
    <row r="10752" spans="1:2" x14ac:dyDescent="0.2">
      <c r="A10752" s="117">
        <v>45449</v>
      </c>
      <c r="B10752" s="116">
        <f t="shared" si="171"/>
        <v>61</v>
      </c>
    </row>
    <row r="10753" spans="1:2" x14ac:dyDescent="0.2">
      <c r="A10753" s="117">
        <v>45450</v>
      </c>
      <c r="B10753" s="116">
        <f t="shared" si="171"/>
        <v>61</v>
      </c>
    </row>
    <row r="10754" spans="1:2" x14ac:dyDescent="0.2">
      <c r="A10754" s="117">
        <v>45451</v>
      </c>
      <c r="B10754" s="116">
        <f t="shared" si="171"/>
        <v>61</v>
      </c>
    </row>
    <row r="10755" spans="1:2" x14ac:dyDescent="0.2">
      <c r="A10755" s="117">
        <v>45452</v>
      </c>
      <c r="B10755" s="116">
        <f t="shared" si="171"/>
        <v>62</v>
      </c>
    </row>
    <row r="10756" spans="1:2" x14ac:dyDescent="0.2">
      <c r="A10756" s="117">
        <v>45453</v>
      </c>
      <c r="B10756" s="116">
        <f t="shared" si="171"/>
        <v>62</v>
      </c>
    </row>
    <row r="10757" spans="1:2" x14ac:dyDescent="0.2">
      <c r="A10757" s="117">
        <v>45454</v>
      </c>
      <c r="B10757" s="116">
        <f t="shared" si="171"/>
        <v>62</v>
      </c>
    </row>
    <row r="10758" spans="1:2" x14ac:dyDescent="0.2">
      <c r="A10758" s="117">
        <v>45455</v>
      </c>
      <c r="B10758" s="116">
        <f t="shared" si="171"/>
        <v>62</v>
      </c>
    </row>
    <row r="10759" spans="1:2" x14ac:dyDescent="0.2">
      <c r="A10759" s="117">
        <v>45456</v>
      </c>
      <c r="B10759" s="116">
        <f t="shared" si="171"/>
        <v>62</v>
      </c>
    </row>
    <row r="10760" spans="1:2" x14ac:dyDescent="0.2">
      <c r="A10760" s="117">
        <v>45457</v>
      </c>
      <c r="B10760" s="116">
        <f t="shared" ref="B10760:B10823" si="172">VLOOKUP(WEEKNUM(A10760),$D$4:$E$59,2)</f>
        <v>62</v>
      </c>
    </row>
    <row r="10761" spans="1:2" x14ac:dyDescent="0.2">
      <c r="A10761" s="117">
        <v>45458</v>
      </c>
      <c r="B10761" s="116">
        <f t="shared" si="172"/>
        <v>62</v>
      </c>
    </row>
    <row r="10762" spans="1:2" x14ac:dyDescent="0.2">
      <c r="A10762" s="117">
        <v>45459</v>
      </c>
      <c r="B10762" s="116">
        <f t="shared" si="172"/>
        <v>63</v>
      </c>
    </row>
    <row r="10763" spans="1:2" x14ac:dyDescent="0.2">
      <c r="A10763" s="117">
        <v>45460</v>
      </c>
      <c r="B10763" s="116">
        <f t="shared" si="172"/>
        <v>63</v>
      </c>
    </row>
    <row r="10764" spans="1:2" x14ac:dyDescent="0.2">
      <c r="A10764" s="117">
        <v>45461</v>
      </c>
      <c r="B10764" s="116">
        <f t="shared" si="172"/>
        <v>63</v>
      </c>
    </row>
    <row r="10765" spans="1:2" x14ac:dyDescent="0.2">
      <c r="A10765" s="117">
        <v>45462</v>
      </c>
      <c r="B10765" s="116">
        <f t="shared" si="172"/>
        <v>63</v>
      </c>
    </row>
    <row r="10766" spans="1:2" x14ac:dyDescent="0.2">
      <c r="A10766" s="117">
        <v>45463</v>
      </c>
      <c r="B10766" s="116">
        <f t="shared" si="172"/>
        <v>63</v>
      </c>
    </row>
    <row r="10767" spans="1:2" x14ac:dyDescent="0.2">
      <c r="A10767" s="117">
        <v>45464</v>
      </c>
      <c r="B10767" s="116">
        <f t="shared" si="172"/>
        <v>63</v>
      </c>
    </row>
    <row r="10768" spans="1:2" x14ac:dyDescent="0.2">
      <c r="A10768" s="117">
        <v>45465</v>
      </c>
      <c r="B10768" s="116">
        <f t="shared" si="172"/>
        <v>63</v>
      </c>
    </row>
    <row r="10769" spans="1:2" x14ac:dyDescent="0.2">
      <c r="A10769" s="117">
        <v>45466</v>
      </c>
      <c r="B10769" s="116">
        <f t="shared" si="172"/>
        <v>64</v>
      </c>
    </row>
    <row r="10770" spans="1:2" x14ac:dyDescent="0.2">
      <c r="A10770" s="117">
        <v>45467</v>
      </c>
      <c r="B10770" s="116">
        <f t="shared" si="172"/>
        <v>64</v>
      </c>
    </row>
    <row r="10771" spans="1:2" x14ac:dyDescent="0.2">
      <c r="A10771" s="117">
        <v>45468</v>
      </c>
      <c r="B10771" s="116">
        <f t="shared" si="172"/>
        <v>64</v>
      </c>
    </row>
    <row r="10772" spans="1:2" x14ac:dyDescent="0.2">
      <c r="A10772" s="117">
        <v>45469</v>
      </c>
      <c r="B10772" s="116">
        <f t="shared" si="172"/>
        <v>64</v>
      </c>
    </row>
    <row r="10773" spans="1:2" x14ac:dyDescent="0.2">
      <c r="A10773" s="117">
        <v>45470</v>
      </c>
      <c r="B10773" s="116">
        <f t="shared" si="172"/>
        <v>64</v>
      </c>
    </row>
    <row r="10774" spans="1:2" x14ac:dyDescent="0.2">
      <c r="A10774" s="117">
        <v>45471</v>
      </c>
      <c r="B10774" s="116">
        <f t="shared" si="172"/>
        <v>64</v>
      </c>
    </row>
    <row r="10775" spans="1:2" x14ac:dyDescent="0.2">
      <c r="A10775" s="117">
        <v>45472</v>
      </c>
      <c r="B10775" s="116">
        <f t="shared" si="172"/>
        <v>64</v>
      </c>
    </row>
    <row r="10776" spans="1:2" x14ac:dyDescent="0.2">
      <c r="A10776" s="117">
        <v>45473</v>
      </c>
      <c r="B10776" s="116">
        <f t="shared" si="172"/>
        <v>71</v>
      </c>
    </row>
    <row r="10777" spans="1:2" x14ac:dyDescent="0.2">
      <c r="A10777" s="117">
        <v>45474</v>
      </c>
      <c r="B10777" s="116">
        <f t="shared" si="172"/>
        <v>71</v>
      </c>
    </row>
    <row r="10778" spans="1:2" x14ac:dyDescent="0.2">
      <c r="A10778" s="117">
        <v>45475</v>
      </c>
      <c r="B10778" s="116">
        <f t="shared" si="172"/>
        <v>71</v>
      </c>
    </row>
    <row r="10779" spans="1:2" x14ac:dyDescent="0.2">
      <c r="A10779" s="117">
        <v>45476</v>
      </c>
      <c r="B10779" s="116">
        <f t="shared" si="172"/>
        <v>71</v>
      </c>
    </row>
    <row r="10780" spans="1:2" x14ac:dyDescent="0.2">
      <c r="A10780" s="117">
        <v>45477</v>
      </c>
      <c r="B10780" s="116">
        <f t="shared" si="172"/>
        <v>71</v>
      </c>
    </row>
    <row r="10781" spans="1:2" x14ac:dyDescent="0.2">
      <c r="A10781" s="117">
        <v>45478</v>
      </c>
      <c r="B10781" s="116">
        <f t="shared" si="172"/>
        <v>71</v>
      </c>
    </row>
    <row r="10782" spans="1:2" x14ac:dyDescent="0.2">
      <c r="A10782" s="117">
        <v>45479</v>
      </c>
      <c r="B10782" s="116">
        <f t="shared" si="172"/>
        <v>71</v>
      </c>
    </row>
    <row r="10783" spans="1:2" x14ac:dyDescent="0.2">
      <c r="A10783" s="117">
        <v>45480</v>
      </c>
      <c r="B10783" s="116">
        <f t="shared" si="172"/>
        <v>72</v>
      </c>
    </row>
    <row r="10784" spans="1:2" x14ac:dyDescent="0.2">
      <c r="A10784" s="117">
        <v>45481</v>
      </c>
      <c r="B10784" s="116">
        <f t="shared" si="172"/>
        <v>72</v>
      </c>
    </row>
    <row r="10785" spans="1:2" x14ac:dyDescent="0.2">
      <c r="A10785" s="117">
        <v>45482</v>
      </c>
      <c r="B10785" s="116">
        <f t="shared" si="172"/>
        <v>72</v>
      </c>
    </row>
    <row r="10786" spans="1:2" x14ac:dyDescent="0.2">
      <c r="A10786" s="117">
        <v>45483</v>
      </c>
      <c r="B10786" s="116">
        <f t="shared" si="172"/>
        <v>72</v>
      </c>
    </row>
    <row r="10787" spans="1:2" x14ac:dyDescent="0.2">
      <c r="A10787" s="117">
        <v>45484</v>
      </c>
      <c r="B10787" s="116">
        <f t="shared" si="172"/>
        <v>72</v>
      </c>
    </row>
    <row r="10788" spans="1:2" x14ac:dyDescent="0.2">
      <c r="A10788" s="117">
        <v>45485</v>
      </c>
      <c r="B10788" s="116">
        <f t="shared" si="172"/>
        <v>72</v>
      </c>
    </row>
    <row r="10789" spans="1:2" x14ac:dyDescent="0.2">
      <c r="A10789" s="117">
        <v>45486</v>
      </c>
      <c r="B10789" s="116">
        <f t="shared" si="172"/>
        <v>72</v>
      </c>
    </row>
    <row r="10790" spans="1:2" x14ac:dyDescent="0.2">
      <c r="A10790" s="117">
        <v>45487</v>
      </c>
      <c r="B10790" s="116">
        <f t="shared" si="172"/>
        <v>73</v>
      </c>
    </row>
    <row r="10791" spans="1:2" x14ac:dyDescent="0.2">
      <c r="A10791" s="117">
        <v>45488</v>
      </c>
      <c r="B10791" s="116">
        <f t="shared" si="172"/>
        <v>73</v>
      </c>
    </row>
    <row r="10792" spans="1:2" x14ac:dyDescent="0.2">
      <c r="A10792" s="117">
        <v>45489</v>
      </c>
      <c r="B10792" s="116">
        <f t="shared" si="172"/>
        <v>73</v>
      </c>
    </row>
    <row r="10793" spans="1:2" x14ac:dyDescent="0.2">
      <c r="A10793" s="117">
        <v>45490</v>
      </c>
      <c r="B10793" s="116">
        <f t="shared" si="172"/>
        <v>73</v>
      </c>
    </row>
    <row r="10794" spans="1:2" x14ac:dyDescent="0.2">
      <c r="A10794" s="117">
        <v>45491</v>
      </c>
      <c r="B10794" s="116">
        <f t="shared" si="172"/>
        <v>73</v>
      </c>
    </row>
    <row r="10795" spans="1:2" x14ac:dyDescent="0.2">
      <c r="A10795" s="117">
        <v>45492</v>
      </c>
      <c r="B10795" s="116">
        <f t="shared" si="172"/>
        <v>73</v>
      </c>
    </row>
    <row r="10796" spans="1:2" x14ac:dyDescent="0.2">
      <c r="A10796" s="117">
        <v>45493</v>
      </c>
      <c r="B10796" s="116">
        <f t="shared" si="172"/>
        <v>73</v>
      </c>
    </row>
    <row r="10797" spans="1:2" x14ac:dyDescent="0.2">
      <c r="A10797" s="117">
        <v>45494</v>
      </c>
      <c r="B10797" s="116">
        <f t="shared" si="172"/>
        <v>74</v>
      </c>
    </row>
    <row r="10798" spans="1:2" x14ac:dyDescent="0.2">
      <c r="A10798" s="117">
        <v>45495</v>
      </c>
      <c r="B10798" s="116">
        <f t="shared" si="172"/>
        <v>74</v>
      </c>
    </row>
    <row r="10799" spans="1:2" x14ac:dyDescent="0.2">
      <c r="A10799" s="117">
        <v>45496</v>
      </c>
      <c r="B10799" s="116">
        <f t="shared" si="172"/>
        <v>74</v>
      </c>
    </row>
    <row r="10800" spans="1:2" x14ac:dyDescent="0.2">
      <c r="A10800" s="117">
        <v>45497</v>
      </c>
      <c r="B10800" s="116">
        <f t="shared" si="172"/>
        <v>74</v>
      </c>
    </row>
    <row r="10801" spans="1:2" x14ac:dyDescent="0.2">
      <c r="A10801" s="117">
        <v>45498</v>
      </c>
      <c r="B10801" s="116">
        <f t="shared" si="172"/>
        <v>74</v>
      </c>
    </row>
    <row r="10802" spans="1:2" x14ac:dyDescent="0.2">
      <c r="A10802" s="117">
        <v>45499</v>
      </c>
      <c r="B10802" s="116">
        <f t="shared" si="172"/>
        <v>74</v>
      </c>
    </row>
    <row r="10803" spans="1:2" x14ac:dyDescent="0.2">
      <c r="A10803" s="117">
        <v>45500</v>
      </c>
      <c r="B10803" s="116">
        <f t="shared" si="172"/>
        <v>74</v>
      </c>
    </row>
    <row r="10804" spans="1:2" x14ac:dyDescent="0.2">
      <c r="A10804" s="117">
        <v>45501</v>
      </c>
      <c r="B10804" s="116">
        <f t="shared" si="172"/>
        <v>75</v>
      </c>
    </row>
    <row r="10805" spans="1:2" x14ac:dyDescent="0.2">
      <c r="A10805" s="117">
        <v>45502</v>
      </c>
      <c r="B10805" s="116">
        <f t="shared" si="172"/>
        <v>75</v>
      </c>
    </row>
    <row r="10806" spans="1:2" x14ac:dyDescent="0.2">
      <c r="A10806" s="117">
        <v>45503</v>
      </c>
      <c r="B10806" s="116">
        <f t="shared" si="172"/>
        <v>75</v>
      </c>
    </row>
    <row r="10807" spans="1:2" x14ac:dyDescent="0.2">
      <c r="A10807" s="117">
        <v>45504</v>
      </c>
      <c r="B10807" s="116">
        <f t="shared" si="172"/>
        <v>75</v>
      </c>
    </row>
    <row r="10808" spans="1:2" x14ac:dyDescent="0.2">
      <c r="A10808" s="117">
        <v>45505</v>
      </c>
      <c r="B10808" s="116">
        <f t="shared" si="172"/>
        <v>75</v>
      </c>
    </row>
    <row r="10809" spans="1:2" x14ac:dyDescent="0.2">
      <c r="A10809" s="117">
        <v>45506</v>
      </c>
      <c r="B10809" s="116">
        <f t="shared" si="172"/>
        <v>75</v>
      </c>
    </row>
    <row r="10810" spans="1:2" x14ac:dyDescent="0.2">
      <c r="A10810" s="117">
        <v>45507</v>
      </c>
      <c r="B10810" s="116">
        <f t="shared" si="172"/>
        <v>75</v>
      </c>
    </row>
    <row r="10811" spans="1:2" x14ac:dyDescent="0.2">
      <c r="A10811" s="117">
        <v>45508</v>
      </c>
      <c r="B10811" s="116">
        <f t="shared" si="172"/>
        <v>81</v>
      </c>
    </row>
    <row r="10812" spans="1:2" x14ac:dyDescent="0.2">
      <c r="A10812" s="117">
        <v>45509</v>
      </c>
      <c r="B10812" s="116">
        <f t="shared" si="172"/>
        <v>81</v>
      </c>
    </row>
    <row r="10813" spans="1:2" x14ac:dyDescent="0.2">
      <c r="A10813" s="117">
        <v>45510</v>
      </c>
      <c r="B10813" s="116">
        <f t="shared" si="172"/>
        <v>81</v>
      </c>
    </row>
    <row r="10814" spans="1:2" x14ac:dyDescent="0.2">
      <c r="A10814" s="117">
        <v>45511</v>
      </c>
      <c r="B10814" s="116">
        <f t="shared" si="172"/>
        <v>81</v>
      </c>
    </row>
    <row r="10815" spans="1:2" x14ac:dyDescent="0.2">
      <c r="A10815" s="117">
        <v>45512</v>
      </c>
      <c r="B10815" s="116">
        <f t="shared" si="172"/>
        <v>81</v>
      </c>
    </row>
    <row r="10816" spans="1:2" x14ac:dyDescent="0.2">
      <c r="A10816" s="117">
        <v>45513</v>
      </c>
      <c r="B10816" s="116">
        <f t="shared" si="172"/>
        <v>81</v>
      </c>
    </row>
    <row r="10817" spans="1:2" x14ac:dyDescent="0.2">
      <c r="A10817" s="117">
        <v>45514</v>
      </c>
      <c r="B10817" s="116">
        <f t="shared" si="172"/>
        <v>81</v>
      </c>
    </row>
    <row r="10818" spans="1:2" x14ac:dyDescent="0.2">
      <c r="A10818" s="117">
        <v>45515</v>
      </c>
      <c r="B10818" s="116">
        <f t="shared" si="172"/>
        <v>82</v>
      </c>
    </row>
    <row r="10819" spans="1:2" x14ac:dyDescent="0.2">
      <c r="A10819" s="117">
        <v>45516</v>
      </c>
      <c r="B10819" s="116">
        <f t="shared" si="172"/>
        <v>82</v>
      </c>
    </row>
    <row r="10820" spans="1:2" x14ac:dyDescent="0.2">
      <c r="A10820" s="117">
        <v>45517</v>
      </c>
      <c r="B10820" s="116">
        <f t="shared" si="172"/>
        <v>82</v>
      </c>
    </row>
    <row r="10821" spans="1:2" x14ac:dyDescent="0.2">
      <c r="A10821" s="117">
        <v>45518</v>
      </c>
      <c r="B10821" s="116">
        <f t="shared" si="172"/>
        <v>82</v>
      </c>
    </row>
    <row r="10822" spans="1:2" x14ac:dyDescent="0.2">
      <c r="A10822" s="117">
        <v>45519</v>
      </c>
      <c r="B10822" s="116">
        <f t="shared" si="172"/>
        <v>82</v>
      </c>
    </row>
    <row r="10823" spans="1:2" x14ac:dyDescent="0.2">
      <c r="A10823" s="117">
        <v>45520</v>
      </c>
      <c r="B10823" s="116">
        <f t="shared" si="172"/>
        <v>82</v>
      </c>
    </row>
    <row r="10824" spans="1:2" x14ac:dyDescent="0.2">
      <c r="A10824" s="117">
        <v>45521</v>
      </c>
      <c r="B10824" s="116">
        <f t="shared" ref="B10824:B10868" si="173">VLOOKUP(WEEKNUM(A10824),$D$4:$E$59,2)</f>
        <v>82</v>
      </c>
    </row>
    <row r="10825" spans="1:2" x14ac:dyDescent="0.2">
      <c r="A10825" s="117">
        <v>45522</v>
      </c>
      <c r="B10825" s="116">
        <f t="shared" si="173"/>
        <v>83</v>
      </c>
    </row>
    <row r="10826" spans="1:2" x14ac:dyDescent="0.2">
      <c r="A10826" s="117">
        <v>45523</v>
      </c>
      <c r="B10826" s="116">
        <f t="shared" si="173"/>
        <v>83</v>
      </c>
    </row>
    <row r="10827" spans="1:2" x14ac:dyDescent="0.2">
      <c r="A10827" s="117">
        <v>45524</v>
      </c>
      <c r="B10827" s="116">
        <f t="shared" si="173"/>
        <v>83</v>
      </c>
    </row>
    <row r="10828" spans="1:2" x14ac:dyDescent="0.2">
      <c r="A10828" s="117">
        <v>45525</v>
      </c>
      <c r="B10828" s="116">
        <f t="shared" si="173"/>
        <v>83</v>
      </c>
    </row>
    <row r="10829" spans="1:2" x14ac:dyDescent="0.2">
      <c r="A10829" s="117">
        <v>45526</v>
      </c>
      <c r="B10829" s="116">
        <f t="shared" si="173"/>
        <v>83</v>
      </c>
    </row>
    <row r="10830" spans="1:2" x14ac:dyDescent="0.2">
      <c r="A10830" s="117">
        <v>45527</v>
      </c>
      <c r="B10830" s="116">
        <f t="shared" si="173"/>
        <v>83</v>
      </c>
    </row>
    <row r="10831" spans="1:2" x14ac:dyDescent="0.2">
      <c r="A10831" s="117">
        <v>45528</v>
      </c>
      <c r="B10831" s="116">
        <f t="shared" si="173"/>
        <v>83</v>
      </c>
    </row>
    <row r="10832" spans="1:2" x14ac:dyDescent="0.2">
      <c r="A10832" s="117">
        <v>45529</v>
      </c>
      <c r="B10832" s="116">
        <f t="shared" si="173"/>
        <v>84</v>
      </c>
    </row>
    <row r="10833" spans="1:2" x14ac:dyDescent="0.2">
      <c r="A10833" s="117">
        <v>45530</v>
      </c>
      <c r="B10833" s="116">
        <f t="shared" si="173"/>
        <v>84</v>
      </c>
    </row>
    <row r="10834" spans="1:2" x14ac:dyDescent="0.2">
      <c r="A10834" s="117">
        <v>45531</v>
      </c>
      <c r="B10834" s="116">
        <f t="shared" si="173"/>
        <v>84</v>
      </c>
    </row>
    <row r="10835" spans="1:2" x14ac:dyDescent="0.2">
      <c r="A10835" s="117">
        <v>45532</v>
      </c>
      <c r="B10835" s="116">
        <f t="shared" si="173"/>
        <v>84</v>
      </c>
    </row>
    <row r="10836" spans="1:2" x14ac:dyDescent="0.2">
      <c r="A10836" s="117">
        <v>45533</v>
      </c>
      <c r="B10836" s="116">
        <f t="shared" si="173"/>
        <v>84</v>
      </c>
    </row>
    <row r="10837" spans="1:2" x14ac:dyDescent="0.2">
      <c r="A10837" s="117">
        <v>45534</v>
      </c>
      <c r="B10837" s="116">
        <f t="shared" si="173"/>
        <v>84</v>
      </c>
    </row>
    <row r="10838" spans="1:2" x14ac:dyDescent="0.2">
      <c r="A10838" s="117">
        <v>45535</v>
      </c>
      <c r="B10838" s="116">
        <f t="shared" si="173"/>
        <v>84</v>
      </c>
    </row>
    <row r="10839" spans="1:2" x14ac:dyDescent="0.2">
      <c r="A10839" s="117">
        <v>45536</v>
      </c>
      <c r="B10839" s="116">
        <f t="shared" si="173"/>
        <v>91</v>
      </c>
    </row>
    <row r="10840" spans="1:2" x14ac:dyDescent="0.2">
      <c r="A10840" s="117">
        <v>45537</v>
      </c>
      <c r="B10840" s="116">
        <f t="shared" si="173"/>
        <v>91</v>
      </c>
    </row>
    <row r="10841" spans="1:2" x14ac:dyDescent="0.2">
      <c r="A10841" s="117">
        <v>45538</v>
      </c>
      <c r="B10841" s="116">
        <f t="shared" si="173"/>
        <v>91</v>
      </c>
    </row>
    <row r="10842" spans="1:2" x14ac:dyDescent="0.2">
      <c r="A10842" s="117">
        <v>45539</v>
      </c>
      <c r="B10842" s="116">
        <f t="shared" si="173"/>
        <v>91</v>
      </c>
    </row>
    <row r="10843" spans="1:2" x14ac:dyDescent="0.2">
      <c r="A10843" s="117">
        <v>45540</v>
      </c>
      <c r="B10843" s="116">
        <f t="shared" si="173"/>
        <v>91</v>
      </c>
    </row>
    <row r="10844" spans="1:2" x14ac:dyDescent="0.2">
      <c r="A10844" s="117">
        <v>45541</v>
      </c>
      <c r="B10844" s="116">
        <f t="shared" si="173"/>
        <v>91</v>
      </c>
    </row>
    <row r="10845" spans="1:2" x14ac:dyDescent="0.2">
      <c r="A10845" s="117">
        <v>45542</v>
      </c>
      <c r="B10845" s="116">
        <f t="shared" si="173"/>
        <v>91</v>
      </c>
    </row>
    <row r="10846" spans="1:2" x14ac:dyDescent="0.2">
      <c r="A10846" s="117">
        <v>45543</v>
      </c>
      <c r="B10846" s="116">
        <f t="shared" si="173"/>
        <v>92</v>
      </c>
    </row>
    <row r="10847" spans="1:2" x14ac:dyDescent="0.2">
      <c r="A10847" s="117">
        <v>45544</v>
      </c>
      <c r="B10847" s="116">
        <f t="shared" si="173"/>
        <v>92</v>
      </c>
    </row>
    <row r="10848" spans="1:2" x14ac:dyDescent="0.2">
      <c r="A10848" s="117">
        <v>45545</v>
      </c>
      <c r="B10848" s="116">
        <f t="shared" si="173"/>
        <v>92</v>
      </c>
    </row>
    <row r="10849" spans="1:2" x14ac:dyDescent="0.2">
      <c r="A10849" s="117">
        <v>45546</v>
      </c>
      <c r="B10849" s="116">
        <f t="shared" si="173"/>
        <v>92</v>
      </c>
    </row>
    <row r="10850" spans="1:2" x14ac:dyDescent="0.2">
      <c r="A10850" s="117">
        <v>45547</v>
      </c>
      <c r="B10850" s="116">
        <f t="shared" si="173"/>
        <v>92</v>
      </c>
    </row>
    <row r="10851" spans="1:2" x14ac:dyDescent="0.2">
      <c r="A10851" s="117">
        <v>45548</v>
      </c>
      <c r="B10851" s="116">
        <f t="shared" si="173"/>
        <v>92</v>
      </c>
    </row>
    <row r="10852" spans="1:2" x14ac:dyDescent="0.2">
      <c r="A10852" s="117">
        <v>45549</v>
      </c>
      <c r="B10852" s="116">
        <f t="shared" si="173"/>
        <v>92</v>
      </c>
    </row>
    <row r="10853" spans="1:2" x14ac:dyDescent="0.2">
      <c r="A10853" s="117">
        <v>45550</v>
      </c>
      <c r="B10853" s="116">
        <f t="shared" si="173"/>
        <v>93</v>
      </c>
    </row>
    <row r="10854" spans="1:2" x14ac:dyDescent="0.2">
      <c r="A10854" s="117">
        <v>45551</v>
      </c>
      <c r="B10854" s="116">
        <f t="shared" si="173"/>
        <v>93</v>
      </c>
    </row>
    <row r="10855" spans="1:2" x14ac:dyDescent="0.2">
      <c r="A10855" s="117">
        <v>45552</v>
      </c>
      <c r="B10855" s="116">
        <f t="shared" si="173"/>
        <v>93</v>
      </c>
    </row>
    <row r="10856" spans="1:2" x14ac:dyDescent="0.2">
      <c r="A10856" s="117">
        <v>45553</v>
      </c>
      <c r="B10856" s="116">
        <f t="shared" si="173"/>
        <v>93</v>
      </c>
    </row>
    <row r="10857" spans="1:2" x14ac:dyDescent="0.2">
      <c r="A10857" s="117">
        <v>45554</v>
      </c>
      <c r="B10857" s="116">
        <f t="shared" si="173"/>
        <v>93</v>
      </c>
    </row>
    <row r="10858" spans="1:2" x14ac:dyDescent="0.2">
      <c r="A10858" s="117">
        <v>45555</v>
      </c>
      <c r="B10858" s="116">
        <f t="shared" si="173"/>
        <v>93</v>
      </c>
    </row>
    <row r="10859" spans="1:2" x14ac:dyDescent="0.2">
      <c r="A10859" s="117">
        <v>45556</v>
      </c>
      <c r="B10859" s="116">
        <f t="shared" si="173"/>
        <v>93</v>
      </c>
    </row>
    <row r="10860" spans="1:2" x14ac:dyDescent="0.2">
      <c r="A10860" s="117">
        <v>45557</v>
      </c>
      <c r="B10860" s="116">
        <f t="shared" si="173"/>
        <v>94</v>
      </c>
    </row>
    <row r="10861" spans="1:2" x14ac:dyDescent="0.2">
      <c r="A10861" s="117">
        <v>45558</v>
      </c>
      <c r="B10861" s="116">
        <f t="shared" si="173"/>
        <v>94</v>
      </c>
    </row>
    <row r="10862" spans="1:2" x14ac:dyDescent="0.2">
      <c r="A10862" s="117">
        <v>45559</v>
      </c>
      <c r="B10862" s="116">
        <f t="shared" si="173"/>
        <v>94</v>
      </c>
    </row>
    <row r="10863" spans="1:2" x14ac:dyDescent="0.2">
      <c r="A10863" s="117">
        <v>45560</v>
      </c>
      <c r="B10863" s="116">
        <f t="shared" si="173"/>
        <v>94</v>
      </c>
    </row>
    <row r="10864" spans="1:2" x14ac:dyDescent="0.2">
      <c r="A10864" s="117">
        <v>45561</v>
      </c>
      <c r="B10864" s="116">
        <f t="shared" si="173"/>
        <v>94</v>
      </c>
    </row>
    <row r="10865" spans="1:2" x14ac:dyDescent="0.2">
      <c r="A10865" s="117">
        <v>45562</v>
      </c>
      <c r="B10865" s="116">
        <f t="shared" si="173"/>
        <v>94</v>
      </c>
    </row>
    <row r="10866" spans="1:2" x14ac:dyDescent="0.2">
      <c r="A10866" s="117">
        <v>45563</v>
      </c>
      <c r="B10866" s="116">
        <f t="shared" si="173"/>
        <v>94</v>
      </c>
    </row>
    <row r="10867" spans="1:2" x14ac:dyDescent="0.2">
      <c r="A10867" s="117">
        <v>45564</v>
      </c>
      <c r="B10867" s="116">
        <f t="shared" si="173"/>
        <v>101</v>
      </c>
    </row>
    <row r="10868" spans="1:2" x14ac:dyDescent="0.2">
      <c r="A10868" s="117">
        <v>45565</v>
      </c>
      <c r="B10868" s="116">
        <f t="shared" si="173"/>
        <v>101</v>
      </c>
    </row>
  </sheetData>
  <autoFilter ref="A2:B8768" xr:uid="{00000000-0009-0000-0000-000018000000}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1:D10"/>
  <sheetViews>
    <sheetView workbookViewId="0">
      <selection activeCell="C9" sqref="C9"/>
    </sheetView>
  </sheetViews>
  <sheetFormatPr defaultRowHeight="12.75" x14ac:dyDescent="0.2"/>
  <sheetData>
    <row r="1" spans="1:4" x14ac:dyDescent="0.2">
      <c r="A1" t="s">
        <v>213</v>
      </c>
      <c r="C1" t="s">
        <v>215</v>
      </c>
      <c r="D1" t="s">
        <v>214</v>
      </c>
    </row>
    <row r="2" spans="1:4" x14ac:dyDescent="0.2">
      <c r="A2">
        <v>2007</v>
      </c>
      <c r="B2">
        <v>66</v>
      </c>
      <c r="C2">
        <v>195</v>
      </c>
      <c r="D2">
        <v>56</v>
      </c>
    </row>
    <row r="3" spans="1:4" x14ac:dyDescent="0.2">
      <c r="A3">
        <v>2008</v>
      </c>
      <c r="B3">
        <v>16</v>
      </c>
      <c r="C3">
        <v>195</v>
      </c>
      <c r="D3">
        <v>57</v>
      </c>
    </row>
    <row r="4" spans="1:4" x14ac:dyDescent="0.2">
      <c r="A4">
        <v>2009</v>
      </c>
      <c r="B4">
        <v>203</v>
      </c>
      <c r="C4">
        <v>253</v>
      </c>
      <c r="D4">
        <v>83</v>
      </c>
    </row>
    <row r="5" spans="1:4" x14ac:dyDescent="0.2">
      <c r="A5">
        <v>2010</v>
      </c>
      <c r="B5">
        <v>113</v>
      </c>
      <c r="C5">
        <v>256</v>
      </c>
      <c r="D5">
        <f>48+50</f>
        <v>98</v>
      </c>
    </row>
    <row r="6" spans="1:4" x14ac:dyDescent="0.2">
      <c r="A6">
        <v>2011</v>
      </c>
      <c r="B6">
        <v>214</v>
      </c>
      <c r="C6">
        <v>266</v>
      </c>
      <c r="D6">
        <v>84</v>
      </c>
    </row>
    <row r="7" spans="1:4" x14ac:dyDescent="0.2">
      <c r="A7">
        <v>2012</v>
      </c>
      <c r="B7">
        <v>174</v>
      </c>
      <c r="C7">
        <v>260</v>
      </c>
      <c r="D7">
        <v>67</v>
      </c>
    </row>
    <row r="8" spans="1:4" x14ac:dyDescent="0.2">
      <c r="A8">
        <v>2013</v>
      </c>
      <c r="B8">
        <v>449</v>
      </c>
      <c r="C8">
        <v>234</v>
      </c>
      <c r="D8">
        <v>72</v>
      </c>
    </row>
    <row r="9" spans="1:4" x14ac:dyDescent="0.2">
      <c r="A9">
        <v>2014</v>
      </c>
      <c r="B9">
        <v>95</v>
      </c>
      <c r="C9">
        <v>220</v>
      </c>
      <c r="D9">
        <v>69</v>
      </c>
    </row>
    <row r="10" spans="1:4" x14ac:dyDescent="0.2">
      <c r="A10">
        <v>2015</v>
      </c>
      <c r="B10">
        <v>793</v>
      </c>
      <c r="C10">
        <v>211</v>
      </c>
      <c r="D10">
        <v>59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/>
  <dimension ref="A1:AH245"/>
  <sheetViews>
    <sheetView workbookViewId="0">
      <selection activeCell="N28" sqref="N28"/>
    </sheetView>
  </sheetViews>
  <sheetFormatPr defaultRowHeight="12.75" x14ac:dyDescent="0.2"/>
  <cols>
    <col min="2" max="3" width="4.85546875" customWidth="1"/>
    <col min="4" max="4" width="6" bestFit="1" customWidth="1"/>
    <col min="5" max="5" width="4.85546875" customWidth="1"/>
    <col min="6" max="7" width="6" bestFit="1" customWidth="1"/>
    <col min="8" max="8" width="4.85546875" customWidth="1"/>
    <col min="9" max="9" width="6.28515625" bestFit="1" customWidth="1"/>
    <col min="10" max="10" width="6" bestFit="1" customWidth="1"/>
    <col min="11" max="11" width="5.7109375" bestFit="1" customWidth="1"/>
    <col min="12" max="12" width="7.5703125" bestFit="1" customWidth="1"/>
    <col min="13" max="15" width="4.85546875" customWidth="1"/>
    <col min="16" max="16" width="6.140625" customWidth="1"/>
    <col min="17" max="18" width="4.85546875" customWidth="1"/>
    <col min="19" max="19" width="5.42578125" customWidth="1"/>
    <col min="20" max="20" width="6.42578125" customWidth="1"/>
    <col min="21" max="22" width="4.85546875" customWidth="1"/>
    <col min="23" max="23" width="6.42578125" customWidth="1"/>
    <col min="24" max="26" width="4.85546875" customWidth="1"/>
    <col min="30" max="30" width="11.42578125" customWidth="1"/>
    <col min="31" max="31" width="12.85546875" customWidth="1"/>
    <col min="32" max="32" width="30.28515625" bestFit="1" customWidth="1"/>
    <col min="34" max="34" width="9.85546875" customWidth="1"/>
  </cols>
  <sheetData>
    <row r="1" spans="1:34" ht="13.5" thickBot="1" x14ac:dyDescent="0.25">
      <c r="A1" s="93" t="s">
        <v>238</v>
      </c>
      <c r="B1" s="93"/>
      <c r="C1" s="93"/>
      <c r="D1" s="93"/>
    </row>
    <row r="2" spans="1:34" ht="13.5" thickTop="1" x14ac:dyDescent="0.2">
      <c r="A2" s="1004" t="s">
        <v>0</v>
      </c>
      <c r="B2" s="421"/>
      <c r="C2" s="421"/>
      <c r="D2" s="319"/>
      <c r="E2" s="1006" t="s">
        <v>1</v>
      </c>
      <c r="F2" s="1006"/>
      <c r="G2" s="1006"/>
      <c r="H2" s="1006"/>
      <c r="I2" s="1006"/>
      <c r="J2" s="1006"/>
      <c r="K2" s="1006"/>
      <c r="L2" s="1006"/>
      <c r="M2" s="1006"/>
      <c r="N2" s="1006"/>
      <c r="O2" s="1006"/>
      <c r="P2" s="1006"/>
      <c r="Q2" s="1006"/>
      <c r="R2" s="1006"/>
      <c r="S2" s="1006"/>
      <c r="T2" s="1006"/>
      <c r="U2" s="1006"/>
      <c r="V2" s="1006"/>
      <c r="W2" s="1006"/>
      <c r="X2" s="1006"/>
      <c r="Y2" s="1006"/>
      <c r="Z2" s="1006"/>
      <c r="AA2" s="1004" t="s">
        <v>2</v>
      </c>
      <c r="AB2" s="1010" t="s">
        <v>3</v>
      </c>
      <c r="AC2" s="1008" t="s">
        <v>4</v>
      </c>
      <c r="AD2" s="573"/>
      <c r="AF2" s="575" t="s">
        <v>444</v>
      </c>
      <c r="AG2" s="577" t="s">
        <v>445</v>
      </c>
      <c r="AH2" s="576" t="s">
        <v>449</v>
      </c>
    </row>
    <row r="3" spans="1:34" ht="25.5" x14ac:dyDescent="0.2">
      <c r="A3" s="1005"/>
      <c r="B3" s="18">
        <v>73</v>
      </c>
      <c r="C3" s="18">
        <v>74</v>
      </c>
      <c r="D3" s="18">
        <v>75</v>
      </c>
      <c r="E3" s="18">
        <v>81</v>
      </c>
      <c r="F3" s="18">
        <v>82</v>
      </c>
      <c r="G3" s="18">
        <v>83</v>
      </c>
      <c r="H3" s="18">
        <v>84</v>
      </c>
      <c r="I3" s="18">
        <v>91</v>
      </c>
      <c r="J3" s="18">
        <v>92</v>
      </c>
      <c r="K3" s="18">
        <v>93</v>
      </c>
      <c r="L3" s="18">
        <v>94</v>
      </c>
      <c r="M3" s="18">
        <v>101</v>
      </c>
      <c r="N3" s="18">
        <v>102</v>
      </c>
      <c r="O3" s="18">
        <v>103</v>
      </c>
      <c r="P3" s="18">
        <v>104</v>
      </c>
      <c r="Q3" s="18">
        <v>105</v>
      </c>
      <c r="R3" s="18">
        <v>111</v>
      </c>
      <c r="S3" s="18">
        <v>112</v>
      </c>
      <c r="T3" s="18">
        <v>113</v>
      </c>
      <c r="U3" s="18">
        <v>114</v>
      </c>
      <c r="V3" s="18">
        <v>115</v>
      </c>
      <c r="W3" s="18">
        <v>121</v>
      </c>
      <c r="X3" s="18">
        <v>122</v>
      </c>
      <c r="Y3" s="18">
        <v>123</v>
      </c>
      <c r="Z3" s="18">
        <v>124</v>
      </c>
      <c r="AA3" s="1005"/>
      <c r="AB3" s="1011"/>
      <c r="AC3" s="1009"/>
      <c r="AD3" s="574" t="s">
        <v>142</v>
      </c>
      <c r="AE3" s="576" t="s">
        <v>454</v>
      </c>
      <c r="AF3" t="s">
        <v>443</v>
      </c>
    </row>
    <row r="4" spans="1:34" x14ac:dyDescent="0.2">
      <c r="A4" s="13">
        <v>1999</v>
      </c>
      <c r="B4" s="13"/>
      <c r="C4" s="13"/>
      <c r="D4" s="13"/>
      <c r="E4" s="13"/>
      <c r="F4" s="13"/>
      <c r="G4" s="13">
        <v>860</v>
      </c>
      <c r="H4" s="13"/>
      <c r="I4" s="13"/>
      <c r="J4" s="13">
        <v>1511</v>
      </c>
      <c r="K4" s="13"/>
      <c r="L4" s="13">
        <v>1906</v>
      </c>
      <c r="M4" s="13"/>
      <c r="N4" s="13">
        <v>811</v>
      </c>
      <c r="O4" s="13"/>
      <c r="P4" s="13">
        <v>793</v>
      </c>
      <c r="Q4" s="13"/>
      <c r="R4" s="13">
        <v>349</v>
      </c>
      <c r="S4" s="13"/>
      <c r="T4" s="13"/>
      <c r="U4" s="13">
        <v>0</v>
      </c>
      <c r="V4" s="13"/>
      <c r="W4" s="13">
        <v>0</v>
      </c>
      <c r="X4" s="13"/>
      <c r="Y4" s="13"/>
      <c r="Z4" s="13"/>
      <c r="AA4" s="13">
        <v>1906</v>
      </c>
      <c r="AB4" s="224"/>
      <c r="AC4" s="225">
        <v>30</v>
      </c>
      <c r="AD4" s="349">
        <f>AA4/MAX(D4:Z4)</f>
        <v>1</v>
      </c>
      <c r="AE4" s="426">
        <f>AA4/0.09</f>
        <v>21177.777777777777</v>
      </c>
      <c r="AF4" s="575" t="s">
        <v>446</v>
      </c>
      <c r="AG4" s="580">
        <v>0.42</v>
      </c>
    </row>
    <row r="5" spans="1:34" x14ac:dyDescent="0.2">
      <c r="A5" s="13">
        <v>2000</v>
      </c>
      <c r="B5" s="13"/>
      <c r="C5" s="13"/>
      <c r="D5" s="441">
        <v>30976</v>
      </c>
      <c r="G5" s="441">
        <v>26715</v>
      </c>
      <c r="I5" s="441">
        <v>29768</v>
      </c>
      <c r="J5" s="441">
        <v>21498</v>
      </c>
      <c r="M5" s="441">
        <v>6274</v>
      </c>
      <c r="N5" s="13"/>
      <c r="O5" s="442">
        <v>782</v>
      </c>
      <c r="P5" s="13"/>
      <c r="Q5" s="13"/>
      <c r="R5" s="442">
        <v>186</v>
      </c>
      <c r="S5" s="13"/>
      <c r="T5" s="442">
        <v>22</v>
      </c>
      <c r="U5" s="13"/>
      <c r="V5" s="13"/>
      <c r="W5" s="442">
        <v>1</v>
      </c>
      <c r="Y5" s="13"/>
      <c r="Z5" s="13"/>
      <c r="AA5" s="13">
        <v>37756</v>
      </c>
      <c r="AB5" s="224"/>
      <c r="AC5" s="225"/>
      <c r="AD5" s="2"/>
      <c r="AE5" s="426">
        <f t="shared" ref="AE5:AE23" si="0">AA5/0.09</f>
        <v>419511.11111111112</v>
      </c>
      <c r="AF5" s="575" t="s">
        <v>447</v>
      </c>
      <c r="AG5" s="580">
        <v>0.14000000000000001</v>
      </c>
    </row>
    <row r="6" spans="1:34" x14ac:dyDescent="0.2">
      <c r="A6" s="13">
        <v>2001</v>
      </c>
      <c r="B6" s="442">
        <v>3558</v>
      </c>
      <c r="C6" s="13"/>
      <c r="D6" s="442">
        <v>5071</v>
      </c>
      <c r="E6" s="13"/>
      <c r="F6" s="442">
        <v>5471</v>
      </c>
      <c r="G6" s="13"/>
      <c r="H6" s="13"/>
      <c r="I6" s="442">
        <v>4193</v>
      </c>
      <c r="J6" s="13"/>
      <c r="K6" s="13"/>
      <c r="L6" s="13"/>
      <c r="M6" s="442">
        <v>992</v>
      </c>
      <c r="N6" s="13"/>
      <c r="O6" s="442">
        <v>466</v>
      </c>
      <c r="P6" s="13"/>
      <c r="Q6" s="13"/>
      <c r="R6" s="442">
        <v>86</v>
      </c>
      <c r="S6" s="13"/>
      <c r="T6" s="442">
        <v>2</v>
      </c>
      <c r="U6" s="13"/>
      <c r="V6" s="442">
        <v>0</v>
      </c>
      <c r="W6" s="13"/>
      <c r="X6" s="442">
        <v>0</v>
      </c>
      <c r="Y6" s="13"/>
      <c r="Z6" s="13"/>
      <c r="AA6" s="13">
        <v>7054</v>
      </c>
      <c r="AB6" s="224"/>
      <c r="AC6" s="225"/>
      <c r="AD6" s="2"/>
      <c r="AE6" s="426">
        <f t="shared" si="0"/>
        <v>78377.777777777781</v>
      </c>
      <c r="AF6" s="577" t="s">
        <v>448</v>
      </c>
      <c r="AG6" s="581">
        <v>0.17</v>
      </c>
    </row>
    <row r="7" spans="1:34" x14ac:dyDescent="0.2">
      <c r="A7" s="13">
        <v>2002</v>
      </c>
      <c r="B7" s="13"/>
      <c r="C7" s="13"/>
      <c r="D7" s="13"/>
      <c r="E7" s="442">
        <v>1003</v>
      </c>
      <c r="F7" s="13"/>
      <c r="G7" s="442">
        <v>1335</v>
      </c>
      <c r="H7" s="13"/>
      <c r="I7" s="13"/>
      <c r="J7" s="13"/>
      <c r="K7" s="13"/>
      <c r="L7" s="13"/>
      <c r="M7" s="442">
        <v>946</v>
      </c>
      <c r="N7" s="13"/>
      <c r="O7" s="13"/>
      <c r="P7" s="442">
        <v>589</v>
      </c>
      <c r="Q7" s="13"/>
      <c r="R7" s="13"/>
      <c r="S7" s="13"/>
      <c r="T7" s="13"/>
      <c r="U7" s="442">
        <v>0</v>
      </c>
      <c r="V7" s="13"/>
      <c r="W7" s="13"/>
      <c r="X7" s="13"/>
      <c r="Y7" s="13"/>
      <c r="Z7" s="13"/>
      <c r="AA7" s="13">
        <v>2847</v>
      </c>
      <c r="AB7" s="224"/>
      <c r="AC7" s="225"/>
      <c r="AD7" s="2"/>
      <c r="AE7" s="426">
        <f t="shared" si="0"/>
        <v>31633.333333333336</v>
      </c>
      <c r="AF7" s="576" t="s">
        <v>450</v>
      </c>
      <c r="AG7" s="579">
        <v>0.09</v>
      </c>
    </row>
    <row r="8" spans="1:34" x14ac:dyDescent="0.2">
      <c r="A8" s="13">
        <v>2003</v>
      </c>
      <c r="B8" s="13"/>
      <c r="C8" s="13"/>
      <c r="D8" s="13"/>
      <c r="H8" s="441">
        <v>6850</v>
      </c>
      <c r="J8" s="441">
        <v>7610</v>
      </c>
      <c r="L8" s="441">
        <v>4758</v>
      </c>
      <c r="Q8" s="441">
        <v>1289</v>
      </c>
      <c r="V8" s="13"/>
      <c r="W8" s="13"/>
      <c r="X8" s="13"/>
      <c r="Y8" s="13"/>
      <c r="Z8" s="13"/>
      <c r="AA8" s="13">
        <v>8948</v>
      </c>
      <c r="AB8" s="224"/>
      <c r="AC8" s="225"/>
      <c r="AD8" s="2"/>
      <c r="AE8" s="426">
        <f t="shared" si="0"/>
        <v>99422.222222222219</v>
      </c>
      <c r="AF8" s="576" t="s">
        <v>451</v>
      </c>
      <c r="AG8" s="579">
        <v>0.08</v>
      </c>
    </row>
    <row r="9" spans="1:34" ht="13.5" customHeight="1" x14ac:dyDescent="0.2">
      <c r="A9" s="13">
        <v>2004</v>
      </c>
      <c r="B9" s="13"/>
      <c r="C9" s="13"/>
      <c r="D9" s="13"/>
      <c r="E9" s="13"/>
      <c r="F9" s="442">
        <v>12050</v>
      </c>
      <c r="G9" s="13"/>
      <c r="H9" s="13"/>
      <c r="I9" s="442">
        <v>11485</v>
      </c>
      <c r="J9" s="13"/>
      <c r="K9" s="13"/>
      <c r="L9" s="442">
        <v>12604</v>
      </c>
      <c r="M9" s="13"/>
      <c r="N9" s="13"/>
      <c r="O9" s="13"/>
      <c r="P9" s="13"/>
      <c r="Q9" s="442">
        <v>188</v>
      </c>
      <c r="S9" s="13"/>
      <c r="T9" s="13"/>
      <c r="U9" s="442">
        <v>4</v>
      </c>
      <c r="V9" s="13"/>
      <c r="W9" s="13"/>
      <c r="X9" s="13"/>
      <c r="Y9" s="13"/>
      <c r="Z9" s="13"/>
      <c r="AA9" s="13">
        <v>14128</v>
      </c>
      <c r="AB9" s="224"/>
      <c r="AD9" s="225"/>
      <c r="AE9" s="426">
        <f t="shared" si="0"/>
        <v>156977.77777777778</v>
      </c>
      <c r="AF9" s="576" t="s">
        <v>452</v>
      </c>
      <c r="AG9" s="579">
        <v>0.06</v>
      </c>
    </row>
    <row r="10" spans="1:34" x14ac:dyDescent="0.2">
      <c r="A10" s="13">
        <v>2005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>
        <v>2173</v>
      </c>
      <c r="AB10" s="224"/>
      <c r="AD10" s="225"/>
      <c r="AE10" s="426">
        <f t="shared" si="0"/>
        <v>24144.444444444445</v>
      </c>
      <c r="AF10" s="582" t="s">
        <v>453</v>
      </c>
      <c r="AG10" s="583">
        <v>0.04</v>
      </c>
    </row>
    <row r="11" spans="1:34" x14ac:dyDescent="0.2">
      <c r="A11" s="13">
        <v>2006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>
        <v>5165</v>
      </c>
      <c r="AB11" s="224"/>
      <c r="AD11" s="225"/>
      <c r="AE11" s="426">
        <f t="shared" si="0"/>
        <v>57388.888888888891</v>
      </c>
      <c r="AG11" s="578">
        <f>SUM(AG4:AG10)</f>
        <v>1</v>
      </c>
    </row>
    <row r="12" spans="1:34" x14ac:dyDescent="0.2">
      <c r="A12" s="13">
        <v>2007</v>
      </c>
      <c r="B12" s="13"/>
      <c r="C12" s="13"/>
      <c r="D12" s="109">
        <v>623</v>
      </c>
      <c r="E12" s="13"/>
      <c r="F12" s="13"/>
      <c r="G12" s="109">
        <v>861</v>
      </c>
      <c r="H12" s="13"/>
      <c r="I12" s="321">
        <v>1832</v>
      </c>
      <c r="J12" s="13"/>
      <c r="K12" s="13"/>
      <c r="L12" s="13"/>
      <c r="M12" s="13"/>
      <c r="N12" s="13"/>
      <c r="O12" s="13"/>
      <c r="P12" s="13"/>
      <c r="Q12" s="109">
        <v>152</v>
      </c>
      <c r="R12" s="155">
        <v>270</v>
      </c>
      <c r="S12" s="13"/>
      <c r="T12" s="109">
        <v>12</v>
      </c>
      <c r="U12" s="13"/>
      <c r="V12" s="13"/>
      <c r="W12" s="13"/>
      <c r="X12" s="13"/>
      <c r="Y12" s="13"/>
      <c r="Z12" s="13"/>
      <c r="AA12" s="13">
        <v>2371</v>
      </c>
      <c r="AB12" s="224" t="s">
        <v>5</v>
      </c>
      <c r="AC12">
        <v>45</v>
      </c>
      <c r="AD12" s="349">
        <f t="shared" ref="AD12:AD23" si="1">AA12/MAX(D12:Z12)</f>
        <v>1.2942139737991267</v>
      </c>
      <c r="AE12" s="426">
        <f t="shared" si="0"/>
        <v>26344.444444444445</v>
      </c>
    </row>
    <row r="13" spans="1:34" x14ac:dyDescent="0.2">
      <c r="A13" s="13">
        <v>2008</v>
      </c>
      <c r="B13" s="13"/>
      <c r="C13" s="13"/>
      <c r="D13" s="13"/>
      <c r="E13" s="109">
        <v>5325</v>
      </c>
      <c r="F13" s="13"/>
      <c r="G13" s="109">
        <v>6906</v>
      </c>
      <c r="H13" s="13"/>
      <c r="I13" s="109">
        <v>7159</v>
      </c>
      <c r="J13" s="13"/>
      <c r="K13" s="109">
        <v>5625</v>
      </c>
      <c r="L13" s="13"/>
      <c r="M13" s="13"/>
      <c r="N13" s="13"/>
      <c r="O13" s="155">
        <v>1138</v>
      </c>
      <c r="P13" s="13"/>
      <c r="Q13" s="13"/>
      <c r="R13" s="109">
        <v>54</v>
      </c>
      <c r="S13" s="13"/>
      <c r="T13" s="13"/>
      <c r="U13" s="13"/>
      <c r="V13" s="13"/>
      <c r="W13" s="13"/>
      <c r="X13" s="13"/>
      <c r="Y13" s="13"/>
      <c r="Z13" s="13"/>
      <c r="AA13" s="13">
        <v>7730</v>
      </c>
      <c r="AB13" s="224" t="s">
        <v>5</v>
      </c>
      <c r="AC13">
        <v>52.5</v>
      </c>
      <c r="AD13" s="349">
        <f t="shared" si="1"/>
        <v>1.0797597429808632</v>
      </c>
      <c r="AE13" s="426">
        <f t="shared" si="0"/>
        <v>85888.888888888891</v>
      </c>
    </row>
    <row r="14" spans="1:34" x14ac:dyDescent="0.2">
      <c r="A14" s="13">
        <v>2009</v>
      </c>
      <c r="B14" s="13"/>
      <c r="C14" s="13"/>
      <c r="D14" s="13"/>
      <c r="E14" s="109">
        <v>1775</v>
      </c>
      <c r="F14" s="13"/>
      <c r="G14" s="109">
        <v>2581</v>
      </c>
      <c r="H14" s="13"/>
      <c r="I14" s="109">
        <v>2640</v>
      </c>
      <c r="J14" s="13"/>
      <c r="K14" s="13"/>
      <c r="L14" s="155">
        <v>2237</v>
      </c>
      <c r="M14" s="13"/>
      <c r="N14" s="13"/>
      <c r="O14" s="13"/>
      <c r="P14" s="321">
        <v>201</v>
      </c>
      <c r="Q14" s="13"/>
      <c r="R14" s="155">
        <v>156</v>
      </c>
      <c r="S14" s="13"/>
      <c r="T14" s="13"/>
      <c r="U14" s="13"/>
      <c r="V14" s="13"/>
      <c r="W14" s="109">
        <v>0</v>
      </c>
      <c r="X14" s="13"/>
      <c r="Y14" s="13"/>
      <c r="Z14" s="13"/>
      <c r="AA14" s="13">
        <v>4700</v>
      </c>
      <c r="AB14" s="224" t="s">
        <v>5</v>
      </c>
      <c r="AC14">
        <v>45</v>
      </c>
      <c r="AD14" s="349">
        <f t="shared" si="1"/>
        <v>1.7803030303030303</v>
      </c>
      <c r="AE14" s="426">
        <f t="shared" si="0"/>
        <v>52222.222222222226</v>
      </c>
    </row>
    <row r="15" spans="1:34" x14ac:dyDescent="0.2">
      <c r="A15" s="13">
        <v>2010</v>
      </c>
      <c r="B15" s="13"/>
      <c r="C15" s="13"/>
      <c r="D15" s="13"/>
      <c r="E15" s="13">
        <v>5338</v>
      </c>
      <c r="F15" s="13"/>
      <c r="G15" s="13">
        <v>5504</v>
      </c>
      <c r="H15" s="13"/>
      <c r="I15" s="13"/>
      <c r="J15" s="323">
        <v>5150</v>
      </c>
      <c r="K15" s="13"/>
      <c r="L15" s="130">
        <v>2706</v>
      </c>
      <c r="M15" s="13"/>
      <c r="N15" s="13"/>
      <c r="O15" s="13"/>
      <c r="P15" s="322">
        <v>1044</v>
      </c>
      <c r="Q15" s="13"/>
      <c r="R15" s="13"/>
      <c r="S15" s="13">
        <v>60</v>
      </c>
      <c r="T15" s="13"/>
      <c r="U15" s="13"/>
      <c r="V15" s="13"/>
      <c r="W15" s="13"/>
      <c r="X15" s="13"/>
      <c r="Y15" s="13"/>
      <c r="Z15" s="13"/>
      <c r="AA15" s="13">
        <v>12580</v>
      </c>
      <c r="AB15" s="224" t="s">
        <v>5</v>
      </c>
      <c r="AC15">
        <v>30</v>
      </c>
      <c r="AD15" s="349">
        <f t="shared" si="1"/>
        <v>2.285610465116279</v>
      </c>
      <c r="AE15" s="426">
        <f t="shared" si="0"/>
        <v>139777.77777777778</v>
      </c>
    </row>
    <row r="16" spans="1:34" x14ac:dyDescent="0.2">
      <c r="A16" s="13">
        <v>2011</v>
      </c>
      <c r="B16" s="13"/>
      <c r="C16" s="13"/>
      <c r="D16" s="13"/>
      <c r="E16" s="13"/>
      <c r="F16" s="13"/>
      <c r="G16" s="13"/>
      <c r="H16" s="13"/>
      <c r="I16" s="13">
        <v>6242</v>
      </c>
      <c r="J16" s="13">
        <v>7063</v>
      </c>
      <c r="K16" s="13">
        <v>6383</v>
      </c>
      <c r="L16" s="13"/>
      <c r="M16" s="13"/>
      <c r="N16" s="13"/>
      <c r="O16" s="13"/>
      <c r="P16" s="13"/>
      <c r="Q16" s="13">
        <v>614</v>
      </c>
      <c r="R16" s="13"/>
      <c r="S16" s="13"/>
      <c r="T16" s="13"/>
      <c r="U16" s="13"/>
      <c r="V16" s="13"/>
      <c r="W16" s="13"/>
      <c r="X16" s="13"/>
      <c r="Y16" s="13"/>
      <c r="Z16" s="13"/>
      <c r="AA16" s="13">
        <v>9784</v>
      </c>
      <c r="AB16" s="13"/>
      <c r="AD16" s="349">
        <f t="shared" si="1"/>
        <v>1.3852470621548918</v>
      </c>
      <c r="AE16" s="426">
        <f t="shared" si="0"/>
        <v>108711.11111111111</v>
      </c>
    </row>
    <row r="17" spans="1:31" x14ac:dyDescent="0.2">
      <c r="A17" s="13">
        <v>2012</v>
      </c>
      <c r="B17" s="13"/>
      <c r="C17" s="13"/>
      <c r="D17" s="13"/>
      <c r="E17" s="13"/>
      <c r="F17" s="13"/>
      <c r="G17" s="13"/>
      <c r="H17" s="13"/>
      <c r="I17" s="13"/>
      <c r="J17" s="13">
        <v>10786</v>
      </c>
      <c r="K17" s="13"/>
      <c r="L17" s="13"/>
      <c r="M17" s="13"/>
      <c r="N17" s="13"/>
      <c r="O17" s="13"/>
      <c r="P17" s="13"/>
      <c r="Q17" s="13"/>
      <c r="R17" s="13">
        <v>149</v>
      </c>
      <c r="S17" s="13"/>
      <c r="T17" s="13"/>
      <c r="U17" s="13"/>
      <c r="V17" s="13"/>
      <c r="W17" s="13"/>
      <c r="X17" s="13"/>
      <c r="Y17" s="13"/>
      <c r="Z17" s="13"/>
      <c r="AA17" s="13">
        <v>11020</v>
      </c>
      <c r="AB17" s="13"/>
      <c r="AD17" s="349">
        <f t="shared" si="1"/>
        <v>1.021694789541999</v>
      </c>
      <c r="AE17" s="426">
        <f t="shared" si="0"/>
        <v>122444.44444444445</v>
      </c>
    </row>
    <row r="18" spans="1:31" x14ac:dyDescent="0.2">
      <c r="A18" s="13">
        <v>2013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>
        <v>1630</v>
      </c>
      <c r="R18" s="13"/>
      <c r="S18" s="13"/>
      <c r="T18" s="13"/>
      <c r="U18" s="13"/>
      <c r="V18" s="13"/>
      <c r="W18" s="13"/>
      <c r="X18" s="13"/>
      <c r="Y18" s="13"/>
      <c r="Z18" s="13"/>
      <c r="AA18" s="13">
        <v>1630</v>
      </c>
      <c r="AB18" s="13"/>
      <c r="AD18" s="349">
        <f t="shared" si="1"/>
        <v>1</v>
      </c>
      <c r="AE18" s="426">
        <f t="shared" si="0"/>
        <v>18111.111111111113</v>
      </c>
    </row>
    <row r="19" spans="1:31" x14ac:dyDescent="0.2">
      <c r="A19" s="13">
        <v>2014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>
        <v>1567</v>
      </c>
      <c r="O19" s="13"/>
      <c r="P19" s="13"/>
      <c r="Q19" s="13"/>
      <c r="R19" s="13"/>
      <c r="S19" s="13"/>
      <c r="T19" s="13"/>
      <c r="U19" s="13"/>
      <c r="V19" s="13">
        <v>0</v>
      </c>
      <c r="W19" s="13"/>
      <c r="X19" s="13"/>
      <c r="Y19" s="13"/>
      <c r="Z19" s="13"/>
      <c r="AA19" s="13">
        <v>1698</v>
      </c>
      <c r="AB19" s="13"/>
      <c r="AD19" s="349">
        <f t="shared" si="1"/>
        <v>1.0835992342054881</v>
      </c>
      <c r="AE19" s="426">
        <f t="shared" si="0"/>
        <v>18866.666666666668</v>
      </c>
    </row>
    <row r="20" spans="1:31" x14ac:dyDescent="0.2">
      <c r="A20" s="13">
        <v>2015</v>
      </c>
      <c r="B20" s="13"/>
      <c r="C20" s="13"/>
      <c r="D20" s="13"/>
      <c r="E20" s="13"/>
      <c r="F20" s="13"/>
      <c r="G20" s="13"/>
      <c r="H20" s="13"/>
      <c r="I20" s="13"/>
      <c r="J20" s="13">
        <v>1301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>
        <v>22</v>
      </c>
      <c r="V20" s="13"/>
      <c r="W20" s="13"/>
      <c r="X20" s="13"/>
      <c r="Y20" s="13"/>
      <c r="Z20" s="13"/>
      <c r="AA20" s="13">
        <v>1445</v>
      </c>
      <c r="AB20" s="13"/>
      <c r="AD20" s="349">
        <f t="shared" si="1"/>
        <v>1.110684089162183</v>
      </c>
      <c r="AE20" s="426">
        <f t="shared" si="0"/>
        <v>16055.555555555557</v>
      </c>
    </row>
    <row r="21" spans="1:31" x14ac:dyDescent="0.2">
      <c r="A21" s="13">
        <v>2016</v>
      </c>
      <c r="B21" s="13"/>
      <c r="C21" s="13"/>
      <c r="D21" s="13"/>
      <c r="E21" s="13"/>
      <c r="F21" s="13"/>
      <c r="G21" s="13">
        <v>1776</v>
      </c>
      <c r="H21" s="13"/>
      <c r="I21" s="13"/>
      <c r="J21" s="13">
        <v>2592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>
        <v>3</v>
      </c>
      <c r="W21" s="13"/>
      <c r="X21" s="13">
        <v>0</v>
      </c>
      <c r="Y21" s="13"/>
      <c r="Z21" s="13"/>
      <c r="AA21" s="13">
        <v>2880</v>
      </c>
      <c r="AB21" s="13"/>
      <c r="AD21" s="349">
        <f t="shared" si="1"/>
        <v>1.1111111111111112</v>
      </c>
      <c r="AE21" s="426">
        <f t="shared" si="0"/>
        <v>32000</v>
      </c>
    </row>
    <row r="22" spans="1:31" x14ac:dyDescent="0.2">
      <c r="A22" s="13">
        <v>2017</v>
      </c>
      <c r="B22" s="13"/>
      <c r="C22" s="13"/>
      <c r="D22" s="13"/>
      <c r="E22" s="13"/>
      <c r="F22" s="13"/>
      <c r="G22" s="13"/>
      <c r="H22" s="109">
        <v>3125</v>
      </c>
      <c r="I22" s="13"/>
      <c r="J22" s="13"/>
      <c r="K22" s="13"/>
      <c r="L22" s="155">
        <v>3521</v>
      </c>
      <c r="M22" s="13"/>
      <c r="N22" s="13"/>
      <c r="O22" s="13"/>
      <c r="P22" s="13"/>
      <c r="Q22" s="13"/>
      <c r="R22" s="155">
        <v>168</v>
      </c>
      <c r="S22" s="13"/>
      <c r="T22" s="13"/>
      <c r="U22" s="13"/>
      <c r="V22" s="13"/>
      <c r="W22" s="13"/>
      <c r="X22" s="13"/>
      <c r="Y22" s="13"/>
      <c r="Z22" s="13"/>
      <c r="AA22" s="13">
        <v>3923</v>
      </c>
      <c r="AB22" s="13"/>
      <c r="AD22" s="349">
        <f t="shared" si="1"/>
        <v>1.114172110195967</v>
      </c>
      <c r="AE22" s="426">
        <f t="shared" si="0"/>
        <v>43588.888888888891</v>
      </c>
    </row>
    <row r="23" spans="1:31" x14ac:dyDescent="0.2">
      <c r="A23" s="13">
        <v>2018</v>
      </c>
      <c r="B23" s="13"/>
      <c r="C23" s="13"/>
      <c r="D23" s="13"/>
      <c r="E23" s="13"/>
      <c r="F23" s="13"/>
      <c r="G23" s="13"/>
      <c r="H23" s="13"/>
      <c r="I23" s="109">
        <v>1486</v>
      </c>
      <c r="J23" s="13"/>
      <c r="K23" s="155">
        <v>1643</v>
      </c>
      <c r="L23" s="13"/>
      <c r="M23" s="13"/>
      <c r="N23" s="13"/>
      <c r="O23" s="13"/>
      <c r="P23" s="13"/>
      <c r="Q23" s="13"/>
      <c r="R23" s="13"/>
      <c r="S23" s="109">
        <v>85</v>
      </c>
      <c r="T23" s="13"/>
      <c r="U23" s="13"/>
      <c r="V23" s="13"/>
      <c r="W23" s="13"/>
      <c r="X23" s="13"/>
      <c r="Y23" s="13"/>
      <c r="Z23" s="13"/>
      <c r="AA23" s="13">
        <v>1833</v>
      </c>
      <c r="AB23" s="13"/>
      <c r="AD23" s="349">
        <f t="shared" si="1"/>
        <v>1.1156421180766889</v>
      </c>
      <c r="AE23" s="426">
        <f t="shared" si="0"/>
        <v>20366.666666666668</v>
      </c>
    </row>
    <row r="24" spans="1:31" x14ac:dyDescent="0.2">
      <c r="A24" s="13">
        <v>2019</v>
      </c>
      <c r="B24" s="13"/>
      <c r="C24" s="13"/>
      <c r="D24" s="13"/>
      <c r="E24" s="13"/>
      <c r="F24" s="13"/>
      <c r="G24" s="13"/>
      <c r="H24" s="13"/>
      <c r="I24" s="13"/>
      <c r="J24" s="109">
        <v>613</v>
      </c>
      <c r="K24" s="155">
        <v>357</v>
      </c>
      <c r="L24" s="13"/>
      <c r="M24" s="13"/>
      <c r="N24" s="13"/>
      <c r="O24" s="13"/>
      <c r="P24" s="13"/>
      <c r="Q24" s="13"/>
      <c r="R24" s="13"/>
      <c r="S24" s="109">
        <v>74</v>
      </c>
      <c r="T24" s="13"/>
      <c r="U24" s="13"/>
      <c r="V24" s="13"/>
      <c r="W24" s="13"/>
      <c r="X24" s="13"/>
      <c r="Y24" s="13"/>
      <c r="Z24" s="13"/>
      <c r="AA24" s="13"/>
      <c r="AB24" s="13"/>
      <c r="AD24" s="349"/>
      <c r="AE24" s="426"/>
    </row>
    <row r="25" spans="1:31" x14ac:dyDescent="0.2">
      <c r="A25" s="13">
        <v>2020</v>
      </c>
      <c r="B25" s="13"/>
      <c r="C25" s="13"/>
      <c r="D25" s="13"/>
      <c r="E25" s="13"/>
      <c r="F25" s="13"/>
      <c r="G25" s="13"/>
      <c r="H25" s="13"/>
      <c r="I25" s="109">
        <v>1032</v>
      </c>
      <c r="J25" s="13"/>
      <c r="K25" s="338">
        <v>997</v>
      </c>
      <c r="L25" s="13"/>
      <c r="M25" s="13"/>
      <c r="N25" s="590">
        <v>572</v>
      </c>
      <c r="O25" s="13"/>
      <c r="P25" s="13"/>
      <c r="Q25" s="13"/>
      <c r="R25" s="13"/>
      <c r="S25" s="155">
        <v>8</v>
      </c>
      <c r="T25" s="13"/>
      <c r="U25" s="13"/>
      <c r="V25" s="13"/>
      <c r="W25" s="13"/>
      <c r="X25" s="13"/>
      <c r="Y25" s="13"/>
      <c r="Z25" s="13"/>
      <c r="AA25" s="13"/>
      <c r="AB25" s="13"/>
      <c r="AD25" s="349"/>
      <c r="AE25" s="426"/>
    </row>
    <row r="26" spans="1:31" s="151" customFormat="1" x14ac:dyDescent="0.2">
      <c r="A26" s="89">
        <v>2021</v>
      </c>
      <c r="B26" s="89"/>
      <c r="C26" s="89"/>
      <c r="D26" s="89"/>
      <c r="E26" s="89"/>
      <c r="F26" s="89"/>
      <c r="G26" s="89"/>
      <c r="H26" s="89"/>
      <c r="I26" s="89"/>
      <c r="J26" s="109">
        <v>2198</v>
      </c>
      <c r="K26" s="735"/>
      <c r="L26" s="89"/>
      <c r="M26" s="89"/>
      <c r="N26" s="736"/>
      <c r="O26" s="89"/>
      <c r="P26" s="89"/>
      <c r="Q26" s="89"/>
      <c r="R26" s="155">
        <v>314</v>
      </c>
      <c r="S26" s="737"/>
      <c r="T26" s="89"/>
      <c r="U26" s="89"/>
      <c r="V26" s="89"/>
      <c r="W26" s="109">
        <v>0</v>
      </c>
      <c r="X26" s="89"/>
      <c r="Y26" s="89"/>
      <c r="Z26" s="89"/>
      <c r="AA26" s="89"/>
      <c r="AB26" s="89"/>
      <c r="AD26" s="763"/>
      <c r="AE26" s="764"/>
    </row>
    <row r="27" spans="1:31" s="151" customFormat="1" x14ac:dyDescent="0.2">
      <c r="A27" s="89">
        <v>2022</v>
      </c>
      <c r="B27" s="89"/>
      <c r="C27" s="89"/>
      <c r="D27" s="89"/>
      <c r="E27" s="89"/>
      <c r="F27" s="89"/>
      <c r="G27" s="89"/>
      <c r="H27" s="89"/>
      <c r="I27" s="89"/>
      <c r="J27" s="89"/>
      <c r="K27" s="735"/>
      <c r="L27" s="89"/>
      <c r="M27" s="89"/>
      <c r="N27" s="590">
        <v>2642</v>
      </c>
      <c r="O27" s="89"/>
      <c r="P27" s="89"/>
      <c r="Q27" s="89"/>
      <c r="R27" s="737"/>
      <c r="S27" s="737"/>
      <c r="T27" s="89"/>
      <c r="U27" s="89"/>
      <c r="V27" s="89"/>
      <c r="W27" s="89"/>
      <c r="X27" s="109">
        <v>0</v>
      </c>
      <c r="Y27" s="89"/>
      <c r="Z27" s="89"/>
      <c r="AA27" s="89">
        <f>2534/0.9 + 110</f>
        <v>2925.5555555555557</v>
      </c>
      <c r="AB27" s="89"/>
      <c r="AD27" s="763"/>
      <c r="AE27" s="764"/>
    </row>
    <row r="28" spans="1:31" s="151" customFormat="1" x14ac:dyDescent="0.2">
      <c r="A28" s="89">
        <v>2023</v>
      </c>
      <c r="B28" s="89"/>
      <c r="C28" s="89"/>
      <c r="D28" s="109">
        <v>888</v>
      </c>
      <c r="E28" s="89"/>
      <c r="F28" s="89"/>
      <c r="G28" s="89"/>
      <c r="H28" s="89"/>
      <c r="I28" s="109">
        <v>1820</v>
      </c>
      <c r="J28" s="89"/>
      <c r="K28" s="735"/>
      <c r="L28" s="89"/>
      <c r="M28" s="89"/>
      <c r="N28" s="155">
        <v>261</v>
      </c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D28" s="763"/>
      <c r="AE28" s="764"/>
    </row>
    <row r="29" spans="1:31" x14ac:dyDescent="0.2">
      <c r="A29" s="64" t="s">
        <v>17</v>
      </c>
      <c r="B29" s="85">
        <v>0.65033814659111677</v>
      </c>
      <c r="C29" s="85"/>
      <c r="D29" s="85">
        <v>0.75565090857524009</v>
      </c>
      <c r="E29" s="85">
        <v>0.78432960792013562</v>
      </c>
      <c r="F29" s="85">
        <v>0.97802284988892407</v>
      </c>
      <c r="G29" s="85">
        <v>0.801390417637877</v>
      </c>
      <c r="H29" s="85">
        <v>0.90013140604467801</v>
      </c>
      <c r="I29" s="85">
        <v>0.931769406830665</v>
      </c>
      <c r="J29" s="85">
        <v>0.91749486048740148</v>
      </c>
      <c r="K29" s="85">
        <v>0.8447239466753601</v>
      </c>
      <c r="L29" s="85">
        <v>0.7928441774574273</v>
      </c>
      <c r="M29" s="85">
        <v>0.36415927426115896</v>
      </c>
      <c r="N29" s="85">
        <v>0.42549842602308502</v>
      </c>
      <c r="O29" s="85">
        <v>8.9794161506931244E-2</v>
      </c>
      <c r="P29" s="85">
        <v>0.28076741565005398</v>
      </c>
      <c r="Q29" s="85">
        <v>8.8549905561361483E-2</v>
      </c>
      <c r="R29" s="85">
        <v>6.1808265012759531E-2</v>
      </c>
      <c r="S29" s="85">
        <v>1.0901162790697675E-2</v>
      </c>
      <c r="T29" s="85">
        <v>2.5420031652090189E-3</v>
      </c>
      <c r="U29" s="85">
        <v>1.0578652279699566E-4</v>
      </c>
      <c r="V29" s="85">
        <v>5.7870370370370367E-4</v>
      </c>
      <c r="W29" s="85">
        <v>1.0761019283746557E-5</v>
      </c>
      <c r="X29" s="85">
        <v>0</v>
      </c>
      <c r="Y29" s="85"/>
      <c r="Z29" s="85"/>
      <c r="AA29" s="13"/>
      <c r="AB29" s="13"/>
    </row>
    <row r="32" spans="1:31" ht="13.5" thickBot="1" x14ac:dyDescent="0.25">
      <c r="A32" s="93" t="s">
        <v>326</v>
      </c>
      <c r="B32" s="93"/>
      <c r="C32" s="93"/>
      <c r="D32" s="93"/>
    </row>
    <row r="33" spans="1:31" ht="13.5" thickTop="1" x14ac:dyDescent="0.2">
      <c r="A33" s="1004" t="s">
        <v>0</v>
      </c>
      <c r="B33" s="421"/>
      <c r="C33" s="421"/>
      <c r="D33" s="421"/>
      <c r="E33" s="1006" t="s">
        <v>1</v>
      </c>
      <c r="F33" s="1006"/>
      <c r="G33" s="1006"/>
      <c r="H33" s="1006"/>
      <c r="I33" s="1006"/>
      <c r="J33" s="1006"/>
      <c r="K33" s="1006"/>
      <c r="L33" s="1006"/>
      <c r="M33" s="1006"/>
      <c r="N33" s="1006"/>
      <c r="O33" s="1006"/>
      <c r="P33" s="1006"/>
      <c r="Q33" s="1006"/>
      <c r="R33" s="1006"/>
      <c r="S33" s="1006"/>
      <c r="T33" s="1006"/>
      <c r="U33" s="1006"/>
      <c r="V33" s="1006"/>
      <c r="W33" s="1006"/>
      <c r="X33" s="1006"/>
      <c r="Y33" s="1006"/>
      <c r="Z33" s="1006"/>
      <c r="AA33" s="1004" t="s">
        <v>2</v>
      </c>
      <c r="AB33" s="1010" t="s">
        <v>3</v>
      </c>
      <c r="AC33" s="1008" t="s">
        <v>4</v>
      </c>
    </row>
    <row r="34" spans="1:31" ht="25.5" x14ac:dyDescent="0.2">
      <c r="A34" s="1005"/>
      <c r="B34" s="18">
        <v>73</v>
      </c>
      <c r="C34" s="18">
        <v>74</v>
      </c>
      <c r="D34" s="18">
        <v>75</v>
      </c>
      <c r="E34" s="18">
        <v>81</v>
      </c>
      <c r="F34" s="18">
        <v>82</v>
      </c>
      <c r="G34" s="18">
        <v>83</v>
      </c>
      <c r="H34" s="18">
        <v>84</v>
      </c>
      <c r="I34" s="18">
        <v>91</v>
      </c>
      <c r="J34" s="18">
        <v>92</v>
      </c>
      <c r="K34" s="18">
        <v>93</v>
      </c>
      <c r="L34" s="18">
        <v>94</v>
      </c>
      <c r="M34" s="18">
        <v>101</v>
      </c>
      <c r="N34" s="18">
        <v>102</v>
      </c>
      <c r="O34" s="18">
        <v>103</v>
      </c>
      <c r="P34" s="18">
        <v>104</v>
      </c>
      <c r="Q34" s="18">
        <v>105</v>
      </c>
      <c r="R34" s="18">
        <v>111</v>
      </c>
      <c r="S34" s="18">
        <v>112</v>
      </c>
      <c r="T34" s="18">
        <v>113</v>
      </c>
      <c r="U34" s="18">
        <v>114</v>
      </c>
      <c r="V34" s="18">
        <v>115</v>
      </c>
      <c r="W34" s="18">
        <v>121</v>
      </c>
      <c r="X34" s="18">
        <v>122</v>
      </c>
      <c r="Y34" s="18">
        <v>123</v>
      </c>
      <c r="Z34" s="18">
        <v>124</v>
      </c>
      <c r="AA34" s="1005"/>
      <c r="AB34" s="1011"/>
      <c r="AC34" s="1009"/>
      <c r="AD34" s="225" t="s">
        <v>249</v>
      </c>
      <c r="AE34" t="s">
        <v>141</v>
      </c>
    </row>
    <row r="35" spans="1:31" x14ac:dyDescent="0.2">
      <c r="A35" s="13">
        <v>1995</v>
      </c>
      <c r="B35" s="13"/>
      <c r="C35" s="13"/>
      <c r="D35" s="13"/>
      <c r="E35" s="13"/>
      <c r="F35" s="13"/>
      <c r="G35" s="13"/>
      <c r="H35" s="428">
        <v>87</v>
      </c>
      <c r="I35" s="13"/>
      <c r="J35" s="428">
        <v>53</v>
      </c>
      <c r="K35" s="13"/>
      <c r="L35" s="428">
        <v>68</v>
      </c>
      <c r="M35" s="428">
        <v>448</v>
      </c>
      <c r="N35" s="13"/>
      <c r="O35" s="13"/>
      <c r="P35" s="13"/>
      <c r="Q35" s="428">
        <v>2533</v>
      </c>
      <c r="R35" s="13"/>
      <c r="S35" s="13"/>
      <c r="T35" s="13"/>
      <c r="U35" s="13"/>
      <c r="V35" s="13"/>
      <c r="W35" s="13"/>
      <c r="X35" s="13"/>
      <c r="Y35" s="13"/>
      <c r="Z35" s="13"/>
      <c r="AE35">
        <f>MAX(B35:Z35)</f>
        <v>2533</v>
      </c>
    </row>
    <row r="36" spans="1:31" x14ac:dyDescent="0.2">
      <c r="A36" s="13">
        <v>1996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>
        <v>300</v>
      </c>
      <c r="AD36" s="349"/>
      <c r="AE36">
        <f t="shared" ref="AE36:AE59" si="2">MAX(B36:Z36)</f>
        <v>0</v>
      </c>
    </row>
    <row r="37" spans="1:31" x14ac:dyDescent="0.2">
      <c r="A37" s="13">
        <v>1997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D37" s="349"/>
      <c r="AE37">
        <f t="shared" si="2"/>
        <v>0</v>
      </c>
    </row>
    <row r="38" spans="1:31" x14ac:dyDescent="0.2">
      <c r="A38" s="13">
        <v>1998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428">
        <v>1133</v>
      </c>
      <c r="Q38" s="13"/>
      <c r="R38" s="428">
        <v>2171</v>
      </c>
      <c r="S38" s="13"/>
      <c r="T38" s="13"/>
      <c r="U38" s="13"/>
      <c r="V38" s="89"/>
      <c r="W38" s="428">
        <v>265</v>
      </c>
      <c r="X38" s="13"/>
      <c r="Y38" s="13"/>
      <c r="Z38" s="13"/>
      <c r="AD38" s="349"/>
      <c r="AE38">
        <f t="shared" si="2"/>
        <v>2171</v>
      </c>
    </row>
    <row r="39" spans="1:31" x14ac:dyDescent="0.2">
      <c r="A39" s="13">
        <v>1999</v>
      </c>
      <c r="B39" s="13"/>
      <c r="C39" s="13"/>
      <c r="D39" s="13"/>
      <c r="E39" s="13"/>
      <c r="F39" s="13"/>
      <c r="G39" s="428">
        <v>7</v>
      </c>
      <c r="H39" s="13"/>
      <c r="I39" s="13"/>
      <c r="J39" s="428">
        <v>19</v>
      </c>
      <c r="K39" s="13"/>
      <c r="L39" s="428">
        <v>40</v>
      </c>
      <c r="M39" s="13"/>
      <c r="N39" s="428">
        <v>129</v>
      </c>
      <c r="O39" s="13"/>
      <c r="P39" s="428">
        <v>781</v>
      </c>
      <c r="Q39" s="13"/>
      <c r="R39" s="428">
        <v>1255</v>
      </c>
      <c r="S39" s="13"/>
      <c r="T39" s="13"/>
      <c r="U39" s="428">
        <v>1158</v>
      </c>
      <c r="V39" s="13"/>
      <c r="W39" s="428">
        <v>770</v>
      </c>
      <c r="X39" s="13"/>
      <c r="Y39" s="13"/>
      <c r="Z39" s="13"/>
      <c r="AA39">
        <v>1255</v>
      </c>
      <c r="AD39" s="349">
        <f t="shared" ref="AD39:AD47" si="3">AA39/MAX(D39:Z39)</f>
        <v>1</v>
      </c>
      <c r="AE39">
        <f t="shared" si="2"/>
        <v>1255</v>
      </c>
    </row>
    <row r="40" spans="1:31" x14ac:dyDescent="0.2">
      <c r="A40" s="13">
        <v>2000</v>
      </c>
      <c r="B40" s="13"/>
      <c r="D40" s="430">
        <v>0</v>
      </c>
      <c r="G40" s="430">
        <v>0</v>
      </c>
      <c r="I40" s="430">
        <v>1</v>
      </c>
      <c r="J40" s="430">
        <v>1</v>
      </c>
      <c r="M40" s="430">
        <v>8</v>
      </c>
      <c r="N40" s="13"/>
      <c r="O40" s="428">
        <v>33</v>
      </c>
      <c r="P40" s="13"/>
      <c r="Q40" s="13"/>
      <c r="R40" s="428">
        <v>1285</v>
      </c>
      <c r="S40" s="13"/>
      <c r="T40" s="13"/>
      <c r="U40" s="13"/>
      <c r="V40" s="13"/>
      <c r="W40" s="428">
        <v>1676</v>
      </c>
      <c r="X40" s="428">
        <v>663</v>
      </c>
      <c r="Y40" s="13"/>
      <c r="Z40" s="13"/>
      <c r="AA40">
        <v>2114</v>
      </c>
      <c r="AD40" s="349">
        <f t="shared" si="3"/>
        <v>1.2613365155131264</v>
      </c>
      <c r="AE40">
        <f t="shared" si="2"/>
        <v>1676</v>
      </c>
    </row>
    <row r="41" spans="1:31" x14ac:dyDescent="0.2">
      <c r="A41" s="13">
        <v>2001</v>
      </c>
      <c r="B41" s="428">
        <v>0</v>
      </c>
      <c r="C41" s="13"/>
      <c r="D41" s="428">
        <v>0</v>
      </c>
      <c r="E41" s="13"/>
      <c r="F41" s="428">
        <v>0</v>
      </c>
      <c r="G41" s="13"/>
      <c r="H41" s="13"/>
      <c r="I41" s="428">
        <v>2</v>
      </c>
      <c r="J41" s="13"/>
      <c r="K41" s="13"/>
      <c r="L41" s="13"/>
      <c r="M41" s="428">
        <v>18</v>
      </c>
      <c r="N41" s="13"/>
      <c r="O41" s="428">
        <v>194</v>
      </c>
      <c r="P41" s="13"/>
      <c r="Q41" s="13"/>
      <c r="R41" s="428">
        <v>1491</v>
      </c>
      <c r="S41" s="13"/>
      <c r="T41" s="428">
        <v>1511</v>
      </c>
      <c r="U41" s="13"/>
      <c r="V41" s="428">
        <v>1399</v>
      </c>
      <c r="W41" s="13"/>
      <c r="X41" s="428">
        <v>219</v>
      </c>
      <c r="Y41" s="13"/>
      <c r="Z41" s="13"/>
      <c r="AA41">
        <v>1693</v>
      </c>
      <c r="AD41" s="349">
        <f t="shared" si="3"/>
        <v>1.1204500330906684</v>
      </c>
      <c r="AE41">
        <f t="shared" si="2"/>
        <v>1511</v>
      </c>
    </row>
    <row r="42" spans="1:31" x14ac:dyDescent="0.2">
      <c r="A42" s="13">
        <v>2002</v>
      </c>
      <c r="B42" s="13"/>
      <c r="C42" s="13"/>
      <c r="D42" s="13"/>
      <c r="E42" s="428">
        <v>0</v>
      </c>
      <c r="F42" s="13"/>
      <c r="G42" s="428">
        <v>0</v>
      </c>
      <c r="H42" s="13"/>
      <c r="I42" s="13"/>
      <c r="J42" s="13"/>
      <c r="K42" s="13"/>
      <c r="L42" s="13"/>
      <c r="M42" s="428">
        <v>38</v>
      </c>
      <c r="N42" s="13"/>
      <c r="O42" s="13"/>
      <c r="P42" s="428">
        <v>267</v>
      </c>
      <c r="Q42" s="13"/>
      <c r="R42" s="13"/>
      <c r="S42" s="13"/>
      <c r="T42" s="13"/>
      <c r="U42" s="428">
        <v>2109</v>
      </c>
      <c r="V42" s="13"/>
      <c r="W42" s="13"/>
      <c r="X42" s="13"/>
      <c r="Y42" s="13"/>
      <c r="Z42" s="13"/>
      <c r="AA42">
        <v>2724</v>
      </c>
      <c r="AD42" s="349">
        <f t="shared" si="3"/>
        <v>1.2916073968705548</v>
      </c>
      <c r="AE42">
        <f t="shared" si="2"/>
        <v>2109</v>
      </c>
    </row>
    <row r="43" spans="1:31" x14ac:dyDescent="0.2">
      <c r="A43" s="13">
        <v>2003</v>
      </c>
      <c r="B43" s="13"/>
      <c r="C43" s="13"/>
      <c r="D43" s="13"/>
      <c r="E43" s="13"/>
      <c r="F43" s="13"/>
      <c r="G43" s="13"/>
      <c r="H43" s="428">
        <v>0</v>
      </c>
      <c r="I43" s="13"/>
      <c r="J43" s="428">
        <v>0</v>
      </c>
      <c r="K43" s="13"/>
      <c r="L43" s="428">
        <v>7</v>
      </c>
      <c r="M43" s="13"/>
      <c r="N43" s="13"/>
      <c r="O43" s="13"/>
      <c r="P43" s="13"/>
      <c r="Q43" s="428">
        <v>1836</v>
      </c>
      <c r="R43" s="13"/>
      <c r="S43" s="13"/>
      <c r="T43" s="13"/>
      <c r="U43" s="13"/>
      <c r="V43" s="13"/>
      <c r="W43" s="13"/>
      <c r="X43" s="13"/>
      <c r="Y43" s="13"/>
      <c r="Z43" s="13"/>
      <c r="AA43">
        <v>1873</v>
      </c>
      <c r="AD43" s="349">
        <f t="shared" si="3"/>
        <v>1.0201525054466232</v>
      </c>
      <c r="AE43">
        <f t="shared" si="2"/>
        <v>1836</v>
      </c>
    </row>
    <row r="44" spans="1:31" x14ac:dyDescent="0.2">
      <c r="A44" s="13">
        <v>2004</v>
      </c>
      <c r="B44" s="13"/>
      <c r="C44" s="13"/>
      <c r="D44" s="13"/>
      <c r="E44" s="13"/>
      <c r="F44" s="428">
        <v>0</v>
      </c>
      <c r="G44" s="13"/>
      <c r="H44" s="13"/>
      <c r="I44" s="428">
        <v>0</v>
      </c>
      <c r="J44" s="13"/>
      <c r="K44" s="89"/>
      <c r="L44" s="428">
        <v>47</v>
      </c>
      <c r="M44" s="13"/>
      <c r="N44" s="13"/>
      <c r="O44" s="13"/>
      <c r="P44" s="13"/>
      <c r="Q44" s="428">
        <v>894</v>
      </c>
      <c r="R44" s="13"/>
      <c r="S44" s="13"/>
      <c r="T44" s="13"/>
      <c r="U44" s="428">
        <v>1599</v>
      </c>
      <c r="V44" s="13"/>
      <c r="W44" s="13"/>
      <c r="X44" s="13"/>
      <c r="Y44" s="13"/>
      <c r="Z44" s="13"/>
      <c r="AA44">
        <v>1801</v>
      </c>
      <c r="AD44" s="349">
        <f t="shared" si="3"/>
        <v>1.1263289555972482</v>
      </c>
      <c r="AE44">
        <f t="shared" si="2"/>
        <v>1599</v>
      </c>
    </row>
    <row r="45" spans="1:31" x14ac:dyDescent="0.2">
      <c r="A45" s="13">
        <v>2005</v>
      </c>
      <c r="B45" s="13"/>
      <c r="C45" s="13"/>
      <c r="D45" s="13"/>
      <c r="E45" s="13"/>
      <c r="F45" s="13"/>
      <c r="G45" s="13"/>
      <c r="H45" s="428">
        <v>0</v>
      </c>
      <c r="I45" s="13"/>
      <c r="J45" s="428">
        <v>0</v>
      </c>
      <c r="K45" s="428">
        <v>0</v>
      </c>
      <c r="L45" s="13"/>
      <c r="M45" s="13"/>
      <c r="N45" s="13"/>
      <c r="O45" s="13"/>
      <c r="P45" s="13"/>
      <c r="Q45" s="13"/>
      <c r="R45" s="13"/>
      <c r="S45" s="13"/>
      <c r="T45" s="428">
        <v>1932</v>
      </c>
      <c r="U45" s="13"/>
      <c r="V45" s="13"/>
      <c r="W45" s="13"/>
      <c r="X45" s="13"/>
      <c r="Y45" s="13"/>
      <c r="Z45" s="13"/>
      <c r="AA45">
        <v>2040</v>
      </c>
      <c r="AD45" s="349">
        <f t="shared" si="3"/>
        <v>1.0559006211180124</v>
      </c>
      <c r="AE45">
        <f t="shared" si="2"/>
        <v>1932</v>
      </c>
    </row>
    <row r="46" spans="1:31" x14ac:dyDescent="0.2">
      <c r="A46" s="13">
        <v>2006</v>
      </c>
      <c r="B46" s="13"/>
      <c r="C46" s="13"/>
      <c r="D46" s="13"/>
      <c r="E46" s="13"/>
      <c r="F46" s="13"/>
      <c r="G46" s="428">
        <v>0</v>
      </c>
      <c r="H46" s="13"/>
      <c r="I46" s="428">
        <v>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28">
        <v>269</v>
      </c>
      <c r="W46" s="13"/>
      <c r="X46" s="13"/>
      <c r="Y46" s="13"/>
      <c r="Z46" s="13"/>
      <c r="AA46">
        <v>274</v>
      </c>
      <c r="AD46" s="349">
        <f t="shared" si="3"/>
        <v>1.0185873605947955</v>
      </c>
      <c r="AE46">
        <f t="shared" si="2"/>
        <v>269</v>
      </c>
    </row>
    <row r="47" spans="1:31" x14ac:dyDescent="0.2">
      <c r="A47" s="13">
        <v>2007</v>
      </c>
      <c r="B47" s="13"/>
      <c r="C47" s="13"/>
      <c r="D47" s="428">
        <v>0</v>
      </c>
      <c r="E47" s="13"/>
      <c r="F47" s="13"/>
      <c r="G47" s="428">
        <v>0</v>
      </c>
      <c r="H47" s="13"/>
      <c r="I47" s="429">
        <v>1</v>
      </c>
      <c r="J47" s="13"/>
      <c r="K47" s="13"/>
      <c r="L47" s="13"/>
      <c r="M47" s="13"/>
      <c r="N47" s="13"/>
      <c r="O47" s="13"/>
      <c r="P47" s="13"/>
      <c r="Q47" s="428">
        <v>619</v>
      </c>
      <c r="R47" s="429">
        <v>923</v>
      </c>
      <c r="S47" s="13"/>
      <c r="T47" s="428">
        <v>926</v>
      </c>
      <c r="U47" s="13"/>
      <c r="V47" s="13"/>
      <c r="W47" s="13"/>
      <c r="X47" s="13"/>
      <c r="Y47" s="13"/>
      <c r="Z47" s="13"/>
      <c r="AA47">
        <v>1185</v>
      </c>
      <c r="AB47" t="s">
        <v>5</v>
      </c>
      <c r="AC47">
        <v>45</v>
      </c>
      <c r="AD47" s="349">
        <f t="shared" si="3"/>
        <v>1.2796976241900648</v>
      </c>
      <c r="AE47">
        <f t="shared" si="2"/>
        <v>926</v>
      </c>
    </row>
    <row r="48" spans="1:31" x14ac:dyDescent="0.2">
      <c r="A48" s="13">
        <v>2008</v>
      </c>
      <c r="B48" s="13"/>
      <c r="C48" s="13"/>
      <c r="D48" s="13"/>
      <c r="E48" s="109">
        <v>0</v>
      </c>
      <c r="F48" s="13"/>
      <c r="G48" s="109">
        <v>0</v>
      </c>
      <c r="H48" s="13"/>
      <c r="I48" s="109">
        <v>4</v>
      </c>
      <c r="J48" s="13"/>
      <c r="K48" s="109">
        <v>46</v>
      </c>
      <c r="L48" s="13"/>
      <c r="M48" s="13"/>
      <c r="N48" s="13"/>
      <c r="O48" s="437">
        <v>1074</v>
      </c>
      <c r="P48" s="13"/>
      <c r="Q48" s="13"/>
      <c r="R48" s="109">
        <v>1437</v>
      </c>
      <c r="S48" s="13"/>
      <c r="T48" s="13"/>
      <c r="U48" s="13"/>
      <c r="V48" s="13"/>
      <c r="W48" s="13"/>
      <c r="X48" s="13"/>
      <c r="Y48" s="13"/>
      <c r="Z48" s="13"/>
      <c r="AA48">
        <v>2033</v>
      </c>
      <c r="AB48" t="s">
        <v>5</v>
      </c>
      <c r="AC48">
        <v>37.5</v>
      </c>
      <c r="AD48" s="349">
        <f t="shared" ref="AD48:AD56" si="4">AA48/MAX(D48:Z48)</f>
        <v>1.4147529575504523</v>
      </c>
      <c r="AE48">
        <f t="shared" si="2"/>
        <v>1437</v>
      </c>
    </row>
    <row r="49" spans="1:31" x14ac:dyDescent="0.2">
      <c r="A49" s="13">
        <v>2009</v>
      </c>
      <c r="B49" s="13"/>
      <c r="C49" s="13"/>
      <c r="D49" s="13"/>
      <c r="E49" s="109">
        <v>0</v>
      </c>
      <c r="F49" s="13"/>
      <c r="G49" s="109">
        <v>0</v>
      </c>
      <c r="H49" s="13"/>
      <c r="I49" s="109">
        <v>2</v>
      </c>
      <c r="J49" s="13"/>
      <c r="K49" s="13"/>
      <c r="L49" s="437">
        <v>778</v>
      </c>
      <c r="M49" s="13"/>
      <c r="N49" s="13"/>
      <c r="O49" s="13"/>
      <c r="P49" s="437">
        <v>617</v>
      </c>
      <c r="Q49" s="13"/>
      <c r="R49" s="437">
        <v>766</v>
      </c>
      <c r="S49" s="13"/>
      <c r="T49" s="13"/>
      <c r="U49" s="13"/>
      <c r="V49" s="13"/>
      <c r="W49" s="321">
        <v>1404</v>
      </c>
      <c r="X49" s="13"/>
      <c r="Y49" s="13"/>
      <c r="Z49" s="13"/>
      <c r="AA49">
        <v>2015</v>
      </c>
      <c r="AB49" t="s">
        <v>5</v>
      </c>
      <c r="AC49">
        <v>50</v>
      </c>
      <c r="AD49" s="349">
        <f t="shared" si="4"/>
        <v>1.4351851851851851</v>
      </c>
      <c r="AE49">
        <f t="shared" si="2"/>
        <v>1404</v>
      </c>
    </row>
    <row r="50" spans="1:31" x14ac:dyDescent="0.2">
      <c r="A50" s="13">
        <v>2010</v>
      </c>
      <c r="B50" s="13"/>
      <c r="C50" s="13"/>
      <c r="D50" s="13"/>
      <c r="E50" s="428">
        <v>0</v>
      </c>
      <c r="F50" s="13"/>
      <c r="G50" s="428">
        <v>1</v>
      </c>
      <c r="H50" s="13"/>
      <c r="I50" s="13"/>
      <c r="J50" s="429">
        <v>0</v>
      </c>
      <c r="K50" s="13"/>
      <c r="L50" s="429">
        <v>2</v>
      </c>
      <c r="M50" s="13"/>
      <c r="N50" s="13"/>
      <c r="O50" s="13"/>
      <c r="P50" s="429">
        <v>766</v>
      </c>
      <c r="Q50" s="13"/>
      <c r="R50" s="13"/>
      <c r="S50" s="428">
        <v>1626</v>
      </c>
      <c r="T50" s="13"/>
      <c r="U50" s="13"/>
      <c r="V50" s="13"/>
      <c r="W50" s="13"/>
      <c r="X50" s="13"/>
      <c r="Y50" s="13"/>
      <c r="Z50" s="13"/>
      <c r="AA50">
        <v>2245</v>
      </c>
      <c r="AB50" t="s">
        <v>5</v>
      </c>
      <c r="AC50">
        <v>40</v>
      </c>
      <c r="AD50" s="349">
        <f t="shared" si="4"/>
        <v>1.3806888068880689</v>
      </c>
      <c r="AE50">
        <f t="shared" si="2"/>
        <v>1626</v>
      </c>
    </row>
    <row r="51" spans="1:31" x14ac:dyDescent="0.2">
      <c r="A51" s="13">
        <v>2011</v>
      </c>
      <c r="B51" s="13"/>
      <c r="C51" s="13"/>
      <c r="D51" s="13"/>
      <c r="E51" s="13"/>
      <c r="F51" s="13"/>
      <c r="G51" s="13"/>
      <c r="H51" s="13"/>
      <c r="I51" s="428">
        <v>0</v>
      </c>
      <c r="J51" s="428">
        <v>3</v>
      </c>
      <c r="K51" s="428">
        <v>3</v>
      </c>
      <c r="L51" s="13"/>
      <c r="M51" s="13"/>
      <c r="N51" s="13"/>
      <c r="O51" s="13"/>
      <c r="P51" s="13"/>
      <c r="Q51" s="428">
        <v>1513</v>
      </c>
      <c r="R51" s="13"/>
      <c r="S51" s="13"/>
      <c r="T51" s="13"/>
      <c r="U51" s="13"/>
      <c r="V51" s="13"/>
      <c r="W51" s="13"/>
      <c r="X51" s="13"/>
      <c r="Y51" s="13"/>
      <c r="Z51" s="13"/>
      <c r="AA51">
        <v>1672</v>
      </c>
      <c r="AD51" s="349">
        <f t="shared" si="4"/>
        <v>1.1050892267019168</v>
      </c>
      <c r="AE51">
        <f t="shared" si="2"/>
        <v>1513</v>
      </c>
    </row>
    <row r="52" spans="1:31" x14ac:dyDescent="0.2">
      <c r="A52" s="13">
        <v>2012</v>
      </c>
      <c r="B52" s="13"/>
      <c r="C52" s="13"/>
      <c r="D52" s="13"/>
      <c r="E52" s="13"/>
      <c r="F52" s="13"/>
      <c r="G52" s="13"/>
      <c r="H52" s="13"/>
      <c r="I52" s="13"/>
      <c r="J52" s="124">
        <v>0</v>
      </c>
      <c r="K52" s="13"/>
      <c r="L52" s="13"/>
      <c r="M52" s="13"/>
      <c r="N52" s="13"/>
      <c r="O52" s="13"/>
      <c r="P52" s="13"/>
      <c r="Q52" s="13"/>
      <c r="R52" s="124">
        <v>1790</v>
      </c>
      <c r="S52" s="13"/>
      <c r="T52" s="13"/>
      <c r="U52" s="13"/>
      <c r="V52" s="13"/>
      <c r="W52" s="13"/>
      <c r="X52" s="13"/>
      <c r="Y52" s="13"/>
      <c r="Z52" s="13"/>
      <c r="AA52">
        <v>1981</v>
      </c>
      <c r="AD52" s="349">
        <f t="shared" si="4"/>
        <v>1.1067039106145251</v>
      </c>
      <c r="AE52">
        <f t="shared" si="2"/>
        <v>1790</v>
      </c>
    </row>
    <row r="53" spans="1:31" x14ac:dyDescent="0.2">
      <c r="A53" s="13">
        <v>2013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24">
        <v>1126</v>
      </c>
      <c r="R53" s="13"/>
      <c r="S53" s="13"/>
      <c r="T53" s="13"/>
      <c r="U53" s="13"/>
      <c r="V53" s="13"/>
      <c r="W53" s="13"/>
      <c r="X53" s="13"/>
      <c r="Y53" s="13"/>
      <c r="Z53" s="13"/>
      <c r="AA53">
        <v>1126</v>
      </c>
      <c r="AD53" s="349">
        <f t="shared" si="4"/>
        <v>1</v>
      </c>
      <c r="AE53">
        <f t="shared" si="2"/>
        <v>1126</v>
      </c>
    </row>
    <row r="54" spans="1:31" x14ac:dyDescent="0.2">
      <c r="A54" s="13">
        <v>2014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24">
        <v>212</v>
      </c>
      <c r="O54" s="13"/>
      <c r="P54" s="13"/>
      <c r="Q54" s="13"/>
      <c r="R54" s="13"/>
      <c r="S54" s="13"/>
      <c r="T54" s="13"/>
      <c r="U54" s="13"/>
      <c r="V54" s="124">
        <v>580</v>
      </c>
      <c r="W54" s="13"/>
      <c r="X54" s="13"/>
      <c r="Y54" s="13"/>
      <c r="Z54" s="13"/>
      <c r="AA54">
        <v>724</v>
      </c>
      <c r="AD54" s="349">
        <f t="shared" si="4"/>
        <v>1.2482758620689656</v>
      </c>
      <c r="AE54">
        <f t="shared" si="2"/>
        <v>580</v>
      </c>
    </row>
    <row r="55" spans="1:31" x14ac:dyDescent="0.2">
      <c r="A55" s="13">
        <v>2015</v>
      </c>
      <c r="B55" s="13"/>
      <c r="C55" s="13"/>
      <c r="D55" s="13"/>
      <c r="E55" s="13"/>
      <c r="F55" s="13"/>
      <c r="G55" s="13"/>
      <c r="H55" s="13"/>
      <c r="I55" s="13"/>
      <c r="J55" s="124">
        <v>9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24">
        <v>144</v>
      </c>
      <c r="V55" s="13"/>
      <c r="W55" s="13"/>
      <c r="X55" s="13"/>
      <c r="Y55" s="13"/>
      <c r="Z55" s="13"/>
      <c r="AA55">
        <v>148</v>
      </c>
      <c r="AD55" s="349">
        <f t="shared" si="4"/>
        <v>1.0277777777777777</v>
      </c>
      <c r="AE55">
        <f t="shared" si="2"/>
        <v>144</v>
      </c>
    </row>
    <row r="56" spans="1:31" x14ac:dyDescent="0.2">
      <c r="A56" s="13">
        <v>2016</v>
      </c>
      <c r="B56" s="13"/>
      <c r="C56" s="13"/>
      <c r="D56" s="13"/>
      <c r="E56" s="13"/>
      <c r="F56" s="13"/>
      <c r="G56" s="124">
        <v>0</v>
      </c>
      <c r="H56" s="13"/>
      <c r="I56" s="13"/>
      <c r="J56" s="124">
        <v>0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24">
        <v>626</v>
      </c>
      <c r="W56" s="13"/>
      <c r="X56" s="124">
        <v>511</v>
      </c>
      <c r="Y56" s="13"/>
      <c r="Z56" s="13"/>
      <c r="AA56">
        <v>750</v>
      </c>
      <c r="AD56" s="349">
        <f t="shared" si="4"/>
        <v>1.1980830670926517</v>
      </c>
      <c r="AE56">
        <f t="shared" si="2"/>
        <v>626</v>
      </c>
    </row>
    <row r="57" spans="1:31" x14ac:dyDescent="0.2">
      <c r="A57" s="13">
        <v>2017</v>
      </c>
      <c r="B57" s="13"/>
      <c r="C57" s="13"/>
      <c r="D57" s="13"/>
      <c r="E57" s="13"/>
      <c r="F57" s="13"/>
      <c r="G57" s="13"/>
      <c r="H57" s="124">
        <v>0</v>
      </c>
      <c r="I57" s="13"/>
      <c r="J57" s="13"/>
      <c r="K57" s="13"/>
      <c r="L57" s="109">
        <v>11</v>
      </c>
      <c r="M57" s="13"/>
      <c r="N57" s="13"/>
      <c r="O57" s="13"/>
      <c r="P57" s="13"/>
      <c r="Q57" s="13"/>
      <c r="R57" s="109">
        <v>765</v>
      </c>
      <c r="S57" s="13"/>
      <c r="T57" s="13"/>
      <c r="U57" s="13"/>
      <c r="V57" s="13"/>
      <c r="W57" s="13"/>
      <c r="X57" s="13"/>
      <c r="Y57" s="13"/>
      <c r="Z57" s="13"/>
      <c r="AA57" s="13"/>
      <c r="AD57" s="349"/>
      <c r="AE57">
        <f t="shared" si="2"/>
        <v>765</v>
      </c>
    </row>
    <row r="58" spans="1:31" x14ac:dyDescent="0.2">
      <c r="A58" s="13">
        <v>2018</v>
      </c>
      <c r="B58" s="13"/>
      <c r="C58" s="13"/>
      <c r="D58" s="13"/>
      <c r="E58" s="13"/>
      <c r="F58" s="13"/>
      <c r="G58" s="13"/>
      <c r="H58" s="13"/>
      <c r="I58" s="124">
        <v>0</v>
      </c>
      <c r="J58" s="13"/>
      <c r="K58" s="109">
        <v>81</v>
      </c>
      <c r="L58" s="13"/>
      <c r="M58" s="13"/>
      <c r="N58" s="13"/>
      <c r="O58" s="13"/>
      <c r="P58" s="13"/>
      <c r="Q58" s="13"/>
      <c r="R58" s="13"/>
      <c r="S58" s="109">
        <v>501</v>
      </c>
      <c r="T58" s="13"/>
      <c r="U58" s="13"/>
      <c r="V58" s="13"/>
      <c r="W58" s="13"/>
      <c r="X58" s="13"/>
      <c r="Y58" s="13"/>
      <c r="Z58" s="13"/>
      <c r="AA58" s="13">
        <v>572</v>
      </c>
      <c r="AD58" s="349">
        <f>AA58/MAX(D58:Z58)</f>
        <v>1.1417165668662674</v>
      </c>
      <c r="AE58">
        <f t="shared" si="2"/>
        <v>501</v>
      </c>
    </row>
    <row r="59" spans="1:31" x14ac:dyDescent="0.2">
      <c r="A59" s="13">
        <v>2019</v>
      </c>
      <c r="B59" s="13"/>
      <c r="C59" s="13"/>
      <c r="D59" s="13"/>
      <c r="E59" s="13"/>
      <c r="F59" s="13"/>
      <c r="G59" s="13"/>
      <c r="H59" s="13"/>
      <c r="I59" s="13"/>
      <c r="J59" s="109">
        <v>4</v>
      </c>
      <c r="K59" s="109">
        <v>139</v>
      </c>
      <c r="L59" s="13"/>
      <c r="M59" s="13"/>
      <c r="N59" s="13"/>
      <c r="O59" s="13"/>
      <c r="P59" s="13"/>
      <c r="Q59" s="13"/>
      <c r="R59" s="13"/>
      <c r="S59" s="590">
        <v>782</v>
      </c>
      <c r="T59" s="13"/>
      <c r="U59" s="13"/>
      <c r="V59" s="13"/>
      <c r="W59" s="13"/>
      <c r="X59" s="13"/>
      <c r="Y59" s="13"/>
      <c r="Z59" s="13"/>
      <c r="AA59" s="13"/>
      <c r="AD59" s="349"/>
      <c r="AE59">
        <f t="shared" si="2"/>
        <v>782</v>
      </c>
    </row>
    <row r="60" spans="1:31" x14ac:dyDescent="0.2">
      <c r="A60" s="13">
        <v>2020</v>
      </c>
      <c r="B60" s="13"/>
      <c r="C60" s="13"/>
      <c r="D60" s="13"/>
      <c r="E60" s="13"/>
      <c r="F60" s="13"/>
      <c r="G60" s="13"/>
      <c r="H60" s="13"/>
      <c r="I60" s="109">
        <v>2</v>
      </c>
      <c r="J60" s="13"/>
      <c r="K60" s="109">
        <v>5</v>
      </c>
      <c r="L60" s="13"/>
      <c r="M60" s="13"/>
      <c r="N60" s="109">
        <v>522</v>
      </c>
      <c r="O60" s="13"/>
      <c r="P60" s="13"/>
      <c r="Q60" s="13"/>
      <c r="R60" s="13"/>
      <c r="S60" s="338">
        <v>931</v>
      </c>
      <c r="T60" s="13"/>
      <c r="U60" s="13"/>
      <c r="V60" s="13"/>
      <c r="W60" s="13"/>
      <c r="X60" s="13"/>
      <c r="Y60" s="13"/>
      <c r="Z60" s="13"/>
      <c r="AA60" s="13"/>
      <c r="AD60" s="349"/>
    </row>
    <row r="61" spans="1:31" s="151" customFormat="1" x14ac:dyDescent="0.2">
      <c r="A61" s="89">
        <v>2021</v>
      </c>
      <c r="B61" s="89"/>
      <c r="C61" s="89"/>
      <c r="D61" s="89"/>
      <c r="E61" s="89"/>
      <c r="F61" s="89"/>
      <c r="G61" s="89"/>
      <c r="H61" s="89"/>
      <c r="I61" s="89"/>
      <c r="J61" s="109">
        <v>2</v>
      </c>
      <c r="K61" s="89"/>
      <c r="L61" s="89"/>
      <c r="M61" s="89"/>
      <c r="N61" s="89"/>
      <c r="O61" s="89"/>
      <c r="P61" s="89"/>
      <c r="Q61" s="89"/>
      <c r="R61" s="109">
        <v>1204</v>
      </c>
      <c r="S61" s="735"/>
      <c r="T61" s="89"/>
      <c r="U61" s="89"/>
      <c r="V61" s="89"/>
      <c r="W61" s="338">
        <v>438</v>
      </c>
      <c r="X61" s="89"/>
      <c r="Y61" s="89"/>
      <c r="Z61" s="89"/>
      <c r="AA61" s="89"/>
      <c r="AD61" s="763"/>
    </row>
    <row r="62" spans="1:31" s="151" customFormat="1" x14ac:dyDescent="0.2">
      <c r="A62" s="89">
        <v>2022</v>
      </c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109">
        <v>36</v>
      </c>
      <c r="O62" s="89"/>
      <c r="P62" s="89"/>
      <c r="Q62" s="89"/>
      <c r="R62" s="89"/>
      <c r="S62" s="735"/>
      <c r="T62" s="89"/>
      <c r="U62" s="89"/>
      <c r="V62" s="89"/>
      <c r="W62" s="735"/>
      <c r="X62" s="109">
        <v>359</v>
      </c>
      <c r="Y62" s="89"/>
      <c r="Z62" s="89"/>
      <c r="AA62" s="89">
        <f>359/0.9+19</f>
        <v>417.88888888888886</v>
      </c>
      <c r="AD62" s="763"/>
    </row>
    <row r="63" spans="1:31" s="151" customFormat="1" x14ac:dyDescent="0.2">
      <c r="A63" s="89">
        <v>2023</v>
      </c>
      <c r="B63" s="89"/>
      <c r="C63" s="89"/>
      <c r="D63" s="109">
        <v>0</v>
      </c>
      <c r="E63" s="89"/>
      <c r="F63" s="89"/>
      <c r="G63" s="89"/>
      <c r="H63" s="89"/>
      <c r="I63" s="109">
        <v>0</v>
      </c>
      <c r="J63" s="89"/>
      <c r="K63" s="89"/>
      <c r="L63" s="89"/>
      <c r="M63" s="89"/>
      <c r="N63" s="590">
        <v>122</v>
      </c>
      <c r="O63" s="89"/>
      <c r="P63" s="89"/>
      <c r="Q63" s="155">
        <v>1214</v>
      </c>
      <c r="R63" s="89"/>
      <c r="S63" s="89"/>
      <c r="T63" s="89"/>
      <c r="U63" s="89"/>
      <c r="V63" s="89"/>
      <c r="W63" s="89"/>
      <c r="X63" s="89"/>
      <c r="Y63" s="89"/>
      <c r="Z63" s="89"/>
      <c r="AA63" s="89"/>
      <c r="AD63" s="763"/>
    </row>
    <row r="64" spans="1:31" x14ac:dyDescent="0.2">
      <c r="A64" s="64" t="s">
        <v>17</v>
      </c>
      <c r="B64" s="85">
        <v>0</v>
      </c>
      <c r="C64" s="85"/>
      <c r="D64" s="85">
        <v>0</v>
      </c>
      <c r="E64" s="85">
        <v>0</v>
      </c>
      <c r="F64" s="85">
        <v>0</v>
      </c>
      <c r="G64" s="85">
        <v>6.8807726589882113E-4</v>
      </c>
      <c r="H64" s="85">
        <v>1.1448874851954205E-2</v>
      </c>
      <c r="I64" s="85">
        <v>9.0103467202523851E-4</v>
      </c>
      <c r="J64" s="85">
        <v>1.0114272230435855E-2</v>
      </c>
      <c r="K64" s="85">
        <v>1.1331316635244872E-2</v>
      </c>
      <c r="L64" s="85">
        <v>0.10788087016626531</v>
      </c>
      <c r="M64" s="85">
        <v>5.2892326341597212E-2</v>
      </c>
      <c r="N64" s="85">
        <v>0.23415304300041215</v>
      </c>
      <c r="O64" s="85">
        <v>0.29849064254803459</v>
      </c>
      <c r="P64" s="85">
        <v>0.43626875203188709</v>
      </c>
      <c r="Q64" s="85">
        <v>0.87126099330440054</v>
      </c>
      <c r="R64" s="85">
        <v>0.91197681016309895</v>
      </c>
      <c r="S64" s="85">
        <v>1</v>
      </c>
      <c r="T64" s="85">
        <v>1</v>
      </c>
      <c r="U64" s="85">
        <v>0.98067729083665345</v>
      </c>
      <c r="V64" s="85">
        <v>0.9814692256783587</v>
      </c>
      <c r="W64" s="85">
        <v>0.68390234547760131</v>
      </c>
      <c r="X64" s="85">
        <v>0.4806155287212201</v>
      </c>
      <c r="Y64" s="85"/>
      <c r="Z64" s="85"/>
    </row>
    <row r="66" spans="1:31" x14ac:dyDescent="0.2">
      <c r="A66" s="431" t="s">
        <v>327</v>
      </c>
      <c r="B66" s="430"/>
      <c r="C66" s="430"/>
      <c r="D66" s="430"/>
    </row>
    <row r="67" spans="1:31" x14ac:dyDescent="0.2">
      <c r="A67" s="441" t="s">
        <v>369</v>
      </c>
    </row>
    <row r="69" spans="1:31" ht="13.5" thickBot="1" x14ac:dyDescent="0.25">
      <c r="A69" s="93" t="s">
        <v>349</v>
      </c>
      <c r="B69" s="93"/>
      <c r="C69" s="93"/>
      <c r="D69" s="93"/>
    </row>
    <row r="70" spans="1:31" ht="13.5" customHeight="1" thickTop="1" x14ac:dyDescent="0.2">
      <c r="A70" s="1004" t="s">
        <v>0</v>
      </c>
      <c r="B70" s="435"/>
      <c r="C70" s="435"/>
      <c r="D70" s="435"/>
      <c r="E70" s="1006" t="s">
        <v>1</v>
      </c>
      <c r="F70" s="1006"/>
      <c r="G70" s="1006"/>
      <c r="H70" s="1006"/>
      <c r="I70" s="1006"/>
      <c r="J70" s="1006"/>
      <c r="K70" s="1006"/>
      <c r="L70" s="1006"/>
      <c r="M70" s="1006"/>
      <c r="N70" s="1006"/>
      <c r="O70" s="1006"/>
      <c r="P70" s="1006"/>
      <c r="Q70" s="1006"/>
      <c r="R70" s="1006"/>
      <c r="S70" s="1006"/>
      <c r="T70" s="1006"/>
      <c r="U70" s="1006"/>
      <c r="V70" s="1006"/>
      <c r="W70" s="1006"/>
      <c r="X70" s="1006"/>
      <c r="Y70" s="1006"/>
      <c r="Z70" s="1006"/>
      <c r="AA70" s="1004" t="s">
        <v>2</v>
      </c>
      <c r="AB70" s="1010" t="s">
        <v>3</v>
      </c>
      <c r="AC70" s="1008" t="s">
        <v>4</v>
      </c>
    </row>
    <row r="71" spans="1:31" ht="25.5" x14ac:dyDescent="0.2">
      <c r="A71" s="1005"/>
      <c r="B71" s="18">
        <v>73</v>
      </c>
      <c r="C71" s="18">
        <v>74</v>
      </c>
      <c r="D71" s="18">
        <v>75</v>
      </c>
      <c r="E71" s="18">
        <v>81</v>
      </c>
      <c r="F71" s="18">
        <v>82</v>
      </c>
      <c r="G71" s="18">
        <v>83</v>
      </c>
      <c r="H71" s="18">
        <v>84</v>
      </c>
      <c r="I71" s="18">
        <v>91</v>
      </c>
      <c r="J71" s="18">
        <v>92</v>
      </c>
      <c r="K71" s="18">
        <v>93</v>
      </c>
      <c r="L71" s="18">
        <v>94</v>
      </c>
      <c r="M71" s="18">
        <v>101</v>
      </c>
      <c r="N71" s="18">
        <v>102</v>
      </c>
      <c r="O71" s="18">
        <v>103</v>
      </c>
      <c r="P71" s="18">
        <v>104</v>
      </c>
      <c r="Q71" s="18">
        <v>105</v>
      </c>
      <c r="R71" s="18">
        <v>111</v>
      </c>
      <c r="S71" s="18">
        <v>112</v>
      </c>
      <c r="T71" s="18">
        <v>113</v>
      </c>
      <c r="U71" s="18">
        <v>114</v>
      </c>
      <c r="V71" s="18">
        <v>115</v>
      </c>
      <c r="W71" s="18">
        <v>121</v>
      </c>
      <c r="X71" s="18">
        <v>122</v>
      </c>
      <c r="Y71" s="18">
        <v>123</v>
      </c>
      <c r="Z71" s="18">
        <v>124</v>
      </c>
      <c r="AA71" s="1005"/>
      <c r="AB71" s="1011"/>
      <c r="AC71" s="1009"/>
      <c r="AD71" s="225" t="s">
        <v>249</v>
      </c>
      <c r="AE71" t="s">
        <v>141</v>
      </c>
    </row>
    <row r="72" spans="1:31" x14ac:dyDescent="0.2">
      <c r="A72" s="13">
        <v>1995</v>
      </c>
      <c r="B72" s="13"/>
      <c r="C72" s="13"/>
      <c r="D72" s="13"/>
      <c r="E72" s="13"/>
      <c r="F72" s="13"/>
      <c r="G72" s="13"/>
      <c r="H72" s="428">
        <v>3</v>
      </c>
      <c r="I72" s="13"/>
      <c r="J72" s="428">
        <v>3</v>
      </c>
      <c r="K72" s="13"/>
      <c r="L72" s="428">
        <v>8</v>
      </c>
      <c r="M72" s="428">
        <v>30</v>
      </c>
      <c r="N72" s="13"/>
      <c r="O72" s="13"/>
      <c r="P72" s="13"/>
      <c r="Q72" s="428">
        <v>19</v>
      </c>
      <c r="R72" s="13"/>
      <c r="S72" s="13"/>
      <c r="T72" s="13"/>
      <c r="U72" s="13"/>
      <c r="V72" s="13"/>
      <c r="W72" s="13"/>
      <c r="X72" s="13"/>
      <c r="Y72" s="13"/>
      <c r="Z72" s="13"/>
      <c r="AA72" s="434"/>
      <c r="AE72">
        <f>MAX(B72:Z72)</f>
        <v>30</v>
      </c>
    </row>
    <row r="73" spans="1:31" x14ac:dyDescent="0.2">
      <c r="A73" s="13">
        <v>1996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434">
        <v>42</v>
      </c>
      <c r="AD73" s="349"/>
      <c r="AE73">
        <f t="shared" ref="AE73:AE96" si="5">MAX(B73:Z73)</f>
        <v>0</v>
      </c>
    </row>
    <row r="74" spans="1:31" x14ac:dyDescent="0.2">
      <c r="A74" s="13">
        <v>1997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434"/>
      <c r="AD74" s="349"/>
      <c r="AE74">
        <f t="shared" si="5"/>
        <v>0</v>
      </c>
    </row>
    <row r="75" spans="1:31" x14ac:dyDescent="0.2">
      <c r="A75" s="13">
        <v>1998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428">
        <v>36</v>
      </c>
      <c r="Q75" s="13"/>
      <c r="R75" s="428">
        <v>17</v>
      </c>
      <c r="S75" s="13"/>
      <c r="T75" s="13"/>
      <c r="U75" s="13"/>
      <c r="V75" s="89"/>
      <c r="W75" s="428">
        <v>0</v>
      </c>
      <c r="X75" s="13"/>
      <c r="Y75" s="13"/>
      <c r="Z75" s="13"/>
      <c r="AA75" s="434"/>
      <c r="AD75" s="349"/>
      <c r="AE75">
        <f t="shared" si="5"/>
        <v>36</v>
      </c>
    </row>
    <row r="76" spans="1:31" x14ac:dyDescent="0.2">
      <c r="A76" s="13">
        <v>1999</v>
      </c>
      <c r="B76" s="13"/>
      <c r="C76" s="13"/>
      <c r="D76" s="13"/>
      <c r="E76" s="13"/>
      <c r="F76" s="13"/>
      <c r="G76" s="428">
        <v>0</v>
      </c>
      <c r="H76" s="13"/>
      <c r="I76" s="13"/>
      <c r="J76" s="428">
        <v>1</v>
      </c>
      <c r="K76" s="13"/>
      <c r="L76" s="428">
        <v>1</v>
      </c>
      <c r="M76" s="13"/>
      <c r="N76" s="428">
        <v>7</v>
      </c>
      <c r="O76" s="13"/>
      <c r="P76" s="428">
        <v>24</v>
      </c>
      <c r="Q76" s="13"/>
      <c r="R76" s="428">
        <v>9</v>
      </c>
      <c r="S76" s="13"/>
      <c r="T76" s="13"/>
      <c r="U76" s="428">
        <v>1</v>
      </c>
      <c r="V76" s="13"/>
      <c r="W76" s="428">
        <v>0</v>
      </c>
      <c r="X76" s="13"/>
      <c r="Y76" s="13"/>
      <c r="Z76" s="13"/>
      <c r="AA76" s="434">
        <v>24</v>
      </c>
      <c r="AD76" s="349">
        <f t="shared" ref="AD76:AD84" si="6">AA76/MAX(D76:Z76)</f>
        <v>1</v>
      </c>
      <c r="AE76">
        <f t="shared" si="5"/>
        <v>24</v>
      </c>
    </row>
    <row r="77" spans="1:31" x14ac:dyDescent="0.2">
      <c r="A77" s="13">
        <v>2000</v>
      </c>
      <c r="B77" s="13"/>
      <c r="D77" s="430">
        <v>0</v>
      </c>
      <c r="G77" s="430">
        <v>0</v>
      </c>
      <c r="I77" s="430">
        <v>0</v>
      </c>
      <c r="J77" s="430">
        <v>0</v>
      </c>
      <c r="M77" s="430">
        <v>5</v>
      </c>
      <c r="N77" s="13"/>
      <c r="O77" s="428">
        <v>26</v>
      </c>
      <c r="P77" s="13"/>
      <c r="Q77" s="13"/>
      <c r="R77" s="428">
        <v>13</v>
      </c>
      <c r="S77" s="13"/>
      <c r="T77" s="13"/>
      <c r="U77" s="13"/>
      <c r="V77" s="13"/>
      <c r="W77" s="428">
        <v>1</v>
      </c>
      <c r="X77" s="428">
        <v>0</v>
      </c>
      <c r="Y77" s="13"/>
      <c r="Z77" s="13"/>
      <c r="AA77" s="434">
        <v>42</v>
      </c>
      <c r="AD77" s="349">
        <f t="shared" si="6"/>
        <v>1.6153846153846154</v>
      </c>
      <c r="AE77">
        <f t="shared" si="5"/>
        <v>26</v>
      </c>
    </row>
    <row r="78" spans="1:31" x14ac:dyDescent="0.2">
      <c r="A78" s="13">
        <v>2001</v>
      </c>
      <c r="B78" s="428">
        <v>0</v>
      </c>
      <c r="C78" s="13"/>
      <c r="D78" s="428">
        <v>1</v>
      </c>
      <c r="E78" s="13"/>
      <c r="F78" s="428">
        <v>0</v>
      </c>
      <c r="G78" s="13"/>
      <c r="H78" s="13"/>
      <c r="I78" s="428">
        <v>1</v>
      </c>
      <c r="J78" s="13"/>
      <c r="K78" s="13"/>
      <c r="L78" s="13"/>
      <c r="M78" s="428">
        <v>5</v>
      </c>
      <c r="N78" s="13"/>
      <c r="O78" s="428">
        <v>31</v>
      </c>
      <c r="P78" s="13"/>
      <c r="Q78" s="13"/>
      <c r="R78" s="428">
        <v>33</v>
      </c>
      <c r="S78" s="13"/>
      <c r="T78" s="428">
        <v>0</v>
      </c>
      <c r="U78" s="13"/>
      <c r="V78" s="428">
        <v>1</v>
      </c>
      <c r="W78" s="13"/>
      <c r="X78" s="428">
        <v>0</v>
      </c>
      <c r="Y78" s="13"/>
      <c r="Z78" s="13"/>
      <c r="AA78" s="434">
        <v>43</v>
      </c>
      <c r="AD78" s="349">
        <f t="shared" si="6"/>
        <v>1.303030303030303</v>
      </c>
      <c r="AE78">
        <f t="shared" si="5"/>
        <v>33</v>
      </c>
    </row>
    <row r="79" spans="1:31" x14ac:dyDescent="0.2">
      <c r="A79" s="13">
        <v>2002</v>
      </c>
      <c r="B79" s="13"/>
      <c r="C79" s="13"/>
      <c r="D79" s="13"/>
      <c r="E79" s="428">
        <v>0</v>
      </c>
      <c r="F79" s="13"/>
      <c r="G79" s="428">
        <v>1</v>
      </c>
      <c r="H79" s="13"/>
      <c r="I79" s="13"/>
      <c r="J79" s="13"/>
      <c r="K79" s="13"/>
      <c r="L79" s="13"/>
      <c r="M79" s="428">
        <v>5</v>
      </c>
      <c r="N79" s="13"/>
      <c r="O79" s="13"/>
      <c r="P79" s="428">
        <v>5</v>
      </c>
      <c r="Q79" s="13"/>
      <c r="R79" s="13"/>
      <c r="S79" s="13"/>
      <c r="T79" s="13"/>
      <c r="U79" s="428">
        <v>0</v>
      </c>
      <c r="V79" s="13"/>
      <c r="W79" s="13"/>
      <c r="X79" s="13"/>
      <c r="Y79" s="13"/>
      <c r="Z79" s="13"/>
      <c r="AA79" s="434">
        <v>13</v>
      </c>
      <c r="AD79" s="349">
        <f t="shared" si="6"/>
        <v>2.6</v>
      </c>
      <c r="AE79">
        <f t="shared" si="5"/>
        <v>5</v>
      </c>
    </row>
    <row r="80" spans="1:31" x14ac:dyDescent="0.2">
      <c r="A80" s="13">
        <v>2003</v>
      </c>
      <c r="B80" s="13"/>
      <c r="C80" s="13"/>
      <c r="D80" s="13"/>
      <c r="E80" s="13"/>
      <c r="F80" s="13"/>
      <c r="G80" s="13"/>
      <c r="H80" s="428">
        <v>0</v>
      </c>
      <c r="I80" s="13"/>
      <c r="J80" s="428">
        <v>1</v>
      </c>
      <c r="K80" s="13"/>
      <c r="L80" s="428">
        <v>0</v>
      </c>
      <c r="M80" s="13"/>
      <c r="N80" s="13"/>
      <c r="O80" s="13"/>
      <c r="P80" s="13"/>
      <c r="Q80" s="428">
        <v>22</v>
      </c>
      <c r="R80" s="13"/>
      <c r="S80" s="13"/>
      <c r="T80" s="13"/>
      <c r="U80" s="13"/>
      <c r="V80" s="13"/>
      <c r="W80" s="13"/>
      <c r="X80" s="13"/>
      <c r="Y80" s="13"/>
      <c r="Z80" s="13"/>
      <c r="AA80" s="434">
        <v>25</v>
      </c>
      <c r="AD80" s="349">
        <f t="shared" si="6"/>
        <v>1.1363636363636365</v>
      </c>
      <c r="AE80">
        <f t="shared" si="5"/>
        <v>22</v>
      </c>
    </row>
    <row r="81" spans="1:31" x14ac:dyDescent="0.2">
      <c r="A81" s="13">
        <v>2004</v>
      </c>
      <c r="B81" s="13"/>
      <c r="C81" s="13"/>
      <c r="D81" s="13"/>
      <c r="E81" s="13"/>
      <c r="F81" s="428">
        <v>0</v>
      </c>
      <c r="G81" s="13"/>
      <c r="H81" s="13"/>
      <c r="I81" s="428">
        <v>0</v>
      </c>
      <c r="J81" s="13"/>
      <c r="K81" s="89"/>
      <c r="L81" s="428">
        <v>0</v>
      </c>
      <c r="M81" s="13"/>
      <c r="N81" s="13"/>
      <c r="O81" s="13"/>
      <c r="P81" s="13"/>
      <c r="Q81" s="428">
        <v>10</v>
      </c>
      <c r="R81" s="13"/>
      <c r="S81" s="13"/>
      <c r="T81" s="13"/>
      <c r="U81" s="428">
        <v>0</v>
      </c>
      <c r="V81" s="13"/>
      <c r="W81" s="13"/>
      <c r="X81" s="13"/>
      <c r="Y81" s="13"/>
      <c r="Z81" s="13"/>
      <c r="AA81" s="434">
        <v>13</v>
      </c>
      <c r="AD81" s="349">
        <f t="shared" si="6"/>
        <v>1.3</v>
      </c>
      <c r="AE81">
        <f t="shared" si="5"/>
        <v>10</v>
      </c>
    </row>
    <row r="82" spans="1:31" x14ac:dyDescent="0.2">
      <c r="A82" s="13">
        <v>2005</v>
      </c>
      <c r="B82" s="13"/>
      <c r="C82" s="13"/>
      <c r="D82" s="13"/>
      <c r="E82" s="13"/>
      <c r="F82" s="13"/>
      <c r="G82" s="13"/>
      <c r="H82" s="428">
        <v>0</v>
      </c>
      <c r="I82" s="13"/>
      <c r="J82" s="428">
        <v>0</v>
      </c>
      <c r="K82" s="428">
        <v>0</v>
      </c>
      <c r="L82" s="13"/>
      <c r="M82" s="13"/>
      <c r="N82" s="13"/>
      <c r="O82" s="13"/>
      <c r="P82" s="13"/>
      <c r="Q82" s="13"/>
      <c r="R82" s="13"/>
      <c r="S82" s="13"/>
      <c r="T82" s="428">
        <v>0</v>
      </c>
      <c r="U82" s="13"/>
      <c r="V82" s="13"/>
      <c r="W82" s="13"/>
      <c r="X82" s="13"/>
      <c r="Y82" s="13"/>
      <c r="Z82" s="13"/>
      <c r="AA82" s="463" t="s">
        <v>16</v>
      </c>
      <c r="AD82" s="349" t="e">
        <f t="shared" si="6"/>
        <v>#VALUE!</v>
      </c>
      <c r="AE82">
        <f t="shared" si="5"/>
        <v>0</v>
      </c>
    </row>
    <row r="83" spans="1:31" x14ac:dyDescent="0.2">
      <c r="A83" s="13">
        <v>2006</v>
      </c>
      <c r="B83" s="13"/>
      <c r="C83" s="13"/>
      <c r="D83" s="13"/>
      <c r="E83" s="13"/>
      <c r="F83" s="13"/>
      <c r="G83" s="428">
        <v>0</v>
      </c>
      <c r="H83" s="13"/>
      <c r="I83" s="428">
        <v>0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28">
        <v>0</v>
      </c>
      <c r="W83" s="13"/>
      <c r="X83" s="13"/>
      <c r="Y83" s="13"/>
      <c r="Z83" s="13"/>
      <c r="AA83" s="463">
        <v>1</v>
      </c>
      <c r="AD83" s="349" t="e">
        <f t="shared" si="6"/>
        <v>#DIV/0!</v>
      </c>
      <c r="AE83">
        <f t="shared" si="5"/>
        <v>0</v>
      </c>
    </row>
    <row r="84" spans="1:31" x14ac:dyDescent="0.2">
      <c r="A84" s="13">
        <v>2007</v>
      </c>
      <c r="B84" s="13"/>
      <c r="C84" s="13"/>
      <c r="D84" s="428">
        <v>0</v>
      </c>
      <c r="E84" s="13"/>
      <c r="F84" s="13"/>
      <c r="G84" s="428">
        <v>0</v>
      </c>
      <c r="H84" s="13"/>
      <c r="I84" s="429">
        <v>0</v>
      </c>
      <c r="J84" s="13"/>
      <c r="K84" s="13"/>
      <c r="L84" s="13"/>
      <c r="M84" s="13"/>
      <c r="N84" s="13"/>
      <c r="O84" s="13"/>
      <c r="P84" s="13"/>
      <c r="Q84" s="428">
        <v>8</v>
      </c>
      <c r="R84" s="429">
        <v>0</v>
      </c>
      <c r="S84" s="13"/>
      <c r="T84" s="428">
        <v>0</v>
      </c>
      <c r="U84" s="13"/>
      <c r="V84" s="13"/>
      <c r="W84" s="13"/>
      <c r="X84" s="13"/>
      <c r="Y84" s="13"/>
      <c r="Z84" s="13"/>
      <c r="AA84" s="434">
        <v>8</v>
      </c>
      <c r="AB84" t="s">
        <v>9</v>
      </c>
      <c r="AD84" s="349">
        <f t="shared" si="6"/>
        <v>1</v>
      </c>
      <c r="AE84">
        <f t="shared" si="5"/>
        <v>8</v>
      </c>
    </row>
    <row r="85" spans="1:31" x14ac:dyDescent="0.2">
      <c r="A85" s="13">
        <v>2008</v>
      </c>
      <c r="B85" s="13"/>
      <c r="C85" s="13"/>
      <c r="D85" s="13"/>
      <c r="E85" s="109">
        <v>0</v>
      </c>
      <c r="F85" s="13"/>
      <c r="G85" s="109">
        <v>1</v>
      </c>
      <c r="H85" s="13"/>
      <c r="I85" s="124">
        <v>2</v>
      </c>
      <c r="J85" s="13"/>
      <c r="K85" s="124">
        <v>2</v>
      </c>
      <c r="L85" s="13"/>
      <c r="M85" s="13"/>
      <c r="N85" s="13"/>
      <c r="O85" s="321">
        <v>20</v>
      </c>
      <c r="P85" s="13"/>
      <c r="Q85" s="13"/>
      <c r="R85" s="124">
        <v>5</v>
      </c>
      <c r="S85" s="13"/>
      <c r="T85" s="13"/>
      <c r="U85" s="13"/>
      <c r="V85" s="13"/>
      <c r="W85" s="13"/>
      <c r="X85" s="13"/>
      <c r="Y85" s="13"/>
      <c r="Z85" s="13"/>
      <c r="AA85" s="434">
        <v>22</v>
      </c>
      <c r="AB85" t="s">
        <v>5</v>
      </c>
      <c r="AC85">
        <v>28</v>
      </c>
      <c r="AD85" s="349">
        <f>AA85/MAX(D85:Z85)</f>
        <v>1.1000000000000001</v>
      </c>
      <c r="AE85">
        <f t="shared" si="5"/>
        <v>20</v>
      </c>
    </row>
    <row r="86" spans="1:31" x14ac:dyDescent="0.2">
      <c r="A86" s="13">
        <v>2009</v>
      </c>
      <c r="B86" s="13"/>
      <c r="C86" s="13"/>
      <c r="D86" s="13"/>
      <c r="E86" s="109">
        <v>0</v>
      </c>
      <c r="F86" s="13"/>
      <c r="G86" s="109">
        <v>0</v>
      </c>
      <c r="H86" s="13"/>
      <c r="I86" s="124">
        <v>0</v>
      </c>
      <c r="J86" s="124">
        <v>0</v>
      </c>
      <c r="K86" s="13"/>
      <c r="L86" s="124">
        <v>7</v>
      </c>
      <c r="M86" s="13"/>
      <c r="N86" s="13"/>
      <c r="O86" s="13"/>
      <c r="P86" s="124">
        <v>6</v>
      </c>
      <c r="Q86" s="13"/>
      <c r="R86" s="124">
        <v>9</v>
      </c>
      <c r="S86" s="13"/>
      <c r="T86" s="13"/>
      <c r="U86" s="13"/>
      <c r="V86" s="13"/>
      <c r="W86" s="109">
        <v>0</v>
      </c>
      <c r="X86" s="13"/>
      <c r="Y86" s="13"/>
      <c r="Z86" s="13"/>
      <c r="AA86" s="434">
        <v>16</v>
      </c>
      <c r="AB86" t="s">
        <v>5</v>
      </c>
      <c r="AC86">
        <v>16</v>
      </c>
      <c r="AD86" s="349">
        <f>AA86/MAX(D86:Z86)</f>
        <v>1.7777777777777777</v>
      </c>
      <c r="AE86">
        <f t="shared" si="5"/>
        <v>9</v>
      </c>
    </row>
    <row r="87" spans="1:31" x14ac:dyDescent="0.2">
      <c r="A87" s="13">
        <v>2010</v>
      </c>
      <c r="B87" s="13"/>
      <c r="C87" s="13"/>
      <c r="D87" s="13"/>
      <c r="E87" s="428">
        <v>0</v>
      </c>
      <c r="F87" s="13"/>
      <c r="G87" s="428">
        <v>0</v>
      </c>
      <c r="H87" s="13"/>
      <c r="I87" s="13"/>
      <c r="J87" s="429">
        <v>0</v>
      </c>
      <c r="K87" s="13"/>
      <c r="L87" s="429">
        <v>4</v>
      </c>
      <c r="M87" s="13"/>
      <c r="N87" s="13"/>
      <c r="O87" s="13"/>
      <c r="P87" s="429">
        <v>8</v>
      </c>
      <c r="Q87" s="13"/>
      <c r="R87" s="13"/>
      <c r="S87" s="428">
        <v>2</v>
      </c>
      <c r="T87" s="13"/>
      <c r="U87" s="13"/>
      <c r="V87" s="13"/>
      <c r="W87" s="13"/>
      <c r="X87" s="13"/>
      <c r="Y87" s="13"/>
      <c r="Z87" s="13"/>
      <c r="AA87" s="434">
        <v>9</v>
      </c>
      <c r="AB87" t="s">
        <v>9</v>
      </c>
      <c r="AD87" s="349">
        <f t="shared" ref="AD87:AD92" si="7">AA87/MAX(D87:Z87)</f>
        <v>1.125</v>
      </c>
      <c r="AE87">
        <f t="shared" si="5"/>
        <v>8</v>
      </c>
    </row>
    <row r="88" spans="1:31" x14ac:dyDescent="0.2">
      <c r="A88" s="13">
        <v>2011</v>
      </c>
      <c r="B88" s="13"/>
      <c r="C88" s="13"/>
      <c r="D88" s="13"/>
      <c r="E88" s="13"/>
      <c r="F88" s="13"/>
      <c r="G88" s="13"/>
      <c r="H88" s="13"/>
      <c r="I88" s="428">
        <v>1</v>
      </c>
      <c r="J88" s="428">
        <v>1</v>
      </c>
      <c r="K88" s="428">
        <v>1</v>
      </c>
      <c r="L88" s="13"/>
      <c r="M88" s="13"/>
      <c r="N88" s="13"/>
      <c r="O88" s="13"/>
      <c r="P88" s="13"/>
      <c r="Q88" s="428"/>
      <c r="R88" s="13"/>
      <c r="S88" s="13"/>
      <c r="T88" s="13"/>
      <c r="U88" s="13"/>
      <c r="V88" s="13"/>
      <c r="W88" s="13"/>
      <c r="X88" s="13"/>
      <c r="Y88" s="13"/>
      <c r="Z88" s="13"/>
      <c r="AA88" s="434">
        <v>11</v>
      </c>
      <c r="AD88" s="349">
        <f t="shared" si="7"/>
        <v>11</v>
      </c>
      <c r="AE88">
        <f t="shared" si="5"/>
        <v>1</v>
      </c>
    </row>
    <row r="89" spans="1:31" x14ac:dyDescent="0.2">
      <c r="A89" s="13">
        <v>2012</v>
      </c>
      <c r="B89" s="13"/>
      <c r="C89" s="13"/>
      <c r="D89" s="13"/>
      <c r="E89" s="13"/>
      <c r="F89" s="13"/>
      <c r="G89" s="13"/>
      <c r="H89" s="13"/>
      <c r="I89" s="13"/>
      <c r="J89" s="124">
        <v>3</v>
      </c>
      <c r="K89" s="13"/>
      <c r="L89" s="13"/>
      <c r="M89" s="13"/>
      <c r="N89" s="13"/>
      <c r="O89" s="13"/>
      <c r="P89" s="13"/>
      <c r="Q89" s="13"/>
      <c r="R89" s="124">
        <v>4</v>
      </c>
      <c r="S89" s="13"/>
      <c r="T89" s="13"/>
      <c r="U89" s="13"/>
      <c r="V89" s="13"/>
      <c r="W89" s="13"/>
      <c r="X89" s="13"/>
      <c r="Y89" s="13"/>
      <c r="Z89" s="13"/>
      <c r="AA89" s="434" t="s">
        <v>336</v>
      </c>
      <c r="AD89" s="349" t="e">
        <f t="shared" si="7"/>
        <v>#VALUE!</v>
      </c>
      <c r="AE89">
        <f t="shared" si="5"/>
        <v>4</v>
      </c>
    </row>
    <row r="90" spans="1:31" x14ac:dyDescent="0.2">
      <c r="A90" s="13">
        <v>2013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24">
        <v>16</v>
      </c>
      <c r="R90" s="13"/>
      <c r="S90" s="13"/>
      <c r="T90" s="13"/>
      <c r="U90" s="13"/>
      <c r="V90" s="13"/>
      <c r="W90" s="13"/>
      <c r="X90" s="13"/>
      <c r="Y90" s="13"/>
      <c r="Z90" s="13"/>
      <c r="AA90" s="434">
        <v>16</v>
      </c>
      <c r="AD90" s="349">
        <f t="shared" si="7"/>
        <v>1</v>
      </c>
      <c r="AE90">
        <f t="shared" si="5"/>
        <v>16</v>
      </c>
    </row>
    <row r="91" spans="1:31" x14ac:dyDescent="0.2">
      <c r="A91" s="13">
        <v>2014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24">
        <v>6</v>
      </c>
      <c r="O91" s="13"/>
      <c r="P91" s="13"/>
      <c r="Q91" s="13"/>
      <c r="R91" s="13"/>
      <c r="S91" s="13"/>
      <c r="T91" s="13"/>
      <c r="U91" s="13"/>
      <c r="V91" s="124">
        <v>0</v>
      </c>
      <c r="W91" s="13"/>
      <c r="X91" s="13"/>
      <c r="Y91" s="13"/>
      <c r="Z91" s="13"/>
      <c r="AA91" s="463" t="s">
        <v>336</v>
      </c>
      <c r="AD91" s="349" t="e">
        <f t="shared" si="7"/>
        <v>#VALUE!</v>
      </c>
      <c r="AE91">
        <f t="shared" si="5"/>
        <v>6</v>
      </c>
    </row>
    <row r="92" spans="1:31" x14ac:dyDescent="0.2">
      <c r="A92" s="13">
        <v>2015</v>
      </c>
      <c r="B92" s="13"/>
      <c r="C92" s="13"/>
      <c r="D92" s="13"/>
      <c r="E92" s="13"/>
      <c r="F92" s="13"/>
      <c r="G92" s="13"/>
      <c r="H92" s="13"/>
      <c r="I92" s="13"/>
      <c r="J92" s="124">
        <v>0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24">
        <v>0</v>
      </c>
      <c r="V92" s="13"/>
      <c r="W92" s="13"/>
      <c r="X92" s="13"/>
      <c r="Y92" s="13"/>
      <c r="Z92" s="13"/>
      <c r="AA92" s="463" t="s">
        <v>336</v>
      </c>
      <c r="AD92" s="349" t="e">
        <f t="shared" si="7"/>
        <v>#VALUE!</v>
      </c>
      <c r="AE92">
        <f t="shared" si="5"/>
        <v>0</v>
      </c>
    </row>
    <row r="93" spans="1:31" x14ac:dyDescent="0.2">
      <c r="A93" s="13">
        <v>2016</v>
      </c>
      <c r="B93" s="13"/>
      <c r="C93" s="13"/>
      <c r="D93" s="13"/>
      <c r="E93" s="13"/>
      <c r="F93" s="13"/>
      <c r="G93" s="124">
        <v>0</v>
      </c>
      <c r="H93" s="13"/>
      <c r="I93" s="13"/>
      <c r="J93" s="124">
        <v>1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24">
        <v>0</v>
      </c>
      <c r="W93" s="13"/>
      <c r="X93" s="124">
        <v>0</v>
      </c>
      <c r="Y93" s="13"/>
      <c r="Z93" s="13"/>
      <c r="AA93" s="434" t="s">
        <v>336</v>
      </c>
      <c r="AE93">
        <f t="shared" si="5"/>
        <v>1</v>
      </c>
    </row>
    <row r="94" spans="1:31" x14ac:dyDescent="0.2">
      <c r="A94" s="13">
        <v>2017</v>
      </c>
      <c r="B94" s="13"/>
      <c r="C94" s="13"/>
      <c r="D94" s="13"/>
      <c r="E94" s="13"/>
      <c r="F94" s="13"/>
      <c r="G94" s="13"/>
      <c r="H94" s="109">
        <v>0</v>
      </c>
      <c r="I94" s="13"/>
      <c r="J94" s="13"/>
      <c r="K94" s="13"/>
      <c r="L94" s="109">
        <v>1</v>
      </c>
      <c r="M94" s="13"/>
      <c r="N94" s="13"/>
      <c r="O94" s="13"/>
      <c r="P94" s="13"/>
      <c r="Q94" s="13"/>
      <c r="R94" s="109">
        <v>4</v>
      </c>
      <c r="S94" s="13"/>
      <c r="T94" s="13"/>
      <c r="U94" s="13"/>
      <c r="V94" s="13"/>
      <c r="W94" s="13"/>
      <c r="X94" s="13"/>
      <c r="Y94" s="13"/>
      <c r="Z94" s="13"/>
      <c r="AA94" s="434"/>
      <c r="AE94">
        <f t="shared" si="5"/>
        <v>4</v>
      </c>
    </row>
    <row r="95" spans="1:31" x14ac:dyDescent="0.2">
      <c r="A95" s="13">
        <v>2018</v>
      </c>
      <c r="B95" s="13"/>
      <c r="C95" s="13"/>
      <c r="D95" s="13"/>
      <c r="E95" s="13"/>
      <c r="F95" s="13"/>
      <c r="G95" s="13"/>
      <c r="H95" s="13"/>
      <c r="I95" s="109">
        <v>0</v>
      </c>
      <c r="J95" s="13"/>
      <c r="K95" s="109">
        <v>1</v>
      </c>
      <c r="L95" s="13"/>
      <c r="M95" s="13"/>
      <c r="N95" s="13"/>
      <c r="O95" s="13"/>
      <c r="P95" s="13"/>
      <c r="Q95" s="13"/>
      <c r="R95" s="13"/>
      <c r="S95" s="109">
        <v>2</v>
      </c>
      <c r="T95" s="13"/>
      <c r="U95" s="13"/>
      <c r="V95" s="13"/>
      <c r="W95" s="13"/>
      <c r="X95" s="13"/>
      <c r="Y95" s="13"/>
      <c r="Z95" s="13"/>
      <c r="AA95" s="434"/>
      <c r="AE95">
        <f t="shared" si="5"/>
        <v>2</v>
      </c>
    </row>
    <row r="96" spans="1:31" x14ac:dyDescent="0.2">
      <c r="A96" s="13">
        <v>2019</v>
      </c>
      <c r="B96" s="13"/>
      <c r="C96" s="13"/>
      <c r="D96" s="13"/>
      <c r="E96" s="13"/>
      <c r="F96" s="13"/>
      <c r="G96" s="13"/>
      <c r="H96" s="13"/>
      <c r="I96" s="13"/>
      <c r="J96" s="109">
        <v>3</v>
      </c>
      <c r="K96" s="109">
        <v>5</v>
      </c>
      <c r="L96" s="13"/>
      <c r="M96" s="13"/>
      <c r="N96" s="13"/>
      <c r="O96" s="13"/>
      <c r="P96" s="13"/>
      <c r="Q96" s="13"/>
      <c r="R96" s="13"/>
      <c r="S96" s="437">
        <v>2</v>
      </c>
      <c r="T96" s="13"/>
      <c r="U96" s="13"/>
      <c r="V96" s="13"/>
      <c r="W96" s="13"/>
      <c r="X96" s="13"/>
      <c r="Y96" s="13"/>
      <c r="Z96" s="13"/>
      <c r="AA96" s="434"/>
      <c r="AE96">
        <f t="shared" si="5"/>
        <v>5</v>
      </c>
    </row>
    <row r="97" spans="1:27" x14ac:dyDescent="0.2">
      <c r="A97" s="13">
        <v>2020</v>
      </c>
      <c r="B97" s="13"/>
      <c r="C97" s="13"/>
      <c r="D97" s="13"/>
      <c r="E97" s="13"/>
      <c r="F97" s="13"/>
      <c r="G97" s="13"/>
      <c r="H97" s="13"/>
      <c r="I97" s="109">
        <v>0</v>
      </c>
      <c r="J97" s="13"/>
      <c r="K97" s="109">
        <v>2</v>
      </c>
      <c r="L97" s="13"/>
      <c r="M97" s="13"/>
      <c r="N97" s="109">
        <v>0</v>
      </c>
      <c r="O97" s="13"/>
      <c r="P97" s="13"/>
      <c r="Q97" s="13"/>
      <c r="R97" s="13"/>
      <c r="S97" s="109">
        <v>0</v>
      </c>
      <c r="T97" s="13"/>
      <c r="U97" s="13"/>
      <c r="V97" s="13"/>
      <c r="W97" s="13"/>
      <c r="X97" s="13"/>
      <c r="Y97" s="13"/>
      <c r="Z97" s="13"/>
      <c r="AA97" s="434"/>
    </row>
    <row r="98" spans="1:27" s="151" customFormat="1" x14ac:dyDescent="0.2">
      <c r="A98" s="89">
        <v>2021</v>
      </c>
      <c r="B98" s="89"/>
      <c r="C98" s="89"/>
      <c r="D98" s="89"/>
      <c r="E98" s="89"/>
      <c r="F98" s="89"/>
      <c r="G98" s="89"/>
      <c r="H98" s="89"/>
      <c r="I98" s="89"/>
      <c r="J98" s="109">
        <v>0</v>
      </c>
      <c r="K98" s="89"/>
      <c r="L98" s="89"/>
      <c r="M98" s="89"/>
      <c r="N98" s="89"/>
      <c r="O98" s="89"/>
      <c r="P98" s="89"/>
      <c r="Q98" s="89"/>
      <c r="R98" s="109">
        <v>2</v>
      </c>
      <c r="S98" s="89"/>
      <c r="T98" s="89"/>
      <c r="U98" s="89"/>
      <c r="V98" s="89"/>
      <c r="W98" s="109">
        <v>0</v>
      </c>
      <c r="X98" s="89"/>
      <c r="Y98" s="89"/>
      <c r="Z98" s="89"/>
      <c r="AA98" s="664"/>
    </row>
    <row r="99" spans="1:27" s="151" customFormat="1" x14ac:dyDescent="0.2">
      <c r="A99" s="89">
        <v>2022</v>
      </c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109">
        <v>4</v>
      </c>
      <c r="O99" s="89"/>
      <c r="P99" s="89"/>
      <c r="Q99" s="89"/>
      <c r="R99" s="89"/>
      <c r="S99" s="89"/>
      <c r="T99" s="89"/>
      <c r="U99" s="89"/>
      <c r="V99" s="89"/>
      <c r="W99" s="89"/>
      <c r="X99" s="109">
        <v>0</v>
      </c>
      <c r="Y99" s="89"/>
      <c r="Z99" s="89"/>
      <c r="AA99" s="664">
        <v>4</v>
      </c>
    </row>
    <row r="100" spans="1:27" s="151" customFormat="1" x14ac:dyDescent="0.2">
      <c r="A100" s="89">
        <v>2023</v>
      </c>
      <c r="B100" s="89"/>
      <c r="C100" s="89"/>
      <c r="D100" s="109">
        <v>0</v>
      </c>
      <c r="E100" s="89"/>
      <c r="F100" s="89"/>
      <c r="G100" s="89"/>
      <c r="H100" s="89"/>
      <c r="I100" s="109">
        <v>0</v>
      </c>
      <c r="J100" s="89"/>
      <c r="K100" s="89"/>
      <c r="L100" s="89"/>
      <c r="M100" s="89"/>
      <c r="N100" s="109">
        <v>2</v>
      </c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</row>
    <row r="101" spans="1:27" x14ac:dyDescent="0.2">
      <c r="A101" s="64" t="s">
        <v>17</v>
      </c>
      <c r="B101" s="85">
        <v>0</v>
      </c>
      <c r="C101" s="85"/>
      <c r="D101" s="85">
        <v>1.0101010101010102E-2</v>
      </c>
      <c r="E101" s="85">
        <v>0</v>
      </c>
      <c r="F101" s="85">
        <v>0</v>
      </c>
      <c r="G101" s="85">
        <v>3.125E-2</v>
      </c>
      <c r="H101" s="85">
        <v>0.05</v>
      </c>
      <c r="I101" s="85">
        <v>0.16147186147186149</v>
      </c>
      <c r="J101" s="85">
        <v>0.3671401515151515</v>
      </c>
      <c r="K101" s="85">
        <v>0.55000000000000004</v>
      </c>
      <c r="L101" s="85">
        <v>0.26435185185185189</v>
      </c>
      <c r="M101" s="85">
        <v>0.58595571095571097</v>
      </c>
      <c r="N101" s="85">
        <v>0.29166666666666669</v>
      </c>
      <c r="O101" s="85">
        <v>0.97979797979797978</v>
      </c>
      <c r="P101" s="85">
        <v>0.93333333333333324</v>
      </c>
      <c r="Q101" s="85">
        <v>0.72666666666666668</v>
      </c>
      <c r="R101" s="85">
        <v>0.57465277777777779</v>
      </c>
      <c r="S101" s="85">
        <v>0.25</v>
      </c>
      <c r="T101" s="85">
        <v>0</v>
      </c>
      <c r="U101" s="85">
        <v>1.3888888888888888E-2</v>
      </c>
      <c r="V101" s="85">
        <v>1.0101010101010102E-2</v>
      </c>
      <c r="W101" s="85">
        <v>9.6153846153846159E-3</v>
      </c>
      <c r="X101" s="85">
        <v>0</v>
      </c>
      <c r="Y101" s="16"/>
      <c r="Z101" s="16"/>
    </row>
    <row r="103" spans="1:27" x14ac:dyDescent="0.2">
      <c r="A103" s="431" t="s">
        <v>327</v>
      </c>
      <c r="B103" s="430"/>
      <c r="C103" s="430"/>
      <c r="D103" s="430"/>
    </row>
    <row r="104" spans="1:27" x14ac:dyDescent="0.2">
      <c r="A104" s="436" t="s">
        <v>350</v>
      </c>
      <c r="B104" s="124"/>
      <c r="C104" s="124"/>
      <c r="D104" s="124"/>
    </row>
    <row r="106" spans="1:27" ht="13.5" thickBot="1" x14ac:dyDescent="0.25"/>
    <row r="107" spans="1:27" ht="13.5" thickTop="1" x14ac:dyDescent="0.2">
      <c r="A107" s="1004" t="s">
        <v>0</v>
      </c>
      <c r="B107" s="1028" t="s">
        <v>351</v>
      </c>
      <c r="C107" s="1030"/>
      <c r="D107" s="1030"/>
      <c r="E107" s="1029"/>
      <c r="F107" s="1028" t="s">
        <v>352</v>
      </c>
      <c r="G107" s="1029"/>
      <c r="H107" s="1028" t="s">
        <v>353</v>
      </c>
      <c r="I107" s="1030"/>
      <c r="J107" s="1030"/>
      <c r="K107" s="1029"/>
      <c r="L107" s="93" t="s">
        <v>367</v>
      </c>
      <c r="M107" s="93" t="s">
        <v>354</v>
      </c>
      <c r="N107" s="93" t="s">
        <v>356</v>
      </c>
      <c r="O107" s="1028" t="s">
        <v>357</v>
      </c>
      <c r="P107" s="1030"/>
      <c r="Q107" s="1029"/>
      <c r="R107" s="93" t="s">
        <v>364</v>
      </c>
      <c r="S107" s="1028" t="s">
        <v>360</v>
      </c>
      <c r="T107" s="1029"/>
      <c r="U107" s="1028" t="s">
        <v>368</v>
      </c>
      <c r="V107" s="1030"/>
      <c r="W107" s="1030"/>
      <c r="X107" s="1029"/>
    </row>
    <row r="108" spans="1:27" x14ac:dyDescent="0.2">
      <c r="A108" s="1005"/>
      <c r="B108" s="93" t="s">
        <v>365</v>
      </c>
      <c r="C108" s="93" t="s">
        <v>178</v>
      </c>
      <c r="D108" s="93" t="s">
        <v>177</v>
      </c>
      <c r="E108" s="93" t="s">
        <v>176</v>
      </c>
      <c r="F108" s="93" t="s">
        <v>178</v>
      </c>
      <c r="G108" s="93" t="s">
        <v>177</v>
      </c>
      <c r="H108" s="93" t="s">
        <v>365</v>
      </c>
      <c r="I108" s="93" t="s">
        <v>178</v>
      </c>
      <c r="J108" s="93" t="s">
        <v>177</v>
      </c>
      <c r="K108" s="93" t="s">
        <v>176</v>
      </c>
      <c r="L108" s="93" t="s">
        <v>178</v>
      </c>
      <c r="M108" s="93" t="s">
        <v>178</v>
      </c>
      <c r="N108" s="93" t="s">
        <v>178</v>
      </c>
      <c r="O108" s="93" t="s">
        <v>365</v>
      </c>
      <c r="P108" s="93" t="s">
        <v>178</v>
      </c>
      <c r="Q108" s="93" t="s">
        <v>176</v>
      </c>
      <c r="R108" s="93" t="s">
        <v>176</v>
      </c>
      <c r="S108" s="93" t="s">
        <v>178</v>
      </c>
      <c r="T108" s="93" t="s">
        <v>177</v>
      </c>
      <c r="U108" s="93" t="s">
        <v>178</v>
      </c>
      <c r="V108" s="93" t="s">
        <v>177</v>
      </c>
      <c r="W108" s="93" t="s">
        <v>176</v>
      </c>
      <c r="X108" s="93" t="s">
        <v>50</v>
      </c>
    </row>
    <row r="109" spans="1:27" x14ac:dyDescent="0.2">
      <c r="A109" s="13">
        <v>1982</v>
      </c>
      <c r="D109" s="438">
        <v>6777</v>
      </c>
      <c r="G109" s="438">
        <v>4825</v>
      </c>
      <c r="J109" s="438">
        <v>4825</v>
      </c>
      <c r="M109" s="93" t="s">
        <v>355</v>
      </c>
      <c r="N109" s="438">
        <v>3000</v>
      </c>
    </row>
    <row r="110" spans="1:27" x14ac:dyDescent="0.2">
      <c r="A110" s="13">
        <v>1983</v>
      </c>
      <c r="D110">
        <v>1656</v>
      </c>
      <c r="G110">
        <v>894</v>
      </c>
      <c r="P110" s="93" t="s">
        <v>358</v>
      </c>
      <c r="Q110" s="93" t="s">
        <v>359</v>
      </c>
    </row>
    <row r="111" spans="1:27" x14ac:dyDescent="0.2">
      <c r="A111" s="13">
        <v>1984</v>
      </c>
      <c r="D111">
        <v>15627</v>
      </c>
      <c r="G111">
        <v>4743</v>
      </c>
      <c r="J111">
        <v>3332</v>
      </c>
      <c r="M111" s="93" t="s">
        <v>362</v>
      </c>
      <c r="N111" s="93" t="s">
        <v>361</v>
      </c>
      <c r="P111" s="93" t="s">
        <v>363</v>
      </c>
      <c r="R111" s="93" t="s">
        <v>362</v>
      </c>
      <c r="T111">
        <v>680</v>
      </c>
    </row>
    <row r="112" spans="1:27" x14ac:dyDescent="0.2">
      <c r="A112" s="13">
        <v>1985</v>
      </c>
      <c r="B112">
        <v>1</v>
      </c>
      <c r="C112">
        <v>1294</v>
      </c>
      <c r="D112">
        <v>13441</v>
      </c>
      <c r="E112">
        <v>209</v>
      </c>
      <c r="F112">
        <v>30</v>
      </c>
      <c r="G112">
        <v>5500</v>
      </c>
      <c r="H112">
        <v>1</v>
      </c>
      <c r="I112">
        <v>188</v>
      </c>
      <c r="J112">
        <v>2500</v>
      </c>
      <c r="K112">
        <v>2</v>
      </c>
      <c r="L112">
        <v>400</v>
      </c>
      <c r="M112">
        <v>500</v>
      </c>
      <c r="N112">
        <v>5000</v>
      </c>
      <c r="O112">
        <v>850</v>
      </c>
      <c r="P112">
        <v>1200</v>
      </c>
      <c r="Q112">
        <v>2</v>
      </c>
      <c r="R112">
        <v>1000</v>
      </c>
      <c r="S112" s="93" t="s">
        <v>366</v>
      </c>
      <c r="T112">
        <v>1025</v>
      </c>
      <c r="U112">
        <v>100</v>
      </c>
      <c r="V112">
        <v>25000</v>
      </c>
      <c r="W112">
        <v>200</v>
      </c>
    </row>
    <row r="113" spans="1:24" x14ac:dyDescent="0.2">
      <c r="A113" s="13">
        <v>1986</v>
      </c>
      <c r="C113">
        <v>1400</v>
      </c>
      <c r="D113">
        <v>4000</v>
      </c>
      <c r="E113">
        <v>200</v>
      </c>
      <c r="F113">
        <v>0</v>
      </c>
      <c r="G113">
        <v>2000</v>
      </c>
      <c r="I113">
        <v>55</v>
      </c>
      <c r="J113">
        <v>4000</v>
      </c>
      <c r="K113">
        <v>12</v>
      </c>
      <c r="L113">
        <v>200</v>
      </c>
      <c r="U113">
        <v>4000</v>
      </c>
      <c r="V113">
        <v>1500</v>
      </c>
      <c r="W113">
        <v>6</v>
      </c>
      <c r="X113">
        <v>30</v>
      </c>
    </row>
    <row r="114" spans="1:24" x14ac:dyDescent="0.2">
      <c r="A114" s="13">
        <v>1987</v>
      </c>
      <c r="C114">
        <v>1088</v>
      </c>
      <c r="D114">
        <v>2188</v>
      </c>
      <c r="E114">
        <v>319</v>
      </c>
      <c r="L114">
        <v>300</v>
      </c>
      <c r="O114">
        <v>2200</v>
      </c>
      <c r="P114">
        <v>2500</v>
      </c>
      <c r="U114">
        <v>600</v>
      </c>
      <c r="V114">
        <v>8600</v>
      </c>
      <c r="W114">
        <v>20</v>
      </c>
    </row>
    <row r="115" spans="1:24" x14ac:dyDescent="0.2">
      <c r="A115" s="13">
        <v>1988</v>
      </c>
      <c r="C115">
        <v>2015</v>
      </c>
      <c r="D115">
        <v>583</v>
      </c>
      <c r="E115">
        <v>285</v>
      </c>
      <c r="L115">
        <v>300</v>
      </c>
      <c r="O115">
        <v>4000</v>
      </c>
      <c r="P115">
        <v>1000</v>
      </c>
      <c r="U115">
        <v>500</v>
      </c>
      <c r="V115">
        <v>7000</v>
      </c>
      <c r="W115">
        <v>25</v>
      </c>
    </row>
    <row r="116" spans="1:24" x14ac:dyDescent="0.2">
      <c r="A116" s="13">
        <v>1989</v>
      </c>
      <c r="C116">
        <v>2903</v>
      </c>
      <c r="D116">
        <v>7</v>
      </c>
      <c r="E116">
        <v>233</v>
      </c>
      <c r="L116">
        <v>350</v>
      </c>
      <c r="O116">
        <v>3000</v>
      </c>
      <c r="U116">
        <v>750</v>
      </c>
      <c r="V116">
        <v>3500</v>
      </c>
      <c r="W116">
        <v>3</v>
      </c>
    </row>
    <row r="117" spans="1:24" x14ac:dyDescent="0.2">
      <c r="A117" s="13">
        <v>1990</v>
      </c>
      <c r="C117">
        <v>736</v>
      </c>
      <c r="D117">
        <v>6</v>
      </c>
      <c r="E117">
        <v>270</v>
      </c>
      <c r="F117">
        <v>6</v>
      </c>
      <c r="G117">
        <v>75</v>
      </c>
      <c r="I117">
        <v>4</v>
      </c>
      <c r="J117">
        <v>45</v>
      </c>
      <c r="K117">
        <v>5</v>
      </c>
      <c r="L117">
        <v>450</v>
      </c>
      <c r="O117">
        <v>1243</v>
      </c>
      <c r="P117">
        <v>1500</v>
      </c>
      <c r="U117">
        <v>850</v>
      </c>
      <c r="V117">
        <v>3000</v>
      </c>
      <c r="W117">
        <v>3</v>
      </c>
    </row>
    <row r="118" spans="1:24" x14ac:dyDescent="0.2">
      <c r="A118" s="13">
        <v>1991</v>
      </c>
    </row>
    <row r="119" spans="1:24" x14ac:dyDescent="0.2">
      <c r="A119" s="13">
        <v>1992</v>
      </c>
    </row>
    <row r="120" spans="1:24" x14ac:dyDescent="0.2">
      <c r="A120" s="13">
        <v>1993</v>
      </c>
    </row>
    <row r="121" spans="1:24" x14ac:dyDescent="0.2">
      <c r="A121" s="13">
        <v>1994</v>
      </c>
    </row>
    <row r="122" spans="1:24" x14ac:dyDescent="0.2">
      <c r="A122" s="13">
        <v>1995</v>
      </c>
    </row>
    <row r="123" spans="1:24" x14ac:dyDescent="0.2">
      <c r="A123" s="13">
        <v>1996</v>
      </c>
    </row>
    <row r="124" spans="1:24" x14ac:dyDescent="0.2">
      <c r="A124" s="13">
        <v>1997</v>
      </c>
    </row>
    <row r="125" spans="1:24" x14ac:dyDescent="0.2">
      <c r="A125" s="13">
        <v>1998</v>
      </c>
    </row>
    <row r="126" spans="1:24" x14ac:dyDescent="0.2">
      <c r="A126" s="13">
        <v>1999</v>
      </c>
    </row>
    <row r="127" spans="1:24" x14ac:dyDescent="0.2">
      <c r="A127" s="13">
        <v>2000</v>
      </c>
    </row>
    <row r="128" spans="1:24" x14ac:dyDescent="0.2">
      <c r="A128" s="13">
        <v>2001</v>
      </c>
    </row>
    <row r="129" spans="1:1" x14ac:dyDescent="0.2">
      <c r="A129" s="13">
        <v>2002</v>
      </c>
    </row>
    <row r="130" spans="1:1" x14ac:dyDescent="0.2">
      <c r="A130" s="13">
        <v>2003</v>
      </c>
    </row>
    <row r="131" spans="1:1" x14ac:dyDescent="0.2">
      <c r="A131" s="13">
        <v>2004</v>
      </c>
    </row>
    <row r="132" spans="1:1" x14ac:dyDescent="0.2">
      <c r="A132" s="13">
        <v>2005</v>
      </c>
    </row>
    <row r="133" spans="1:1" x14ac:dyDescent="0.2">
      <c r="A133" s="13">
        <v>2006</v>
      </c>
    </row>
    <row r="134" spans="1:1" x14ac:dyDescent="0.2">
      <c r="A134" s="13">
        <v>2007</v>
      </c>
    </row>
    <row r="135" spans="1:1" x14ac:dyDescent="0.2">
      <c r="A135" s="13">
        <v>2008</v>
      </c>
    </row>
    <row r="136" spans="1:1" x14ac:dyDescent="0.2">
      <c r="A136" s="13">
        <v>2009</v>
      </c>
    </row>
    <row r="137" spans="1:1" x14ac:dyDescent="0.2">
      <c r="A137" s="13">
        <v>2010</v>
      </c>
    </row>
    <row r="138" spans="1:1" x14ac:dyDescent="0.2">
      <c r="A138" s="13">
        <v>2011</v>
      </c>
    </row>
    <row r="139" spans="1:1" x14ac:dyDescent="0.2">
      <c r="A139" s="13">
        <v>2012</v>
      </c>
    </row>
    <row r="140" spans="1:1" x14ac:dyDescent="0.2">
      <c r="A140" s="13">
        <v>2013</v>
      </c>
    </row>
    <row r="141" spans="1:1" x14ac:dyDescent="0.2">
      <c r="A141" s="13">
        <v>2014</v>
      </c>
    </row>
    <row r="142" spans="1:1" x14ac:dyDescent="0.2">
      <c r="A142" s="13">
        <v>2015</v>
      </c>
    </row>
    <row r="143" spans="1:1" x14ac:dyDescent="0.2">
      <c r="A143" s="13">
        <v>2016</v>
      </c>
    </row>
    <row r="144" spans="1:1" x14ac:dyDescent="0.2">
      <c r="A144" s="13">
        <v>2017</v>
      </c>
    </row>
    <row r="145" spans="1:28" x14ac:dyDescent="0.2">
      <c r="A145" s="13">
        <v>2018</v>
      </c>
    </row>
    <row r="146" spans="1:28" x14ac:dyDescent="0.2">
      <c r="A146" s="13">
        <v>2019</v>
      </c>
    </row>
    <row r="148" spans="1:28" ht="13.5" thickBot="1" x14ac:dyDescent="0.25">
      <c r="A148" s="93" t="s">
        <v>238</v>
      </c>
      <c r="B148" s="93"/>
      <c r="C148" s="93"/>
      <c r="D148" s="93"/>
    </row>
    <row r="149" spans="1:28" ht="13.5" thickTop="1" x14ac:dyDescent="0.2">
      <c r="A149" s="1004" t="s">
        <v>0</v>
      </c>
      <c r="B149" s="448"/>
      <c r="C149" s="448"/>
      <c r="D149" s="448"/>
      <c r="E149" s="1006" t="s">
        <v>1</v>
      </c>
      <c r="F149" s="1006"/>
      <c r="G149" s="1006"/>
      <c r="H149" s="1006"/>
      <c r="I149" s="1006"/>
      <c r="J149" s="1006"/>
      <c r="K149" s="1006"/>
      <c r="L149" s="1006"/>
      <c r="M149" s="1006"/>
      <c r="N149" s="1006"/>
      <c r="O149" s="1006"/>
      <c r="P149" s="1006"/>
      <c r="Q149" s="1006"/>
      <c r="R149" s="1006"/>
      <c r="S149" s="1006"/>
      <c r="T149" s="1006"/>
      <c r="U149" s="1006"/>
      <c r="V149" s="1006"/>
      <c r="W149" s="1006"/>
      <c r="X149" s="1006"/>
      <c r="Y149" s="1006"/>
      <c r="Z149" s="1006"/>
      <c r="AA149" s="1004" t="s">
        <v>2</v>
      </c>
    </row>
    <row r="150" spans="1:28" x14ac:dyDescent="0.2">
      <c r="A150" s="1005"/>
      <c r="B150" s="461">
        <v>73</v>
      </c>
      <c r="C150" s="461">
        <v>74</v>
      </c>
      <c r="D150" s="461">
        <v>75</v>
      </c>
      <c r="E150" s="461">
        <v>81</v>
      </c>
      <c r="F150" s="461">
        <v>82</v>
      </c>
      <c r="G150" s="461">
        <v>83</v>
      </c>
      <c r="H150" s="461">
        <v>84</v>
      </c>
      <c r="I150" s="461">
        <v>91</v>
      </c>
      <c r="J150" s="461">
        <v>92</v>
      </c>
      <c r="K150" s="461">
        <v>93</v>
      </c>
      <c r="L150" s="461">
        <v>94</v>
      </c>
      <c r="M150" s="461">
        <v>101</v>
      </c>
      <c r="N150" s="461">
        <v>102</v>
      </c>
      <c r="O150" s="461">
        <v>103</v>
      </c>
      <c r="P150" s="461">
        <v>104</v>
      </c>
      <c r="Q150" s="461">
        <v>105</v>
      </c>
      <c r="R150" s="461">
        <v>111</v>
      </c>
      <c r="S150" s="461">
        <v>112</v>
      </c>
      <c r="T150" s="461">
        <v>113</v>
      </c>
      <c r="U150" s="461">
        <v>114</v>
      </c>
      <c r="V150" s="461">
        <v>115</v>
      </c>
      <c r="W150" s="461">
        <v>121</v>
      </c>
      <c r="X150" s="461">
        <v>122</v>
      </c>
      <c r="Y150" s="461">
        <v>123</v>
      </c>
      <c r="Z150" s="461">
        <v>124</v>
      </c>
      <c r="AA150" s="1005"/>
      <c r="AB150" s="93" t="s">
        <v>398</v>
      </c>
    </row>
    <row r="151" spans="1:28" x14ac:dyDescent="0.2">
      <c r="A151" s="13">
        <v>1999</v>
      </c>
      <c r="B151" s="81"/>
      <c r="C151" s="81"/>
      <c r="D151" s="81"/>
      <c r="E151" s="81"/>
      <c r="F151" s="81"/>
      <c r="G151" s="456">
        <f>G4/$AB151</f>
        <v>0.45120671563483733</v>
      </c>
      <c r="H151" s="81"/>
      <c r="I151" s="81"/>
      <c r="J151" s="456">
        <f>J4/$AB151</f>
        <v>0.79275970619097591</v>
      </c>
      <c r="K151" s="81"/>
      <c r="L151" s="456">
        <f>L4/$AB151</f>
        <v>1</v>
      </c>
      <c r="M151" s="81"/>
      <c r="N151" s="456">
        <f>N4/$AB151</f>
        <v>0.42549842602308502</v>
      </c>
      <c r="O151" s="81"/>
      <c r="P151" s="456">
        <f>P4/$AB151</f>
        <v>0.41605456453305351</v>
      </c>
      <c r="Q151" s="81"/>
      <c r="R151" s="456">
        <f>R4/$AB151</f>
        <v>0.18310598111227702</v>
      </c>
      <c r="S151" s="81"/>
      <c r="T151" s="81"/>
      <c r="U151" s="456">
        <f>U4/$AB151</f>
        <v>0</v>
      </c>
      <c r="V151" s="81"/>
      <c r="W151" s="456">
        <f>W4/$AB151</f>
        <v>0</v>
      </c>
      <c r="X151" s="81"/>
      <c r="Y151" s="81"/>
      <c r="Z151" s="81"/>
      <c r="AA151" s="13">
        <v>1906</v>
      </c>
      <c r="AB151">
        <f t="shared" ref="AB151:AB169" si="8">MAX(B4:Z4)</f>
        <v>1906</v>
      </c>
    </row>
    <row r="152" spans="1:28" x14ac:dyDescent="0.2">
      <c r="A152" s="13">
        <v>2000</v>
      </c>
      <c r="B152" s="81"/>
      <c r="C152" s="81"/>
      <c r="D152" s="456">
        <f>D5/$AB152</f>
        <v>1</v>
      </c>
      <c r="E152" s="432"/>
      <c r="F152" s="432"/>
      <c r="G152" s="456">
        <f>G5/$AB152</f>
        <v>0.86244189049586772</v>
      </c>
      <c r="H152" s="432"/>
      <c r="I152" s="457">
        <f>I5/$AB152</f>
        <v>0.96100206611570249</v>
      </c>
      <c r="J152" s="457">
        <f>J5/$AB152</f>
        <v>0.6940211776859504</v>
      </c>
      <c r="K152" s="432"/>
      <c r="L152" s="432"/>
      <c r="M152" s="457">
        <f>M5/$AB152</f>
        <v>0.20254390495867769</v>
      </c>
      <c r="N152" s="81"/>
      <c r="O152" s="458">
        <f>O5/$AB152</f>
        <v>2.5245351239669422E-2</v>
      </c>
      <c r="P152" s="81"/>
      <c r="Q152" s="81"/>
      <c r="R152" s="458">
        <f>R5/$AB152</f>
        <v>6.0046487603305785E-3</v>
      </c>
      <c r="S152" s="81"/>
      <c r="T152" s="458">
        <f>T5/$AB152</f>
        <v>7.1022727272727275E-4</v>
      </c>
      <c r="U152" s="81"/>
      <c r="V152" s="81"/>
      <c r="W152" s="458">
        <f>W5/$AB152</f>
        <v>3.228305785123967E-5</v>
      </c>
      <c r="X152" s="432"/>
      <c r="Y152" s="81"/>
      <c r="Z152" s="81"/>
      <c r="AA152" s="13">
        <v>37756</v>
      </c>
      <c r="AB152">
        <f t="shared" si="8"/>
        <v>30976</v>
      </c>
    </row>
    <row r="153" spans="1:28" x14ac:dyDescent="0.2">
      <c r="A153" s="13">
        <v>2001</v>
      </c>
      <c r="B153" s="458">
        <f>B6/$AB153</f>
        <v>0.65033814659111677</v>
      </c>
      <c r="C153" s="81"/>
      <c r="D153" s="458">
        <f>D6/$AB153</f>
        <v>0.92688722354231401</v>
      </c>
      <c r="E153" s="81"/>
      <c r="F153" s="458">
        <f>F6/$AB153</f>
        <v>1</v>
      </c>
      <c r="G153" s="81"/>
      <c r="H153" s="81"/>
      <c r="I153" s="458">
        <f>I6/$AB153</f>
        <v>0.76640467921769329</v>
      </c>
      <c r="J153" s="81"/>
      <c r="K153" s="81"/>
      <c r="L153" s="81"/>
      <c r="M153" s="458">
        <f>M6/$AB153</f>
        <v>0.18131968561506123</v>
      </c>
      <c r="N153" s="81"/>
      <c r="O153" s="458">
        <f>O6/$AB153</f>
        <v>8.5176384573204172E-2</v>
      </c>
      <c r="P153" s="81"/>
      <c r="Q153" s="81"/>
      <c r="R153" s="458">
        <f>R6/$AB153</f>
        <v>1.5719246938402487E-2</v>
      </c>
      <c r="S153" s="81"/>
      <c r="T153" s="458">
        <f>T6/$AB153</f>
        <v>3.6556388228842988E-4</v>
      </c>
      <c r="U153" s="81"/>
      <c r="V153" s="458">
        <f>V6/$AB153</f>
        <v>0</v>
      </c>
      <c r="W153" s="81"/>
      <c r="X153" s="458">
        <f>X6/$AB153</f>
        <v>0</v>
      </c>
      <c r="Y153" s="81"/>
      <c r="Z153" s="81"/>
      <c r="AA153" s="13">
        <v>7054</v>
      </c>
      <c r="AB153">
        <f t="shared" si="8"/>
        <v>5471</v>
      </c>
    </row>
    <row r="154" spans="1:28" x14ac:dyDescent="0.2">
      <c r="A154" s="13">
        <v>2002</v>
      </c>
      <c r="B154" s="81"/>
      <c r="C154" s="81"/>
      <c r="D154" s="81"/>
      <c r="E154" s="458">
        <f>E7/$AB154</f>
        <v>0.75131086142322101</v>
      </c>
      <c r="F154" s="81"/>
      <c r="G154" s="458">
        <f>G7/$AB154</f>
        <v>1</v>
      </c>
      <c r="H154" s="81"/>
      <c r="I154" s="81"/>
      <c r="J154" s="81"/>
      <c r="K154" s="81"/>
      <c r="L154" s="81"/>
      <c r="M154" s="458">
        <f>M7/$AB154</f>
        <v>0.70861423220973785</v>
      </c>
      <c r="N154" s="81"/>
      <c r="O154" s="81"/>
      <c r="P154" s="458">
        <f>P7/$AB154</f>
        <v>0.44119850187265919</v>
      </c>
      <c r="Q154" s="81"/>
      <c r="R154" s="81"/>
      <c r="S154" s="81"/>
      <c r="T154" s="81"/>
      <c r="U154" s="458">
        <f>U7/$AB154</f>
        <v>0</v>
      </c>
      <c r="V154" s="81"/>
      <c r="W154" s="81"/>
      <c r="X154" s="81"/>
      <c r="Y154" s="81"/>
      <c r="Z154" s="81"/>
      <c r="AA154" s="13">
        <v>2847</v>
      </c>
      <c r="AB154">
        <f t="shared" si="8"/>
        <v>1335</v>
      </c>
    </row>
    <row r="155" spans="1:28" x14ac:dyDescent="0.2">
      <c r="A155" s="13">
        <v>2003</v>
      </c>
      <c r="B155" s="81"/>
      <c r="C155" s="81"/>
      <c r="D155" s="81"/>
      <c r="E155" s="432"/>
      <c r="F155" s="432"/>
      <c r="G155" s="432"/>
      <c r="H155" s="457">
        <f>H8/$AB155</f>
        <v>0.90013140604467801</v>
      </c>
      <c r="I155" s="432"/>
      <c r="J155" s="457">
        <f>J8/$AB155</f>
        <v>1</v>
      </c>
      <c r="K155" s="432"/>
      <c r="L155" s="457">
        <f>L8/$AB155</f>
        <v>0.62522996057818658</v>
      </c>
      <c r="M155" s="432"/>
      <c r="N155" s="432"/>
      <c r="O155" s="432"/>
      <c r="P155" s="432"/>
      <c r="Q155" s="457">
        <f>Q8/$AB155</f>
        <v>0.16938239159001314</v>
      </c>
      <c r="R155" s="432"/>
      <c r="S155" s="432"/>
      <c r="T155" s="432"/>
      <c r="U155" s="432"/>
      <c r="V155" s="81"/>
      <c r="W155" s="81"/>
      <c r="X155" s="81"/>
      <c r="Y155" s="81"/>
      <c r="Z155" s="81"/>
      <c r="AA155" s="13">
        <v>8948</v>
      </c>
      <c r="AB155">
        <f t="shared" si="8"/>
        <v>7610</v>
      </c>
    </row>
    <row r="156" spans="1:28" x14ac:dyDescent="0.2">
      <c r="A156" s="13">
        <v>2004</v>
      </c>
      <c r="B156" s="81"/>
      <c r="C156" s="81"/>
      <c r="D156" s="81"/>
      <c r="E156" s="81"/>
      <c r="F156" s="458">
        <f>F9/$AB156</f>
        <v>0.95604569977784826</v>
      </c>
      <c r="G156" s="81"/>
      <c r="H156" s="81"/>
      <c r="I156" s="458">
        <f>I9/$AB156</f>
        <v>0.91121866074262137</v>
      </c>
      <c r="J156" s="81"/>
      <c r="K156" s="81"/>
      <c r="L156" s="458">
        <f>L9/$AB156</f>
        <v>1</v>
      </c>
      <c r="M156" s="81"/>
      <c r="N156" s="81"/>
      <c r="O156" s="81"/>
      <c r="P156" s="81"/>
      <c r="Q156" s="458">
        <f>Q9/$AB156</f>
        <v>1.4915899714376388E-2</v>
      </c>
      <c r="R156" s="432"/>
      <c r="S156" s="81"/>
      <c r="T156" s="81"/>
      <c r="U156" s="458">
        <f>U9/$AB156</f>
        <v>3.1735956839098697E-4</v>
      </c>
      <c r="V156" s="81"/>
      <c r="W156" s="81"/>
      <c r="X156" s="81"/>
      <c r="Y156" s="81"/>
      <c r="Z156" s="81"/>
      <c r="AA156" s="13">
        <v>14128</v>
      </c>
      <c r="AB156">
        <f t="shared" si="8"/>
        <v>12604</v>
      </c>
    </row>
    <row r="157" spans="1:28" x14ac:dyDescent="0.2">
      <c r="A157" s="13">
        <v>2005</v>
      </c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13">
        <v>2173</v>
      </c>
      <c r="AB157">
        <f t="shared" si="8"/>
        <v>0</v>
      </c>
    </row>
    <row r="158" spans="1:28" x14ac:dyDescent="0.2">
      <c r="A158" s="13">
        <v>2006</v>
      </c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13">
        <v>5165</v>
      </c>
      <c r="AB158">
        <f t="shared" si="8"/>
        <v>0</v>
      </c>
    </row>
    <row r="159" spans="1:28" x14ac:dyDescent="0.2">
      <c r="A159" s="13">
        <v>2007</v>
      </c>
      <c r="B159" s="81"/>
      <c r="C159" s="81"/>
      <c r="D159" s="453">
        <f>D12/$AB159</f>
        <v>0.34006550218340609</v>
      </c>
      <c r="E159" s="81"/>
      <c r="F159" s="81"/>
      <c r="G159" s="453">
        <f>G12/$AB159</f>
        <v>0.46997816593886466</v>
      </c>
      <c r="H159" s="81"/>
      <c r="I159" s="454">
        <f>I12/$AB159</f>
        <v>1</v>
      </c>
      <c r="J159" s="81"/>
      <c r="K159" s="81"/>
      <c r="L159" s="81"/>
      <c r="M159" s="81"/>
      <c r="N159" s="81"/>
      <c r="O159" s="81"/>
      <c r="P159" s="81"/>
      <c r="Q159" s="453">
        <f>Q12/$AB159</f>
        <v>8.296943231441048E-2</v>
      </c>
      <c r="R159" s="459">
        <f>R12/$AB159</f>
        <v>0.14737991266375547</v>
      </c>
      <c r="S159" s="81"/>
      <c r="T159" s="453">
        <f>T12/$AB159</f>
        <v>6.5502183406113534E-3</v>
      </c>
      <c r="U159" s="81"/>
      <c r="V159" s="81"/>
      <c r="W159" s="81"/>
      <c r="X159" s="81"/>
      <c r="Y159" s="81"/>
      <c r="Z159" s="81"/>
      <c r="AA159" s="13">
        <v>2371</v>
      </c>
      <c r="AB159">
        <f t="shared" si="8"/>
        <v>1832</v>
      </c>
    </row>
    <row r="160" spans="1:28" x14ac:dyDescent="0.2">
      <c r="A160" s="13">
        <v>2008</v>
      </c>
      <c r="B160" s="81"/>
      <c r="C160" s="81"/>
      <c r="D160" s="81"/>
      <c r="E160" s="453">
        <f>E13/$AB160</f>
        <v>0.74381896912976675</v>
      </c>
      <c r="F160" s="81"/>
      <c r="G160" s="453">
        <f>G13/$AB160</f>
        <v>0.96465986869674536</v>
      </c>
      <c r="H160" s="81"/>
      <c r="I160" s="453">
        <f>I13/$AB160</f>
        <v>1</v>
      </c>
      <c r="J160" s="81"/>
      <c r="K160" s="453">
        <f>K13/$AB160</f>
        <v>0.78572426316524657</v>
      </c>
      <c r="L160" s="81"/>
      <c r="M160" s="81"/>
      <c r="N160" s="81"/>
      <c r="O160" s="459">
        <f>O13/$AB160</f>
        <v>0.1589607487079201</v>
      </c>
      <c r="P160" s="81"/>
      <c r="Q160" s="81"/>
      <c r="R160" s="453">
        <f>R13/$AB160</f>
        <v>7.5429529263863664E-3</v>
      </c>
      <c r="S160" s="81"/>
      <c r="T160" s="81"/>
      <c r="U160" s="81"/>
      <c r="V160" s="81"/>
      <c r="W160" s="81"/>
      <c r="X160" s="81"/>
      <c r="Y160" s="81"/>
      <c r="Z160" s="81"/>
      <c r="AA160" s="13">
        <v>7730</v>
      </c>
      <c r="AB160">
        <f t="shared" si="8"/>
        <v>7159</v>
      </c>
    </row>
    <row r="161" spans="1:28" x14ac:dyDescent="0.2">
      <c r="A161" s="13">
        <v>2009</v>
      </c>
      <c r="B161" s="81"/>
      <c r="C161" s="81"/>
      <c r="D161" s="81"/>
      <c r="E161" s="453">
        <f>E14/$AB161</f>
        <v>0.67234848484848486</v>
      </c>
      <c r="F161" s="81"/>
      <c r="G161" s="453">
        <f>G14/$AB161</f>
        <v>0.97765151515151516</v>
      </c>
      <c r="H161" s="81"/>
      <c r="I161" s="453">
        <f>I14/$AB161</f>
        <v>1</v>
      </c>
      <c r="J161" s="81"/>
      <c r="K161" s="81"/>
      <c r="L161" s="459">
        <f>L14/$AB161</f>
        <v>0.8473484848484848</v>
      </c>
      <c r="M161" s="81"/>
      <c r="N161" s="81"/>
      <c r="O161" s="81"/>
      <c r="P161" s="454">
        <f>P14/$AB161</f>
        <v>7.6136363636363641E-2</v>
      </c>
      <c r="Q161" s="81"/>
      <c r="R161" s="459">
        <f>R14/$AB161</f>
        <v>5.909090909090909E-2</v>
      </c>
      <c r="S161" s="81"/>
      <c r="T161" s="81"/>
      <c r="U161" s="81"/>
      <c r="V161" s="81"/>
      <c r="W161" s="453">
        <f>W14/$AB161</f>
        <v>0</v>
      </c>
      <c r="X161" s="81"/>
      <c r="Y161" s="81"/>
      <c r="Z161" s="81"/>
      <c r="AA161" s="13">
        <v>4700</v>
      </c>
      <c r="AB161">
        <f t="shared" si="8"/>
        <v>2640</v>
      </c>
    </row>
    <row r="162" spans="1:28" x14ac:dyDescent="0.2">
      <c r="A162" s="13">
        <v>2010</v>
      </c>
      <c r="B162" s="81"/>
      <c r="C162" s="81"/>
      <c r="D162" s="81"/>
      <c r="E162" s="453">
        <f>E15/$AB162</f>
        <v>0.96984011627906974</v>
      </c>
      <c r="F162" s="81"/>
      <c r="G162" s="453">
        <f>G15/$AB162</f>
        <v>1</v>
      </c>
      <c r="H162" s="81"/>
      <c r="I162" s="81"/>
      <c r="J162" s="460">
        <f>J15/$AB162</f>
        <v>0.93568313953488369</v>
      </c>
      <c r="K162" s="81"/>
      <c r="L162" s="459">
        <f>L15/$AB162</f>
        <v>0.49164244186046513</v>
      </c>
      <c r="M162" s="81"/>
      <c r="N162" s="81"/>
      <c r="O162" s="81"/>
      <c r="P162" s="454">
        <f>P15/$AB162</f>
        <v>0.18968023255813954</v>
      </c>
      <c r="Q162" s="81"/>
      <c r="R162" s="81"/>
      <c r="S162" s="453">
        <f>S15/$AB162</f>
        <v>1.0901162790697675E-2</v>
      </c>
      <c r="T162" s="81"/>
      <c r="U162" s="81"/>
      <c r="V162" s="81"/>
      <c r="W162" s="81"/>
      <c r="X162" s="81"/>
      <c r="Y162" s="81"/>
      <c r="Z162" s="81"/>
      <c r="AA162" s="13">
        <v>12580</v>
      </c>
      <c r="AB162">
        <f t="shared" si="8"/>
        <v>5504</v>
      </c>
    </row>
    <row r="163" spans="1:28" x14ac:dyDescent="0.2">
      <c r="A163" s="13">
        <v>2011</v>
      </c>
      <c r="B163" s="81"/>
      <c r="C163" s="81"/>
      <c r="D163" s="81"/>
      <c r="E163" s="81"/>
      <c r="F163" s="81"/>
      <c r="G163" s="81"/>
      <c r="H163" s="81"/>
      <c r="I163" s="453">
        <f>I16/$AB163</f>
        <v>0.88376044173863799</v>
      </c>
      <c r="J163" s="453">
        <f>J16/$AB163</f>
        <v>1</v>
      </c>
      <c r="K163" s="453">
        <f>K16/$AB163</f>
        <v>0.90372363018547364</v>
      </c>
      <c r="L163" s="81"/>
      <c r="M163" s="81"/>
      <c r="N163" s="81"/>
      <c r="O163" s="81"/>
      <c r="P163" s="81"/>
      <c r="Q163" s="453">
        <f>Q16/$AB163</f>
        <v>8.6931898626645895E-2</v>
      </c>
      <c r="R163" s="81"/>
      <c r="S163" s="81"/>
      <c r="T163" s="81"/>
      <c r="U163" s="81"/>
      <c r="V163" s="81"/>
      <c r="W163" s="81"/>
      <c r="X163" s="81"/>
      <c r="Y163" s="81"/>
      <c r="Z163" s="81"/>
      <c r="AA163" s="13">
        <v>9784</v>
      </c>
      <c r="AB163">
        <f t="shared" si="8"/>
        <v>7063</v>
      </c>
    </row>
    <row r="164" spans="1:28" x14ac:dyDescent="0.2">
      <c r="A164" s="13">
        <v>2012</v>
      </c>
      <c r="B164" s="81"/>
      <c r="C164" s="81"/>
      <c r="D164" s="81"/>
      <c r="E164" s="81"/>
      <c r="F164" s="81"/>
      <c r="G164" s="81"/>
      <c r="H164" s="81"/>
      <c r="I164" s="81"/>
      <c r="J164" s="453">
        <f>J17/$AB164</f>
        <v>1</v>
      </c>
      <c r="K164" s="81"/>
      <c r="L164" s="81"/>
      <c r="M164" s="81"/>
      <c r="N164" s="81"/>
      <c r="O164" s="81"/>
      <c r="P164" s="81"/>
      <c r="Q164" s="81"/>
      <c r="R164" s="453">
        <f>R17/$AB164</f>
        <v>1.3814203597255702E-2</v>
      </c>
      <c r="S164" s="81"/>
      <c r="T164" s="81"/>
      <c r="U164" s="81"/>
      <c r="V164" s="81"/>
      <c r="W164" s="81"/>
      <c r="X164" s="81"/>
      <c r="Y164" s="81"/>
      <c r="Z164" s="81"/>
      <c r="AA164" s="13">
        <v>11020</v>
      </c>
      <c r="AB164">
        <f t="shared" si="8"/>
        <v>10786</v>
      </c>
    </row>
    <row r="165" spans="1:28" x14ac:dyDescent="0.2">
      <c r="A165" s="13">
        <v>2013</v>
      </c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453"/>
      <c r="R165" s="81"/>
      <c r="S165" s="81"/>
      <c r="T165" s="81"/>
      <c r="U165" s="81"/>
      <c r="V165" s="81"/>
      <c r="W165" s="81"/>
      <c r="X165" s="81"/>
      <c r="Y165" s="81"/>
      <c r="Z165" s="81"/>
      <c r="AA165" s="13">
        <v>1630</v>
      </c>
      <c r="AB165">
        <f t="shared" si="8"/>
        <v>1630</v>
      </c>
    </row>
    <row r="166" spans="1:28" x14ac:dyDescent="0.2">
      <c r="A166" s="13">
        <v>2014</v>
      </c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453"/>
      <c r="O166" s="81"/>
      <c r="P166" s="81"/>
      <c r="Q166" s="81"/>
      <c r="R166" s="81"/>
      <c r="S166" s="81"/>
      <c r="T166" s="81"/>
      <c r="U166" s="81"/>
      <c r="V166" s="453"/>
      <c r="W166" s="81"/>
      <c r="X166" s="81"/>
      <c r="Y166" s="81"/>
      <c r="Z166" s="81"/>
      <c r="AA166" s="13">
        <v>1698</v>
      </c>
      <c r="AB166">
        <f t="shared" si="8"/>
        <v>1567</v>
      </c>
    </row>
    <row r="167" spans="1:28" x14ac:dyDescent="0.2">
      <c r="A167" s="13">
        <v>2015</v>
      </c>
      <c r="B167" s="81"/>
      <c r="C167" s="81"/>
      <c r="D167" s="81"/>
      <c r="E167" s="81"/>
      <c r="F167" s="81"/>
      <c r="G167" s="81"/>
      <c r="H167" s="81"/>
      <c r="I167" s="81"/>
      <c r="J167" s="453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453"/>
      <c r="V167" s="81"/>
      <c r="W167" s="81"/>
      <c r="X167" s="81"/>
      <c r="Y167" s="81"/>
      <c r="Z167" s="81"/>
      <c r="AA167" s="13">
        <v>1445</v>
      </c>
      <c r="AB167">
        <f t="shared" si="8"/>
        <v>1301</v>
      </c>
    </row>
    <row r="168" spans="1:28" x14ac:dyDescent="0.2">
      <c r="A168" s="13">
        <v>2016</v>
      </c>
      <c r="B168" s="81"/>
      <c r="C168" s="81"/>
      <c r="D168" s="81"/>
      <c r="E168" s="81"/>
      <c r="F168" s="81"/>
      <c r="G168" s="453">
        <f>G21/$AB168</f>
        <v>0.68518518518518523</v>
      </c>
      <c r="H168" s="81"/>
      <c r="I168" s="81"/>
      <c r="J168" s="453">
        <f>J21/$AB168</f>
        <v>1</v>
      </c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453">
        <f>V21/$AB168</f>
        <v>1.1574074074074073E-3</v>
      </c>
      <c r="W168" s="81"/>
      <c r="X168" s="453">
        <f>X21/$AB168</f>
        <v>0</v>
      </c>
      <c r="Y168" s="81"/>
      <c r="Z168" s="81"/>
      <c r="AA168" s="13">
        <v>2500</v>
      </c>
      <c r="AB168">
        <f t="shared" si="8"/>
        <v>2592</v>
      </c>
    </row>
    <row r="169" spans="1:28" x14ac:dyDescent="0.2">
      <c r="A169" s="13">
        <v>2017</v>
      </c>
      <c r="B169" s="81"/>
      <c r="C169" s="81"/>
      <c r="D169" s="81"/>
      <c r="E169" s="81"/>
      <c r="F169" s="81"/>
      <c r="G169" s="81"/>
      <c r="H169" s="453">
        <f>H22/$AB169</f>
        <v>0.88753195115024142</v>
      </c>
      <c r="I169" s="81"/>
      <c r="J169" s="81"/>
      <c r="K169" s="81"/>
      <c r="L169" s="453">
        <f>L22/$AB169</f>
        <v>1</v>
      </c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13"/>
      <c r="AB169">
        <f t="shared" si="8"/>
        <v>3521</v>
      </c>
    </row>
    <row r="170" spans="1:28" x14ac:dyDescent="0.2">
      <c r="A170" s="13">
        <v>2018</v>
      </c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13"/>
    </row>
    <row r="171" spans="1:28" x14ac:dyDescent="0.2">
      <c r="A171" s="13">
        <v>2019</v>
      </c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13"/>
    </row>
    <row r="172" spans="1:28" x14ac:dyDescent="0.2">
      <c r="A172" s="13">
        <v>2020</v>
      </c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13"/>
    </row>
    <row r="173" spans="1:28" x14ac:dyDescent="0.2">
      <c r="A173" s="13">
        <v>2021</v>
      </c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13"/>
    </row>
    <row r="174" spans="1:28" x14ac:dyDescent="0.2">
      <c r="A174" s="13">
        <v>2022</v>
      </c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13"/>
    </row>
    <row r="175" spans="1:28" x14ac:dyDescent="0.2">
      <c r="A175" s="64" t="s">
        <v>17</v>
      </c>
      <c r="B175" s="85">
        <f>AVERAGE(B151:B168)</f>
        <v>0.65033814659111677</v>
      </c>
      <c r="C175" s="85"/>
      <c r="D175" s="85">
        <f t="shared" ref="D175:M175" si="9">AVERAGE(D151:D168)</f>
        <v>0.75565090857524009</v>
      </c>
      <c r="E175" s="85">
        <f t="shared" si="9"/>
        <v>0.78432960792013562</v>
      </c>
      <c r="F175" s="85">
        <f t="shared" si="9"/>
        <v>0.97802284988892407</v>
      </c>
      <c r="G175" s="85">
        <f t="shared" si="9"/>
        <v>0.801390417637877</v>
      </c>
      <c r="H175" s="85">
        <f t="shared" si="9"/>
        <v>0.90013140604467801</v>
      </c>
      <c r="I175" s="85">
        <f t="shared" si="9"/>
        <v>0.931769406830665</v>
      </c>
      <c r="J175" s="85">
        <f t="shared" si="9"/>
        <v>0.91749486048740148</v>
      </c>
      <c r="K175" s="85">
        <f t="shared" si="9"/>
        <v>0.8447239466753601</v>
      </c>
      <c r="L175" s="85">
        <f t="shared" si="9"/>
        <v>0.7928441774574273</v>
      </c>
      <c r="M175" s="85">
        <f t="shared" si="9"/>
        <v>0.36415927426115896</v>
      </c>
      <c r="N175" s="85">
        <f t="shared" ref="N175:X175" si="10">AVERAGE(N151:N168)</f>
        <v>0.42549842602308502</v>
      </c>
      <c r="O175" s="85">
        <f t="shared" si="10"/>
        <v>8.9794161506931244E-2</v>
      </c>
      <c r="P175" s="85">
        <f t="shared" si="10"/>
        <v>0.28076741565005398</v>
      </c>
      <c r="Q175" s="85">
        <f t="shared" si="10"/>
        <v>8.8549905561361483E-2</v>
      </c>
      <c r="R175" s="85">
        <f t="shared" si="10"/>
        <v>6.1808265012759531E-2</v>
      </c>
      <c r="S175" s="85">
        <f t="shared" si="10"/>
        <v>1.0901162790697675E-2</v>
      </c>
      <c r="T175" s="85">
        <f t="shared" si="10"/>
        <v>2.5420031652090189E-3</v>
      </c>
      <c r="U175" s="85">
        <f t="shared" si="10"/>
        <v>1.0578652279699566E-4</v>
      </c>
      <c r="V175" s="85">
        <f t="shared" si="10"/>
        <v>5.7870370370370367E-4</v>
      </c>
      <c r="W175" s="85">
        <f t="shared" si="10"/>
        <v>1.0761019283746557E-5</v>
      </c>
      <c r="X175" s="85">
        <f t="shared" si="10"/>
        <v>0</v>
      </c>
      <c r="Y175" s="85"/>
      <c r="Z175" s="85"/>
      <c r="AA175" s="13"/>
    </row>
    <row r="176" spans="1:28" x14ac:dyDescent="0.2">
      <c r="B176" s="462" t="s">
        <v>399</v>
      </c>
      <c r="C176" s="462" t="s">
        <v>400</v>
      </c>
      <c r="D176" s="462" t="s">
        <v>401</v>
      </c>
      <c r="E176" s="462" t="s">
        <v>66</v>
      </c>
      <c r="F176" s="462" t="s">
        <v>67</v>
      </c>
      <c r="G176" s="462" t="s">
        <v>68</v>
      </c>
      <c r="H176" s="462" t="s">
        <v>69</v>
      </c>
      <c r="I176" s="462" t="s">
        <v>70</v>
      </c>
      <c r="J176" s="462" t="s">
        <v>71</v>
      </c>
      <c r="K176" s="462" t="s">
        <v>72</v>
      </c>
      <c r="L176" s="462" t="s">
        <v>73</v>
      </c>
      <c r="M176" s="462" t="s">
        <v>74</v>
      </c>
      <c r="N176" s="462" t="s">
        <v>75</v>
      </c>
      <c r="O176" s="462" t="s">
        <v>76</v>
      </c>
      <c r="P176" s="462" t="s">
        <v>77</v>
      </c>
      <c r="Q176" s="462" t="s">
        <v>78</v>
      </c>
      <c r="R176" s="462" t="s">
        <v>79</v>
      </c>
      <c r="S176" s="462" t="s">
        <v>80</v>
      </c>
      <c r="T176" s="462" t="s">
        <v>81</v>
      </c>
      <c r="U176" s="462" t="s">
        <v>82</v>
      </c>
      <c r="V176" s="462" t="s">
        <v>83</v>
      </c>
      <c r="W176" s="462" t="s">
        <v>84</v>
      </c>
      <c r="X176" s="462" t="s">
        <v>85</v>
      </c>
      <c r="Y176" s="462" t="s">
        <v>86</v>
      </c>
      <c r="Z176" s="462" t="s">
        <v>87</v>
      </c>
    </row>
    <row r="177" spans="1:28" x14ac:dyDescent="0.2">
      <c r="B177" s="432">
        <v>0.65033814659111677</v>
      </c>
      <c r="C177" s="432"/>
      <c r="D177" s="432">
        <v>0.75565090857524009</v>
      </c>
      <c r="E177" s="432">
        <v>0.78432960792013562</v>
      </c>
      <c r="F177" s="432">
        <v>0.97802284988892407</v>
      </c>
      <c r="G177" s="432">
        <v>0.801390417637877</v>
      </c>
      <c r="H177" s="432">
        <v>0.90013140604467801</v>
      </c>
      <c r="I177" s="432">
        <v>0.931769406830665</v>
      </c>
      <c r="J177" s="432">
        <v>0.92780800292647625</v>
      </c>
      <c r="K177" s="432">
        <v>0.8447239466753601</v>
      </c>
      <c r="L177" s="432">
        <v>0.7928441774574273</v>
      </c>
      <c r="M177" s="432">
        <v>0.36415927426115896</v>
      </c>
      <c r="N177" s="432">
        <v>0.42549842602308502</v>
      </c>
      <c r="O177" s="432">
        <v>8.9794161506931244E-2</v>
      </c>
      <c r="P177" s="432">
        <v>0.28076741565005398</v>
      </c>
      <c r="Q177" s="432">
        <v>8.8549905561361483E-2</v>
      </c>
      <c r="R177" s="432">
        <v>6.1808265012759531E-2</v>
      </c>
      <c r="S177" s="432">
        <v>1.0901162790697675E-2</v>
      </c>
      <c r="T177" s="432">
        <v>2.5420031652090189E-3</v>
      </c>
      <c r="U177" s="432">
        <v>4.3068571864866784E-3</v>
      </c>
      <c r="V177" s="432">
        <v>3.8580246913580245E-4</v>
      </c>
      <c r="W177" s="432">
        <v>1.0761019283746557E-5</v>
      </c>
      <c r="X177" s="432">
        <v>0</v>
      </c>
    </row>
    <row r="178" spans="1:28" ht="13.5" thickBot="1" x14ac:dyDescent="0.25">
      <c r="A178" s="93" t="s">
        <v>326</v>
      </c>
      <c r="B178" s="93"/>
      <c r="C178" s="93"/>
      <c r="D178" s="93"/>
    </row>
    <row r="179" spans="1:28" ht="13.5" thickTop="1" x14ac:dyDescent="0.2">
      <c r="A179" s="1004" t="s">
        <v>0</v>
      </c>
      <c r="B179" s="448"/>
      <c r="C179" s="448"/>
      <c r="D179" s="448"/>
      <c r="E179" s="1006" t="s">
        <v>1</v>
      </c>
      <c r="F179" s="1006"/>
      <c r="G179" s="1006"/>
      <c r="H179" s="1006"/>
      <c r="I179" s="1006"/>
      <c r="J179" s="1006"/>
      <c r="K179" s="1006"/>
      <c r="L179" s="1006"/>
      <c r="M179" s="1006"/>
      <c r="N179" s="1006"/>
      <c r="O179" s="1006"/>
      <c r="P179" s="1006"/>
      <c r="Q179" s="1006"/>
      <c r="R179" s="1006"/>
      <c r="S179" s="1006"/>
      <c r="T179" s="1006"/>
      <c r="U179" s="1006"/>
      <c r="V179" s="1006"/>
      <c r="W179" s="1006"/>
      <c r="X179" s="1006"/>
      <c r="Y179" s="1006"/>
      <c r="Z179" s="1006"/>
      <c r="AA179" s="1004" t="s">
        <v>2</v>
      </c>
    </row>
    <row r="180" spans="1:28" x14ac:dyDescent="0.2">
      <c r="A180" s="1005"/>
      <c r="B180" s="18">
        <v>73</v>
      </c>
      <c r="C180" s="18">
        <v>74</v>
      </c>
      <c r="D180" s="18">
        <v>75</v>
      </c>
      <c r="E180" s="18">
        <v>81</v>
      </c>
      <c r="F180" s="18">
        <v>82</v>
      </c>
      <c r="G180" s="18">
        <v>83</v>
      </c>
      <c r="H180" s="18">
        <v>84</v>
      </c>
      <c r="I180" s="18">
        <v>91</v>
      </c>
      <c r="J180" s="18">
        <v>92</v>
      </c>
      <c r="K180" s="18">
        <v>93</v>
      </c>
      <c r="L180" s="18">
        <v>94</v>
      </c>
      <c r="M180" s="18">
        <v>101</v>
      </c>
      <c r="N180" s="18">
        <v>102</v>
      </c>
      <c r="O180" s="18">
        <v>103</v>
      </c>
      <c r="P180" s="18">
        <v>104</v>
      </c>
      <c r="Q180" s="18">
        <v>105</v>
      </c>
      <c r="R180" s="18">
        <v>111</v>
      </c>
      <c r="S180" s="18">
        <v>112</v>
      </c>
      <c r="T180" s="18">
        <v>113</v>
      </c>
      <c r="U180" s="18">
        <v>114</v>
      </c>
      <c r="V180" s="18">
        <v>115</v>
      </c>
      <c r="W180" s="18">
        <v>121</v>
      </c>
      <c r="X180" s="18">
        <v>122</v>
      </c>
      <c r="Y180" s="18">
        <v>123</v>
      </c>
      <c r="Z180" s="18">
        <v>124</v>
      </c>
      <c r="AA180" s="1005"/>
    </row>
    <row r="181" spans="1:28" x14ac:dyDescent="0.2">
      <c r="A181" s="13">
        <v>1995</v>
      </c>
      <c r="B181" s="81"/>
      <c r="C181" s="81"/>
      <c r="D181" s="81"/>
      <c r="E181" s="81"/>
      <c r="F181" s="81"/>
      <c r="G181" s="81"/>
      <c r="H181" s="450">
        <f>H35/$AB181</f>
        <v>3.4346624555862612E-2</v>
      </c>
      <c r="I181" s="81"/>
      <c r="J181" s="450">
        <f>J35/$AB181</f>
        <v>2.0923805763916305E-2</v>
      </c>
      <c r="K181" s="81"/>
      <c r="L181" s="450">
        <f>L35/$AB181</f>
        <v>2.6845637583892617E-2</v>
      </c>
      <c r="M181" s="450">
        <f>M35/$AB181</f>
        <v>0.17686537702329252</v>
      </c>
      <c r="N181" s="81"/>
      <c r="O181" s="81"/>
      <c r="P181" s="81"/>
      <c r="Q181" s="450">
        <f>Q35/$AB181</f>
        <v>1</v>
      </c>
      <c r="R181" s="81"/>
      <c r="S181" s="81"/>
      <c r="T181" s="81"/>
      <c r="U181" s="81"/>
      <c r="V181" s="81"/>
      <c r="W181" s="81"/>
      <c r="X181" s="81"/>
      <c r="Y181" s="81"/>
      <c r="Z181" s="81"/>
      <c r="AB181">
        <f t="shared" ref="AB181:AB203" si="11">MAX(B35:Z35)</f>
        <v>2533</v>
      </c>
    </row>
    <row r="182" spans="1:28" x14ac:dyDescent="0.2">
      <c r="A182" s="13">
        <v>1996</v>
      </c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>
        <v>300</v>
      </c>
      <c r="AB182">
        <f t="shared" si="11"/>
        <v>0</v>
      </c>
    </row>
    <row r="183" spans="1:28" x14ac:dyDescent="0.2">
      <c r="A183" s="13">
        <v>1997</v>
      </c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B183">
        <f t="shared" si="11"/>
        <v>0</v>
      </c>
    </row>
    <row r="184" spans="1:28" x14ac:dyDescent="0.2">
      <c r="A184" s="13">
        <v>1998</v>
      </c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450">
        <f>P38/$AB184</f>
        <v>0.52187931828650391</v>
      </c>
      <c r="Q184" s="81"/>
      <c r="R184" s="450">
        <f>R38/$AB184</f>
        <v>1</v>
      </c>
      <c r="S184" s="81"/>
      <c r="T184" s="81"/>
      <c r="U184" s="81"/>
      <c r="V184" s="451"/>
      <c r="W184" s="450">
        <f>W38/$AB184</f>
        <v>0.12206356517733763</v>
      </c>
      <c r="X184" s="81"/>
      <c r="Y184" s="81"/>
      <c r="Z184" s="81"/>
      <c r="AB184">
        <f t="shared" si="11"/>
        <v>2171</v>
      </c>
    </row>
    <row r="185" spans="1:28" x14ac:dyDescent="0.2">
      <c r="A185" s="13">
        <v>1999</v>
      </c>
      <c r="B185" s="81"/>
      <c r="C185" s="81"/>
      <c r="D185" s="81"/>
      <c r="E185" s="81"/>
      <c r="F185" s="81"/>
      <c r="G185" s="450">
        <f>G39/$AB185</f>
        <v>5.5776892430278889E-3</v>
      </c>
      <c r="H185" s="81"/>
      <c r="I185" s="81"/>
      <c r="J185" s="450">
        <f>J39/$AB185</f>
        <v>1.5139442231075698E-2</v>
      </c>
      <c r="K185" s="81"/>
      <c r="L185" s="450">
        <f>L39/$AB185</f>
        <v>3.1872509960159362E-2</v>
      </c>
      <c r="M185" s="81"/>
      <c r="N185" s="450">
        <f>N39/$AB185</f>
        <v>0.10278884462151394</v>
      </c>
      <c r="O185" s="81"/>
      <c r="P185" s="450">
        <f>P39/$AB185</f>
        <v>0.62231075697211158</v>
      </c>
      <c r="Q185" s="81"/>
      <c r="R185" s="450">
        <f>R39/$AB185</f>
        <v>1</v>
      </c>
      <c r="S185" s="81"/>
      <c r="T185" s="81"/>
      <c r="U185" s="450">
        <f>U39/$AB185</f>
        <v>0.92270916334661357</v>
      </c>
      <c r="V185" s="81"/>
      <c r="W185" s="450">
        <f>W39/$AB185</f>
        <v>0.61354581673306774</v>
      </c>
      <c r="X185" s="81"/>
      <c r="Y185" s="81"/>
      <c r="Z185" s="81"/>
      <c r="AA185">
        <v>1255</v>
      </c>
      <c r="AB185">
        <f t="shared" si="11"/>
        <v>1255</v>
      </c>
    </row>
    <row r="186" spans="1:28" x14ac:dyDescent="0.2">
      <c r="A186" s="13">
        <v>2000</v>
      </c>
      <c r="B186" s="81"/>
      <c r="C186" s="432"/>
      <c r="D186" s="452">
        <f>D40/$AB186</f>
        <v>0</v>
      </c>
      <c r="E186" s="432"/>
      <c r="F186" s="432"/>
      <c r="G186" s="452">
        <f>G40/$AB186</f>
        <v>0</v>
      </c>
      <c r="H186" s="432"/>
      <c r="I186" s="452">
        <f>I40/$AB186</f>
        <v>5.966587112171838E-4</v>
      </c>
      <c r="J186" s="452">
        <f>J40/$AB186</f>
        <v>5.966587112171838E-4</v>
      </c>
      <c r="K186" s="432"/>
      <c r="L186" s="432"/>
      <c r="M186" s="452">
        <f>M40/$AB186</f>
        <v>4.7732696897374704E-3</v>
      </c>
      <c r="N186" s="81"/>
      <c r="O186" s="450">
        <f>O40/$AB186</f>
        <v>1.9689737470167064E-2</v>
      </c>
      <c r="P186" s="81"/>
      <c r="Q186" s="81"/>
      <c r="R186" s="450">
        <f>R40/$AB186</f>
        <v>0.76670644391408116</v>
      </c>
      <c r="S186" s="81"/>
      <c r="T186" s="81"/>
      <c r="U186" s="81"/>
      <c r="V186" s="81"/>
      <c r="W186" s="450">
        <f>W40/$AB186</f>
        <v>1</v>
      </c>
      <c r="X186" s="450"/>
      <c r="Y186" s="81"/>
      <c r="Z186" s="81"/>
      <c r="AA186">
        <v>2114</v>
      </c>
      <c r="AB186">
        <f t="shared" si="11"/>
        <v>1676</v>
      </c>
    </row>
    <row r="187" spans="1:28" x14ac:dyDescent="0.2">
      <c r="A187" s="13">
        <v>2001</v>
      </c>
      <c r="B187" s="450">
        <f>B41/$AB187</f>
        <v>0</v>
      </c>
      <c r="C187" s="81"/>
      <c r="D187" s="450">
        <f>D41/$AB187</f>
        <v>0</v>
      </c>
      <c r="E187" s="81"/>
      <c r="F187" s="450">
        <f>F41/$AB187</f>
        <v>0</v>
      </c>
      <c r="G187" s="81"/>
      <c r="H187" s="81"/>
      <c r="I187" s="450">
        <f>I41/$AB187</f>
        <v>1.3236267372600927E-3</v>
      </c>
      <c r="J187" s="81"/>
      <c r="K187" s="81"/>
      <c r="L187" s="81"/>
      <c r="M187" s="450">
        <f>M41/$AB187</f>
        <v>1.1912640635340834E-2</v>
      </c>
      <c r="N187" s="81"/>
      <c r="O187" s="450">
        <f>O41/$AB187</f>
        <v>0.128391793514229</v>
      </c>
      <c r="P187" s="81"/>
      <c r="Q187" s="81"/>
      <c r="R187" s="450">
        <f>R41/$AB187</f>
        <v>0.98676373262739903</v>
      </c>
      <c r="S187" s="81"/>
      <c r="T187" s="450">
        <f>T41/$AB187</f>
        <v>1</v>
      </c>
      <c r="U187" s="81"/>
      <c r="V187" s="450">
        <f>V41/$AB187</f>
        <v>0.92587690271343481</v>
      </c>
      <c r="W187" s="81"/>
      <c r="X187" s="450">
        <f>X41/$AB187</f>
        <v>0.14493712772998016</v>
      </c>
      <c r="Y187" s="81"/>
      <c r="Z187" s="81"/>
      <c r="AA187">
        <v>1693</v>
      </c>
      <c r="AB187">
        <f t="shared" si="11"/>
        <v>1511</v>
      </c>
    </row>
    <row r="188" spans="1:28" x14ac:dyDescent="0.2">
      <c r="A188" s="13">
        <v>2002</v>
      </c>
      <c r="B188" s="81"/>
      <c r="C188" s="81"/>
      <c r="D188" s="81"/>
      <c r="E188" s="450">
        <f>E42/$AB188</f>
        <v>0</v>
      </c>
      <c r="F188" s="81"/>
      <c r="G188" s="450">
        <f>G42/$AB188</f>
        <v>0</v>
      </c>
      <c r="H188" s="81"/>
      <c r="I188" s="81"/>
      <c r="J188" s="81"/>
      <c r="K188" s="81"/>
      <c r="L188" s="81"/>
      <c r="M188" s="450">
        <f>M42/$AB188</f>
        <v>1.8018018018018018E-2</v>
      </c>
      <c r="N188" s="81"/>
      <c r="O188" s="81"/>
      <c r="P188" s="450">
        <f>P42/$AB188</f>
        <v>0.12660028449502134</v>
      </c>
      <c r="Q188" s="81"/>
      <c r="R188" s="81"/>
      <c r="S188" s="81"/>
      <c r="T188" s="81"/>
      <c r="U188" s="450">
        <f>U42/$AB188</f>
        <v>1</v>
      </c>
      <c r="V188" s="81"/>
      <c r="W188" s="81"/>
      <c r="X188" s="81"/>
      <c r="Y188" s="81"/>
      <c r="Z188" s="81"/>
      <c r="AA188">
        <v>2724</v>
      </c>
      <c r="AB188">
        <f t="shared" si="11"/>
        <v>2109</v>
      </c>
    </row>
    <row r="189" spans="1:28" x14ac:dyDescent="0.2">
      <c r="A189" s="13">
        <v>2003</v>
      </c>
      <c r="B189" s="81"/>
      <c r="C189" s="81"/>
      <c r="D189" s="81"/>
      <c r="E189" s="81"/>
      <c r="F189" s="81"/>
      <c r="G189" s="81"/>
      <c r="H189" s="450">
        <f>H43/$AB189</f>
        <v>0</v>
      </c>
      <c r="I189" s="81"/>
      <c r="J189" s="450">
        <f>J43/$AB189</f>
        <v>0</v>
      </c>
      <c r="K189" s="81"/>
      <c r="L189" s="450">
        <f>L43/$AB189</f>
        <v>3.8126361655773421E-3</v>
      </c>
      <c r="M189" s="81"/>
      <c r="N189" s="81"/>
      <c r="O189" s="81"/>
      <c r="P189" s="81"/>
      <c r="Q189" s="450">
        <f>Q43/$AB189</f>
        <v>1</v>
      </c>
      <c r="R189" s="81"/>
      <c r="S189" s="81"/>
      <c r="T189" s="81"/>
      <c r="U189" s="81"/>
      <c r="V189" s="81"/>
      <c r="W189" s="81"/>
      <c r="X189" s="81"/>
      <c r="Y189" s="81"/>
      <c r="Z189" s="81"/>
      <c r="AA189">
        <v>1873</v>
      </c>
      <c r="AB189">
        <f t="shared" si="11"/>
        <v>1836</v>
      </c>
    </row>
    <row r="190" spans="1:28" x14ac:dyDescent="0.2">
      <c r="A190" s="13">
        <v>2004</v>
      </c>
      <c r="B190" s="81"/>
      <c r="C190" s="81"/>
      <c r="D190" s="81"/>
      <c r="E190" s="81"/>
      <c r="F190" s="450">
        <f>F44/$AB190</f>
        <v>0</v>
      </c>
      <c r="G190" s="81"/>
      <c r="H190" s="81"/>
      <c r="I190" s="450">
        <f>I44/$AB190</f>
        <v>0</v>
      </c>
      <c r="J190" s="81"/>
      <c r="K190" s="451"/>
      <c r="L190" s="450">
        <f>L44/$AB190</f>
        <v>2.9393370856785492E-2</v>
      </c>
      <c r="M190" s="81"/>
      <c r="N190" s="81"/>
      <c r="O190" s="81"/>
      <c r="P190" s="81"/>
      <c r="Q190" s="450">
        <f>Q44/$AB190</f>
        <v>0.55909943714821764</v>
      </c>
      <c r="R190" s="81"/>
      <c r="S190" s="81"/>
      <c r="T190" s="81"/>
      <c r="U190" s="450">
        <f>U44/$AB190</f>
        <v>1</v>
      </c>
      <c r="V190" s="81"/>
      <c r="W190" s="81"/>
      <c r="X190" s="81"/>
      <c r="Y190" s="81"/>
      <c r="Z190" s="81"/>
      <c r="AA190">
        <v>1801</v>
      </c>
      <c r="AB190">
        <f t="shared" si="11"/>
        <v>1599</v>
      </c>
    </row>
    <row r="191" spans="1:28" x14ac:dyDescent="0.2">
      <c r="A191" s="13">
        <v>2005</v>
      </c>
      <c r="B191" s="81"/>
      <c r="C191" s="81"/>
      <c r="D191" s="81"/>
      <c r="E191" s="81"/>
      <c r="F191" s="81"/>
      <c r="G191" s="81"/>
      <c r="H191" s="450">
        <f>H45/$AB191</f>
        <v>0</v>
      </c>
      <c r="I191" s="81"/>
      <c r="J191" s="450">
        <f>J45/$AB191</f>
        <v>0</v>
      </c>
      <c r="K191" s="450">
        <f>K45/$AB191</f>
        <v>0</v>
      </c>
      <c r="L191" s="81"/>
      <c r="M191" s="81"/>
      <c r="N191" s="81"/>
      <c r="O191" s="81"/>
      <c r="P191" s="81"/>
      <c r="Q191" s="81"/>
      <c r="R191" s="81"/>
      <c r="S191" s="81"/>
      <c r="T191" s="450">
        <f>T45/$AB191</f>
        <v>1</v>
      </c>
      <c r="U191" s="81"/>
      <c r="V191" s="81"/>
      <c r="W191" s="81"/>
      <c r="X191" s="81"/>
      <c r="Y191" s="81"/>
      <c r="Z191" s="81"/>
      <c r="AA191">
        <v>2040</v>
      </c>
      <c r="AB191">
        <f t="shared" si="11"/>
        <v>1932</v>
      </c>
    </row>
    <row r="192" spans="1:28" x14ac:dyDescent="0.2">
      <c r="A192" s="13">
        <v>2006</v>
      </c>
      <c r="B192" s="81"/>
      <c r="C192" s="81"/>
      <c r="D192" s="81"/>
      <c r="E192" s="81"/>
      <c r="F192" s="81"/>
      <c r="G192" s="450">
        <f>G46/$AB192</f>
        <v>0</v>
      </c>
      <c r="H192" s="81"/>
      <c r="I192" s="450">
        <f>I46/$AB192</f>
        <v>0</v>
      </c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450">
        <f>V46/$AB192</f>
        <v>1</v>
      </c>
      <c r="W192" s="81"/>
      <c r="X192" s="81"/>
      <c r="Y192" s="81"/>
      <c r="Z192" s="81"/>
      <c r="AA192">
        <v>274</v>
      </c>
      <c r="AB192">
        <f t="shared" si="11"/>
        <v>269</v>
      </c>
    </row>
    <row r="193" spans="1:28" x14ac:dyDescent="0.2">
      <c r="A193" s="13">
        <v>2007</v>
      </c>
      <c r="B193" s="81"/>
      <c r="C193" s="81"/>
      <c r="D193" s="450">
        <f>D47/$AB193</f>
        <v>0</v>
      </c>
      <c r="E193" s="81"/>
      <c r="F193" s="81"/>
      <c r="G193" s="450">
        <f>G47/$AB193</f>
        <v>0</v>
      </c>
      <c r="H193" s="81"/>
      <c r="I193" s="450">
        <f>I47/$AB193</f>
        <v>1.0799136069114472E-3</v>
      </c>
      <c r="J193" s="81"/>
      <c r="K193" s="81"/>
      <c r="L193" s="81"/>
      <c r="M193" s="81"/>
      <c r="N193" s="81"/>
      <c r="O193" s="81"/>
      <c r="P193" s="81"/>
      <c r="Q193" s="450">
        <f>Q47/$AB193</f>
        <v>0.66846652267818574</v>
      </c>
      <c r="R193" s="450">
        <f>R47/$AB193</f>
        <v>0.9967602591792657</v>
      </c>
      <c r="S193" s="81"/>
      <c r="T193" s="450">
        <f>T47/$AB193</f>
        <v>1</v>
      </c>
      <c r="U193" s="81"/>
      <c r="V193" s="81"/>
      <c r="W193" s="81"/>
      <c r="X193" s="81"/>
      <c r="Y193" s="81"/>
      <c r="Z193" s="81"/>
      <c r="AA193">
        <v>1185</v>
      </c>
      <c r="AB193">
        <f t="shared" si="11"/>
        <v>926</v>
      </c>
    </row>
    <row r="194" spans="1:28" x14ac:dyDescent="0.2">
      <c r="A194" s="13">
        <v>2008</v>
      </c>
      <c r="B194" s="81"/>
      <c r="C194" s="81"/>
      <c r="D194" s="81"/>
      <c r="E194" s="453">
        <f>E48/$AB194</f>
        <v>0</v>
      </c>
      <c r="F194" s="81"/>
      <c r="G194" s="453">
        <f>G48/$AB194</f>
        <v>0</v>
      </c>
      <c r="H194" s="81"/>
      <c r="I194" s="453">
        <f>I48/$AB194</f>
        <v>2.7835768963117608E-3</v>
      </c>
      <c r="J194" s="81"/>
      <c r="K194" s="453">
        <f>K48/$AB194</f>
        <v>3.2011134307585246E-2</v>
      </c>
      <c r="L194" s="81"/>
      <c r="M194" s="81"/>
      <c r="N194" s="81"/>
      <c r="O194" s="453">
        <f>O48/$AB194</f>
        <v>0.74739039665970775</v>
      </c>
      <c r="P194" s="81"/>
      <c r="Q194" s="81"/>
      <c r="R194" s="453">
        <f>R48/$AB194</f>
        <v>1</v>
      </c>
      <c r="S194" s="81"/>
      <c r="T194" s="81"/>
      <c r="U194" s="81"/>
      <c r="V194" s="81"/>
      <c r="W194" s="81"/>
      <c r="X194" s="81"/>
      <c r="Y194" s="81"/>
      <c r="Z194" s="81"/>
      <c r="AA194">
        <v>2033</v>
      </c>
      <c r="AB194">
        <f t="shared" si="11"/>
        <v>1437</v>
      </c>
    </row>
    <row r="195" spans="1:28" x14ac:dyDescent="0.2">
      <c r="A195" s="13">
        <v>2009</v>
      </c>
      <c r="B195" s="81"/>
      <c r="C195" s="81"/>
      <c r="D195" s="81"/>
      <c r="E195" s="453">
        <f>E49/$AB195</f>
        <v>0</v>
      </c>
      <c r="F195" s="81"/>
      <c r="G195" s="453">
        <f>G49/$AB195</f>
        <v>0</v>
      </c>
      <c r="H195" s="81"/>
      <c r="I195" s="453">
        <f>I49/$AB195</f>
        <v>1.4245014245014246E-3</v>
      </c>
      <c r="J195" s="81"/>
      <c r="K195" s="81"/>
      <c r="L195" s="453">
        <f>L49/$AB195</f>
        <v>0.55413105413105412</v>
      </c>
      <c r="M195" s="81"/>
      <c r="N195" s="81"/>
      <c r="O195" s="81"/>
      <c r="P195" s="453">
        <f>P49/$AB195</f>
        <v>0.43945868945868943</v>
      </c>
      <c r="Q195" s="81"/>
      <c r="R195" s="453">
        <f>R49/$AB195</f>
        <v>0.54558404558404561</v>
      </c>
      <c r="S195" s="81"/>
      <c r="T195" s="81"/>
      <c r="U195" s="81"/>
      <c r="V195" s="81"/>
      <c r="W195" s="454">
        <f>W49/$AB195</f>
        <v>1</v>
      </c>
      <c r="X195" s="81"/>
      <c r="Y195" s="81"/>
      <c r="Z195" s="81"/>
      <c r="AA195">
        <v>2015</v>
      </c>
      <c r="AB195">
        <f t="shared" si="11"/>
        <v>1404</v>
      </c>
    </row>
    <row r="196" spans="1:28" x14ac:dyDescent="0.2">
      <c r="A196" s="13">
        <v>2010</v>
      </c>
      <c r="B196" s="81"/>
      <c r="C196" s="81"/>
      <c r="D196" s="81"/>
      <c r="E196" s="450">
        <f>E50/$AB196</f>
        <v>0</v>
      </c>
      <c r="F196" s="81"/>
      <c r="G196" s="450">
        <f>G50/$AB196</f>
        <v>6.1500615006150063E-4</v>
      </c>
      <c r="H196" s="81"/>
      <c r="I196" s="81"/>
      <c r="J196" s="450">
        <f>J50/$AB196</f>
        <v>0</v>
      </c>
      <c r="K196" s="81"/>
      <c r="L196" s="450">
        <f>L50/$AB196</f>
        <v>1.2300123001230013E-3</v>
      </c>
      <c r="M196" s="81"/>
      <c r="N196" s="81"/>
      <c r="O196" s="81"/>
      <c r="P196" s="450">
        <f>P50/$AB196</f>
        <v>0.47109471094710947</v>
      </c>
      <c r="Q196" s="81"/>
      <c r="R196" s="81"/>
      <c r="S196" s="450">
        <f>S50/$AB196</f>
        <v>1</v>
      </c>
      <c r="T196" s="81"/>
      <c r="U196" s="81"/>
      <c r="V196" s="81"/>
      <c r="W196" s="81"/>
      <c r="X196" s="81"/>
      <c r="Y196" s="81"/>
      <c r="Z196" s="81"/>
      <c r="AA196">
        <v>2245</v>
      </c>
      <c r="AB196">
        <f t="shared" si="11"/>
        <v>1626</v>
      </c>
    </row>
    <row r="197" spans="1:28" x14ac:dyDescent="0.2">
      <c r="A197" s="13">
        <v>2011</v>
      </c>
      <c r="B197" s="81"/>
      <c r="C197" s="81"/>
      <c r="D197" s="81"/>
      <c r="E197" s="81"/>
      <c r="F197" s="81"/>
      <c r="G197" s="81"/>
      <c r="H197" s="81"/>
      <c r="I197" s="450">
        <f>I51/$AB197</f>
        <v>0</v>
      </c>
      <c r="J197" s="450">
        <f>J51/$AB197</f>
        <v>1.9828155981493722E-3</v>
      </c>
      <c r="K197" s="450">
        <f>K51/$AB197</f>
        <v>1.9828155981493722E-3</v>
      </c>
      <c r="L197" s="81"/>
      <c r="M197" s="81"/>
      <c r="N197" s="81"/>
      <c r="O197" s="81"/>
      <c r="P197" s="81"/>
      <c r="Q197" s="450">
        <f>Q51/$AB197</f>
        <v>1</v>
      </c>
      <c r="R197" s="81"/>
      <c r="S197" s="81"/>
      <c r="T197" s="81"/>
      <c r="U197" s="81"/>
      <c r="V197" s="81"/>
      <c r="W197" s="81"/>
      <c r="X197" s="81"/>
      <c r="Y197" s="81"/>
      <c r="Z197" s="81"/>
      <c r="AA197">
        <v>1672</v>
      </c>
      <c r="AB197">
        <f t="shared" si="11"/>
        <v>1513</v>
      </c>
    </row>
    <row r="198" spans="1:28" x14ac:dyDescent="0.2">
      <c r="A198" s="13">
        <v>2012</v>
      </c>
      <c r="B198" s="81"/>
      <c r="C198" s="81"/>
      <c r="D198" s="81"/>
      <c r="E198" s="81"/>
      <c r="F198" s="81"/>
      <c r="G198" s="81"/>
      <c r="H198" s="81"/>
      <c r="I198" s="81"/>
      <c r="J198" s="455">
        <f>J52/$AB198</f>
        <v>0</v>
      </c>
      <c r="K198" s="81"/>
      <c r="L198" s="81"/>
      <c r="M198" s="81"/>
      <c r="N198" s="81"/>
      <c r="O198" s="81"/>
      <c r="P198" s="81"/>
      <c r="Q198" s="81"/>
      <c r="R198" s="455">
        <f>R52/$AB198</f>
        <v>1</v>
      </c>
      <c r="S198" s="81"/>
      <c r="T198" s="81"/>
      <c r="U198" s="81"/>
      <c r="V198" s="81"/>
      <c r="W198" s="81"/>
      <c r="X198" s="81"/>
      <c r="Y198" s="81"/>
      <c r="Z198" s="81"/>
      <c r="AA198">
        <v>1981</v>
      </c>
      <c r="AB198">
        <f t="shared" si="11"/>
        <v>1790</v>
      </c>
    </row>
    <row r="199" spans="1:28" x14ac:dyDescent="0.2">
      <c r="A199" s="13">
        <v>2013</v>
      </c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455">
        <f>Q53/$AB199</f>
        <v>1</v>
      </c>
      <c r="R199" s="81"/>
      <c r="S199" s="81"/>
      <c r="T199" s="81"/>
      <c r="U199" s="81"/>
      <c r="V199" s="81"/>
      <c r="W199" s="81"/>
      <c r="X199" s="81"/>
      <c r="Y199" s="81"/>
      <c r="Z199" s="81"/>
      <c r="AA199">
        <v>1126</v>
      </c>
      <c r="AB199">
        <f t="shared" si="11"/>
        <v>1126</v>
      </c>
    </row>
    <row r="200" spans="1:28" x14ac:dyDescent="0.2">
      <c r="A200" s="13">
        <v>2014</v>
      </c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455">
        <f>N54/$AB200</f>
        <v>0.36551724137931035</v>
      </c>
      <c r="O200" s="81"/>
      <c r="P200" s="81"/>
      <c r="Q200" s="81"/>
      <c r="R200" s="81"/>
      <c r="S200" s="81"/>
      <c r="T200" s="81"/>
      <c r="U200" s="81"/>
      <c r="V200" s="455">
        <f>V54/$AB200</f>
        <v>1</v>
      </c>
      <c r="W200" s="81"/>
      <c r="X200" s="81"/>
      <c r="Y200" s="81"/>
      <c r="Z200" s="81"/>
      <c r="AA200">
        <v>724</v>
      </c>
      <c r="AB200">
        <f t="shared" si="11"/>
        <v>580</v>
      </c>
    </row>
    <row r="201" spans="1:28" x14ac:dyDescent="0.2">
      <c r="A201" s="13">
        <v>2015</v>
      </c>
      <c r="B201" s="81"/>
      <c r="C201" s="81"/>
      <c r="D201" s="81"/>
      <c r="E201" s="81"/>
      <c r="F201" s="81"/>
      <c r="G201" s="81"/>
      <c r="H201" s="81"/>
      <c r="I201" s="81"/>
      <c r="J201" s="455">
        <f>J55/$AB201</f>
        <v>6.25E-2</v>
      </c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455">
        <f>U55/$AB201</f>
        <v>1</v>
      </c>
      <c r="V201" s="81"/>
      <c r="W201" s="81"/>
      <c r="X201" s="81"/>
      <c r="Y201" s="81"/>
      <c r="Z201" s="81"/>
      <c r="AA201">
        <v>148</v>
      </c>
      <c r="AB201">
        <f t="shared" si="11"/>
        <v>144</v>
      </c>
    </row>
    <row r="202" spans="1:28" x14ac:dyDescent="0.2">
      <c r="A202" s="13">
        <v>2016</v>
      </c>
      <c r="B202" s="81"/>
      <c r="C202" s="81"/>
      <c r="D202" s="81"/>
      <c r="E202" s="81"/>
      <c r="F202" s="81"/>
      <c r="G202" s="455">
        <f>G56/$AB202</f>
        <v>0</v>
      </c>
      <c r="H202" s="81"/>
      <c r="I202" s="81"/>
      <c r="J202" s="455">
        <f>J56/$AB202</f>
        <v>0</v>
      </c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455">
        <f>V56/$AB202</f>
        <v>1</v>
      </c>
      <c r="W202" s="81"/>
      <c r="X202" s="455">
        <f>X56/$AB202</f>
        <v>0.81629392971246006</v>
      </c>
      <c r="Y202" s="81"/>
      <c r="Z202" s="81"/>
      <c r="AB202">
        <f t="shared" si="11"/>
        <v>626</v>
      </c>
    </row>
    <row r="203" spans="1:28" x14ac:dyDescent="0.2">
      <c r="A203" s="13">
        <v>2017</v>
      </c>
      <c r="B203" s="81"/>
      <c r="C203" s="81"/>
      <c r="D203" s="81"/>
      <c r="E203" s="81"/>
      <c r="F203" s="81"/>
      <c r="G203" s="81"/>
      <c r="H203" s="455">
        <f>H57/$AB203</f>
        <v>0</v>
      </c>
      <c r="I203" s="81"/>
      <c r="J203" s="81"/>
      <c r="K203" s="81"/>
      <c r="L203" s="453">
        <f>L57/$AB203</f>
        <v>1.4379084967320261E-2</v>
      </c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13"/>
      <c r="AB203">
        <f t="shared" si="11"/>
        <v>765</v>
      </c>
    </row>
    <row r="204" spans="1:28" x14ac:dyDescent="0.2">
      <c r="A204" s="13">
        <v>2018</v>
      </c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13"/>
    </row>
    <row r="205" spans="1:28" x14ac:dyDescent="0.2">
      <c r="A205" s="13">
        <v>2019</v>
      </c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13"/>
    </row>
    <row r="206" spans="1:28" x14ac:dyDescent="0.2">
      <c r="A206" s="13">
        <v>2020</v>
      </c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13"/>
    </row>
    <row r="207" spans="1:28" x14ac:dyDescent="0.2">
      <c r="A207" s="13">
        <v>2021</v>
      </c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13"/>
    </row>
    <row r="208" spans="1:28" x14ac:dyDescent="0.2">
      <c r="A208" s="13">
        <v>2022</v>
      </c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13"/>
    </row>
    <row r="209" spans="1:28" x14ac:dyDescent="0.2">
      <c r="A209" s="64" t="s">
        <v>17</v>
      </c>
      <c r="B209" s="85">
        <f>AVERAGE(B181:B202)</f>
        <v>0</v>
      </c>
      <c r="C209" s="85"/>
      <c r="D209" s="85">
        <f t="shared" ref="D209:X209" si="12">AVERAGE(D181:D202)</f>
        <v>0</v>
      </c>
      <c r="E209" s="85">
        <f t="shared" si="12"/>
        <v>0</v>
      </c>
      <c r="F209" s="85">
        <f t="shared" si="12"/>
        <v>0</v>
      </c>
      <c r="G209" s="85">
        <f t="shared" si="12"/>
        <v>6.8807726589882113E-4</v>
      </c>
      <c r="H209" s="85">
        <f t="shared" si="12"/>
        <v>1.1448874851954205E-2</v>
      </c>
      <c r="I209" s="85">
        <f t="shared" si="12"/>
        <v>9.0103467202523851E-4</v>
      </c>
      <c r="J209" s="85">
        <f t="shared" si="12"/>
        <v>1.0114272230435855E-2</v>
      </c>
      <c r="K209" s="85">
        <f t="shared" si="12"/>
        <v>1.1331316635244872E-2</v>
      </c>
      <c r="L209" s="85">
        <f t="shared" si="12"/>
        <v>0.10788087016626531</v>
      </c>
      <c r="M209" s="85">
        <f t="shared" si="12"/>
        <v>5.2892326341597212E-2</v>
      </c>
      <c r="N209" s="85">
        <f t="shared" si="12"/>
        <v>0.23415304300041215</v>
      </c>
      <c r="O209" s="85">
        <f t="shared" si="12"/>
        <v>0.29849064254803459</v>
      </c>
      <c r="P209" s="85">
        <f t="shared" si="12"/>
        <v>0.43626875203188709</v>
      </c>
      <c r="Q209" s="85">
        <f t="shared" si="12"/>
        <v>0.87126099330440054</v>
      </c>
      <c r="R209" s="85">
        <f t="shared" si="12"/>
        <v>0.91197681016309895</v>
      </c>
      <c r="S209" s="85">
        <f t="shared" si="12"/>
        <v>1</v>
      </c>
      <c r="T209" s="85">
        <f t="shared" si="12"/>
        <v>1</v>
      </c>
      <c r="U209" s="85">
        <f t="shared" si="12"/>
        <v>0.98067729083665345</v>
      </c>
      <c r="V209" s="85">
        <f t="shared" si="12"/>
        <v>0.9814692256783587</v>
      </c>
      <c r="W209" s="85">
        <f t="shared" si="12"/>
        <v>0.68390234547760131</v>
      </c>
      <c r="X209" s="85">
        <f t="shared" si="12"/>
        <v>0.4806155287212201</v>
      </c>
      <c r="Y209" s="85"/>
      <c r="Z209" s="85"/>
    </row>
    <row r="211" spans="1:28" x14ac:dyDescent="0.2">
      <c r="A211" s="431" t="s">
        <v>327</v>
      </c>
      <c r="B211" s="430"/>
      <c r="C211" s="430"/>
      <c r="D211" s="430"/>
    </row>
    <row r="212" spans="1:28" x14ac:dyDescent="0.2">
      <c r="A212" s="441" t="s">
        <v>369</v>
      </c>
    </row>
    <row r="214" spans="1:28" ht="13.5" thickBot="1" x14ac:dyDescent="0.25">
      <c r="A214" s="93" t="s">
        <v>349</v>
      </c>
      <c r="B214" s="93"/>
      <c r="C214" s="93"/>
      <c r="D214" s="93"/>
    </row>
    <row r="215" spans="1:28" ht="13.5" thickTop="1" x14ac:dyDescent="0.2">
      <c r="A215" s="1004" t="s">
        <v>0</v>
      </c>
      <c r="B215" s="448"/>
      <c r="C215" s="448"/>
      <c r="D215" s="448"/>
      <c r="E215" s="1006" t="s">
        <v>1</v>
      </c>
      <c r="F215" s="1006"/>
      <c r="G215" s="1006"/>
      <c r="H215" s="1006"/>
      <c r="I215" s="1006"/>
      <c r="J215" s="1006"/>
      <c r="K215" s="1006"/>
      <c r="L215" s="1006"/>
      <c r="M215" s="1006"/>
      <c r="N215" s="1006"/>
      <c r="O215" s="1006"/>
      <c r="P215" s="1006"/>
      <c r="Q215" s="1006"/>
      <c r="R215" s="1006"/>
      <c r="S215" s="1006"/>
      <c r="T215" s="1006"/>
      <c r="U215" s="1006"/>
      <c r="V215" s="1006"/>
      <c r="W215" s="1006"/>
      <c r="X215" s="1006"/>
      <c r="Y215" s="1006"/>
      <c r="Z215" s="1006"/>
      <c r="AA215" s="1004" t="s">
        <v>2</v>
      </c>
    </row>
    <row r="216" spans="1:28" x14ac:dyDescent="0.2">
      <c r="A216" s="1005"/>
      <c r="B216" s="18">
        <v>73</v>
      </c>
      <c r="C216" s="18">
        <v>74</v>
      </c>
      <c r="D216" s="18">
        <v>75</v>
      </c>
      <c r="E216" s="18">
        <v>81</v>
      </c>
      <c r="F216" s="18">
        <v>82</v>
      </c>
      <c r="G216" s="18">
        <v>83</v>
      </c>
      <c r="H216" s="18">
        <v>84</v>
      </c>
      <c r="I216" s="18">
        <v>91</v>
      </c>
      <c r="J216" s="18">
        <v>92</v>
      </c>
      <c r="K216" s="18">
        <v>93</v>
      </c>
      <c r="L216" s="18">
        <v>94</v>
      </c>
      <c r="M216" s="18">
        <v>101</v>
      </c>
      <c r="N216" s="18">
        <v>102</v>
      </c>
      <c r="O216" s="18">
        <v>103</v>
      </c>
      <c r="P216" s="18">
        <v>104</v>
      </c>
      <c r="Q216" s="18">
        <v>105</v>
      </c>
      <c r="R216" s="18">
        <v>111</v>
      </c>
      <c r="S216" s="18">
        <v>112</v>
      </c>
      <c r="T216" s="18">
        <v>113</v>
      </c>
      <c r="U216" s="18">
        <v>114</v>
      </c>
      <c r="V216" s="18">
        <v>115</v>
      </c>
      <c r="W216" s="18">
        <v>121</v>
      </c>
      <c r="X216" s="18">
        <v>122</v>
      </c>
      <c r="Y216" s="18">
        <v>123</v>
      </c>
      <c r="Z216" s="18">
        <v>124</v>
      </c>
      <c r="AA216" s="1005"/>
    </row>
    <row r="217" spans="1:28" x14ac:dyDescent="0.2">
      <c r="A217" s="13">
        <v>1995</v>
      </c>
      <c r="B217" s="81"/>
      <c r="C217" s="81"/>
      <c r="D217" s="81"/>
      <c r="E217" s="81"/>
      <c r="F217" s="81"/>
      <c r="G217" s="81"/>
      <c r="H217" s="450">
        <f>H72/$AB217</f>
        <v>0.1</v>
      </c>
      <c r="I217" s="81"/>
      <c r="J217" s="450">
        <f>J72/$AB217</f>
        <v>0.1</v>
      </c>
      <c r="K217" s="81"/>
      <c r="L217" s="450">
        <f>L72/$AB217</f>
        <v>0.26666666666666666</v>
      </c>
      <c r="M217" s="450">
        <f>M72/$AB217</f>
        <v>1</v>
      </c>
      <c r="N217" s="81"/>
      <c r="O217" s="81"/>
      <c r="P217" s="81"/>
      <c r="Q217" s="450">
        <f>Q72/$AB217</f>
        <v>0.6333333333333333</v>
      </c>
      <c r="R217" s="81"/>
      <c r="S217" s="81"/>
      <c r="T217" s="81"/>
      <c r="U217" s="81"/>
      <c r="V217" s="81"/>
      <c r="W217" s="81"/>
      <c r="X217" s="81"/>
      <c r="Y217" s="81"/>
      <c r="Z217" s="81"/>
      <c r="AB217">
        <f t="shared" ref="AB217:AB226" si="13">MAX(B72:Z72)</f>
        <v>30</v>
      </c>
    </row>
    <row r="218" spans="1:28" x14ac:dyDescent="0.2">
      <c r="A218" s="13">
        <v>1996</v>
      </c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B218">
        <f t="shared" si="13"/>
        <v>0</v>
      </c>
    </row>
    <row r="219" spans="1:28" x14ac:dyDescent="0.2">
      <c r="A219" s="13">
        <v>1997</v>
      </c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B219">
        <f t="shared" si="13"/>
        <v>0</v>
      </c>
    </row>
    <row r="220" spans="1:28" x14ac:dyDescent="0.2">
      <c r="A220" s="13">
        <v>1998</v>
      </c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450">
        <f>P75/$AB220</f>
        <v>1</v>
      </c>
      <c r="Q220" s="81"/>
      <c r="R220" s="450">
        <f>R75/$AB220</f>
        <v>0.47222222222222221</v>
      </c>
      <c r="S220" s="81"/>
      <c r="T220" s="81"/>
      <c r="U220" s="81"/>
      <c r="V220" s="451"/>
      <c r="W220" s="450">
        <f>W75/$AB220</f>
        <v>0</v>
      </c>
      <c r="X220" s="81"/>
      <c r="Y220" s="81"/>
      <c r="Z220" s="81"/>
      <c r="AB220">
        <f t="shared" si="13"/>
        <v>36</v>
      </c>
    </row>
    <row r="221" spans="1:28" x14ac:dyDescent="0.2">
      <c r="A221" s="13">
        <v>1999</v>
      </c>
      <c r="B221" s="81"/>
      <c r="C221" s="81"/>
      <c r="D221" s="81"/>
      <c r="E221" s="81"/>
      <c r="F221" s="81"/>
      <c r="G221" s="450">
        <f>G76/$AB221</f>
        <v>0</v>
      </c>
      <c r="H221" s="81"/>
      <c r="I221" s="81"/>
      <c r="J221" s="450">
        <f>J76/$AB221</f>
        <v>4.1666666666666664E-2</v>
      </c>
      <c r="K221" s="81"/>
      <c r="L221" s="450">
        <f>L76/$AB221</f>
        <v>4.1666666666666664E-2</v>
      </c>
      <c r="M221" s="81"/>
      <c r="N221" s="450">
        <f>N76/$AB221</f>
        <v>0.29166666666666669</v>
      </c>
      <c r="O221" s="81"/>
      <c r="P221" s="450">
        <f>P76/$AB221</f>
        <v>1</v>
      </c>
      <c r="Q221" s="81"/>
      <c r="R221" s="450">
        <f>R76/$AB221</f>
        <v>0.375</v>
      </c>
      <c r="S221" s="81"/>
      <c r="T221" s="81"/>
      <c r="U221" s="450">
        <f>U76/$AB221</f>
        <v>4.1666666666666664E-2</v>
      </c>
      <c r="V221" s="81"/>
      <c r="W221" s="450">
        <f>W76/$AB221</f>
        <v>0</v>
      </c>
      <c r="X221" s="81"/>
      <c r="Y221" s="81"/>
      <c r="Z221" s="81"/>
      <c r="AB221">
        <f t="shared" si="13"/>
        <v>24</v>
      </c>
    </row>
    <row r="222" spans="1:28" x14ac:dyDescent="0.2">
      <c r="A222" s="13">
        <v>2000</v>
      </c>
      <c r="B222" s="81"/>
      <c r="C222" s="432"/>
      <c r="D222" s="452">
        <f>D77/$AB222</f>
        <v>0</v>
      </c>
      <c r="E222" s="432"/>
      <c r="F222" s="432"/>
      <c r="G222" s="452">
        <f>G77/$AB222</f>
        <v>0</v>
      </c>
      <c r="H222" s="432"/>
      <c r="I222" s="452">
        <f>I77/$AB222</f>
        <v>0</v>
      </c>
      <c r="J222" s="452">
        <f>J77/$AB222</f>
        <v>0</v>
      </c>
      <c r="K222" s="432"/>
      <c r="L222" s="432"/>
      <c r="M222" s="452">
        <f>M77/$AB222</f>
        <v>0.19230769230769232</v>
      </c>
      <c r="N222" s="81"/>
      <c r="O222" s="450">
        <f>O77/$AB222</f>
        <v>1</v>
      </c>
      <c r="P222" s="81"/>
      <c r="Q222" s="81"/>
      <c r="R222" s="450">
        <f>R77/$AB222</f>
        <v>0.5</v>
      </c>
      <c r="S222" s="81"/>
      <c r="T222" s="81"/>
      <c r="U222" s="81"/>
      <c r="V222" s="81"/>
      <c r="W222" s="450">
        <f>W77/$AB222</f>
        <v>3.8461538461538464E-2</v>
      </c>
      <c r="X222" s="450"/>
      <c r="Y222" s="81"/>
      <c r="Z222" s="81"/>
      <c r="AB222">
        <f t="shared" si="13"/>
        <v>26</v>
      </c>
    </row>
    <row r="223" spans="1:28" x14ac:dyDescent="0.2">
      <c r="A223" s="13">
        <v>2001</v>
      </c>
      <c r="B223" s="450">
        <f>B78/$AB223</f>
        <v>0</v>
      </c>
      <c r="C223" s="81"/>
      <c r="D223" s="450">
        <f>D78/$AB223</f>
        <v>3.0303030303030304E-2</v>
      </c>
      <c r="E223" s="81"/>
      <c r="F223" s="450">
        <f>F78/$AB223</f>
        <v>0</v>
      </c>
      <c r="G223" s="81"/>
      <c r="H223" s="81"/>
      <c r="I223" s="450">
        <f>I78/$AB223</f>
        <v>3.0303030303030304E-2</v>
      </c>
      <c r="J223" s="81"/>
      <c r="K223" s="81"/>
      <c r="L223" s="81"/>
      <c r="M223" s="450">
        <f>M78/$AB223</f>
        <v>0.15151515151515152</v>
      </c>
      <c r="N223" s="81"/>
      <c r="O223" s="450">
        <f>O78/$AB223</f>
        <v>0.93939393939393945</v>
      </c>
      <c r="P223" s="81"/>
      <c r="Q223" s="81"/>
      <c r="R223" s="450">
        <f>R78/$AB223</f>
        <v>1</v>
      </c>
      <c r="S223" s="81"/>
      <c r="T223" s="450">
        <f>T78/$AB223</f>
        <v>0</v>
      </c>
      <c r="U223" s="81"/>
      <c r="V223" s="450">
        <f>V78/$AB223</f>
        <v>3.0303030303030304E-2</v>
      </c>
      <c r="W223" s="81"/>
      <c r="X223" s="450">
        <f>X78/$AB223</f>
        <v>0</v>
      </c>
      <c r="Y223" s="81"/>
      <c r="Z223" s="81"/>
      <c r="AB223">
        <f t="shared" si="13"/>
        <v>33</v>
      </c>
    </row>
    <row r="224" spans="1:28" x14ac:dyDescent="0.2">
      <c r="A224" s="13">
        <v>2002</v>
      </c>
      <c r="B224" s="81"/>
      <c r="C224" s="81"/>
      <c r="D224" s="81"/>
      <c r="E224" s="450">
        <f>E79/$AB224</f>
        <v>0</v>
      </c>
      <c r="F224" s="81"/>
      <c r="G224" s="450">
        <f>G79/$AB224</f>
        <v>0.2</v>
      </c>
      <c r="H224" s="81"/>
      <c r="I224" s="81"/>
      <c r="J224" s="81"/>
      <c r="K224" s="81"/>
      <c r="L224" s="81"/>
      <c r="M224" s="450">
        <f>M79/$AB224</f>
        <v>1</v>
      </c>
      <c r="N224" s="81"/>
      <c r="O224" s="81"/>
      <c r="P224" s="450">
        <f>P79/$AB224</f>
        <v>1</v>
      </c>
      <c r="Q224" s="81"/>
      <c r="R224" s="81"/>
      <c r="S224" s="81"/>
      <c r="T224" s="81"/>
      <c r="U224" s="450">
        <f>U79/$AB224</f>
        <v>0</v>
      </c>
      <c r="V224" s="81"/>
      <c r="W224" s="81"/>
      <c r="X224" s="81"/>
      <c r="Y224" s="81"/>
      <c r="Z224" s="81"/>
      <c r="AB224">
        <f t="shared" si="13"/>
        <v>5</v>
      </c>
    </row>
    <row r="225" spans="1:28" x14ac:dyDescent="0.2">
      <c r="A225" s="13">
        <v>2003</v>
      </c>
      <c r="B225" s="81"/>
      <c r="C225" s="81"/>
      <c r="D225" s="81"/>
      <c r="E225" s="81"/>
      <c r="F225" s="81"/>
      <c r="G225" s="81"/>
      <c r="H225" s="450">
        <f>H80/$AB225</f>
        <v>0</v>
      </c>
      <c r="I225" s="81"/>
      <c r="J225" s="450">
        <f>J80/$AB225</f>
        <v>4.5454545454545456E-2</v>
      </c>
      <c r="K225" s="81"/>
      <c r="L225" s="450">
        <f>L80/$AB225</f>
        <v>0</v>
      </c>
      <c r="M225" s="81"/>
      <c r="N225" s="81"/>
      <c r="O225" s="81"/>
      <c r="P225" s="81"/>
      <c r="Q225" s="450">
        <f>Q80/$AB225</f>
        <v>1</v>
      </c>
      <c r="R225" s="81"/>
      <c r="S225" s="81"/>
      <c r="T225" s="81"/>
      <c r="U225" s="81"/>
      <c r="V225" s="81"/>
      <c r="W225" s="81"/>
      <c r="X225" s="81"/>
      <c r="Y225" s="81"/>
      <c r="Z225" s="81"/>
      <c r="AB225">
        <f t="shared" si="13"/>
        <v>22</v>
      </c>
    </row>
    <row r="226" spans="1:28" x14ac:dyDescent="0.2">
      <c r="A226" s="13">
        <v>2004</v>
      </c>
      <c r="B226" s="81"/>
      <c r="C226" s="81"/>
      <c r="D226" s="81"/>
      <c r="E226" s="81"/>
      <c r="F226" s="450">
        <f>F81/$AB226</f>
        <v>0</v>
      </c>
      <c r="G226" s="81"/>
      <c r="H226" s="81"/>
      <c r="I226" s="450">
        <f>I81/$AB226</f>
        <v>0</v>
      </c>
      <c r="J226" s="81"/>
      <c r="K226" s="451"/>
      <c r="L226" s="450">
        <f>L81/$AB226</f>
        <v>0</v>
      </c>
      <c r="M226" s="81"/>
      <c r="N226" s="81"/>
      <c r="O226" s="81"/>
      <c r="P226" s="81"/>
      <c r="Q226" s="450">
        <f>Q81/$AB226</f>
        <v>1</v>
      </c>
      <c r="R226" s="81"/>
      <c r="S226" s="81"/>
      <c r="T226" s="81"/>
      <c r="U226" s="450">
        <f>U81/$AB226</f>
        <v>0</v>
      </c>
      <c r="V226" s="81"/>
      <c r="W226" s="81"/>
      <c r="X226" s="81"/>
      <c r="Y226" s="81"/>
      <c r="Z226" s="81"/>
      <c r="AB226">
        <f t="shared" si="13"/>
        <v>10</v>
      </c>
    </row>
    <row r="227" spans="1:28" x14ac:dyDescent="0.2">
      <c r="A227" s="13">
        <v>2005</v>
      </c>
      <c r="B227" s="81"/>
      <c r="C227" s="81"/>
      <c r="D227" s="81"/>
      <c r="E227" s="81"/>
      <c r="F227" s="81"/>
      <c r="G227" s="81"/>
      <c r="H227" s="450"/>
      <c r="I227" s="81"/>
      <c r="J227" s="450"/>
      <c r="K227" s="450"/>
      <c r="L227" s="81"/>
      <c r="M227" s="81"/>
      <c r="N227" s="81"/>
      <c r="O227" s="81"/>
      <c r="P227" s="81"/>
      <c r="Q227" s="81"/>
      <c r="R227" s="81"/>
      <c r="S227" s="81"/>
      <c r="T227" s="450"/>
      <c r="U227" s="81"/>
      <c r="V227" s="81"/>
      <c r="W227" s="81"/>
      <c r="X227" s="81"/>
      <c r="Y227" s="81"/>
      <c r="Z227" s="81"/>
    </row>
    <row r="228" spans="1:28" x14ac:dyDescent="0.2">
      <c r="A228" s="13">
        <v>2006</v>
      </c>
      <c r="B228" s="81"/>
      <c r="C228" s="81"/>
      <c r="D228" s="81"/>
      <c r="E228" s="81"/>
      <c r="F228" s="81"/>
      <c r="G228" s="450"/>
      <c r="H228" s="81"/>
      <c r="I228" s="450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450"/>
      <c r="W228" s="81"/>
      <c r="X228" s="81"/>
      <c r="Y228" s="81"/>
      <c r="Z228" s="81"/>
    </row>
    <row r="229" spans="1:28" x14ac:dyDescent="0.2">
      <c r="A229" s="13">
        <v>2007</v>
      </c>
      <c r="B229" s="81"/>
      <c r="C229" s="81"/>
      <c r="D229" s="450">
        <f>D84/$AB229</f>
        <v>0</v>
      </c>
      <c r="E229" s="81"/>
      <c r="F229" s="81"/>
      <c r="G229" s="450">
        <f>G84/$AB229</f>
        <v>0</v>
      </c>
      <c r="H229" s="81"/>
      <c r="I229" s="450">
        <f>I84/$AB229</f>
        <v>0</v>
      </c>
      <c r="J229" s="81"/>
      <c r="K229" s="81"/>
      <c r="L229" s="81"/>
      <c r="M229" s="81"/>
      <c r="N229" s="81"/>
      <c r="O229" s="81"/>
      <c r="P229" s="81"/>
      <c r="Q229" s="450">
        <f>Q84/$AB229</f>
        <v>1</v>
      </c>
      <c r="R229" s="450">
        <f>R84/$AB229</f>
        <v>0</v>
      </c>
      <c r="S229" s="81"/>
      <c r="T229" s="450">
        <f>T84/$AB229</f>
        <v>0</v>
      </c>
      <c r="U229" s="81"/>
      <c r="V229" s="81"/>
      <c r="W229" s="81"/>
      <c r="X229" s="81"/>
      <c r="Y229" s="81"/>
      <c r="Z229" s="81"/>
      <c r="AA229">
        <v>8</v>
      </c>
      <c r="AB229">
        <f t="shared" ref="AB229:AB236" si="14">MAX(B84:Z84)</f>
        <v>8</v>
      </c>
    </row>
    <row r="230" spans="1:28" x14ac:dyDescent="0.2">
      <c r="A230" s="13">
        <v>2008</v>
      </c>
      <c r="B230" s="81"/>
      <c r="C230" s="81"/>
      <c r="D230" s="81"/>
      <c r="E230" s="453">
        <f>E85/$AB230</f>
        <v>0</v>
      </c>
      <c r="F230" s="81"/>
      <c r="G230" s="453">
        <f>G85/$AB230</f>
        <v>0.05</v>
      </c>
      <c r="H230" s="81"/>
      <c r="I230" s="455">
        <f>I85/$AB230</f>
        <v>0.1</v>
      </c>
      <c r="J230" s="81"/>
      <c r="K230" s="455">
        <f>K85/$AB230</f>
        <v>0.1</v>
      </c>
      <c r="L230" s="81"/>
      <c r="M230" s="81"/>
      <c r="N230" s="81"/>
      <c r="O230" s="454">
        <f>O85/$AB230</f>
        <v>1</v>
      </c>
      <c r="P230" s="81"/>
      <c r="Q230" s="81"/>
      <c r="R230" s="455">
        <f>R85/$AB230</f>
        <v>0.25</v>
      </c>
      <c r="S230" s="81"/>
      <c r="T230" s="81"/>
      <c r="U230" s="81"/>
      <c r="V230" s="81"/>
      <c r="W230" s="81"/>
      <c r="X230" s="81"/>
      <c r="Y230" s="81"/>
      <c r="Z230" s="81"/>
      <c r="AA230">
        <v>22</v>
      </c>
      <c r="AB230">
        <f t="shared" si="14"/>
        <v>20</v>
      </c>
    </row>
    <row r="231" spans="1:28" x14ac:dyDescent="0.2">
      <c r="A231" s="13">
        <v>2009</v>
      </c>
      <c r="B231" s="81"/>
      <c r="C231" s="81"/>
      <c r="D231" s="81"/>
      <c r="E231" s="453">
        <f>E86/$AB231</f>
        <v>0</v>
      </c>
      <c r="F231" s="81"/>
      <c r="G231" s="453">
        <f>G86/$AB231</f>
        <v>0</v>
      </c>
      <c r="H231" s="81"/>
      <c r="I231" s="455">
        <f>I86/$AB231</f>
        <v>0</v>
      </c>
      <c r="J231" s="455"/>
      <c r="K231" s="81"/>
      <c r="L231" s="455">
        <f>L86/$AB231</f>
        <v>0.77777777777777779</v>
      </c>
      <c r="M231" s="81"/>
      <c r="N231" s="81"/>
      <c r="O231" s="81"/>
      <c r="P231" s="455">
        <f>P86/$AB231</f>
        <v>0.66666666666666663</v>
      </c>
      <c r="Q231" s="81"/>
      <c r="R231" s="455">
        <f>R86/$AB231</f>
        <v>1</v>
      </c>
      <c r="S231" s="81"/>
      <c r="T231" s="81"/>
      <c r="U231" s="81"/>
      <c r="V231" s="81"/>
      <c r="W231" s="453">
        <f>W86/$AB231</f>
        <v>0</v>
      </c>
      <c r="X231" s="81"/>
      <c r="Y231" s="81"/>
      <c r="Z231" s="81"/>
      <c r="AA231">
        <v>16</v>
      </c>
      <c r="AB231">
        <f t="shared" si="14"/>
        <v>9</v>
      </c>
    </row>
    <row r="232" spans="1:28" x14ac:dyDescent="0.2">
      <c r="A232" s="13">
        <v>2010</v>
      </c>
      <c r="B232" s="81"/>
      <c r="C232" s="81"/>
      <c r="D232" s="81"/>
      <c r="E232" s="450">
        <f>E87/$AB232</f>
        <v>0</v>
      </c>
      <c r="F232" s="81"/>
      <c r="G232" s="450">
        <f>G87/$AB232</f>
        <v>0</v>
      </c>
      <c r="H232" s="81"/>
      <c r="I232" s="81"/>
      <c r="J232" s="450">
        <f>J87/$AB232</f>
        <v>0</v>
      </c>
      <c r="K232" s="81"/>
      <c r="L232" s="450">
        <f>L87/$AB232</f>
        <v>0.5</v>
      </c>
      <c r="M232" s="81"/>
      <c r="N232" s="81"/>
      <c r="O232" s="81"/>
      <c r="P232" s="450">
        <f>P87/$AB232</f>
        <v>1</v>
      </c>
      <c r="Q232" s="81"/>
      <c r="R232" s="81"/>
      <c r="S232" s="450">
        <f>S87/$AB232</f>
        <v>0.25</v>
      </c>
      <c r="T232" s="81"/>
      <c r="U232" s="81"/>
      <c r="V232" s="81"/>
      <c r="W232" s="81"/>
      <c r="X232" s="81"/>
      <c r="Y232" s="81"/>
      <c r="Z232" s="81"/>
      <c r="AA232">
        <v>9</v>
      </c>
      <c r="AB232">
        <f t="shared" si="14"/>
        <v>8</v>
      </c>
    </row>
    <row r="233" spans="1:28" x14ac:dyDescent="0.2">
      <c r="A233" s="13">
        <v>2011</v>
      </c>
      <c r="B233" s="81"/>
      <c r="C233" s="81"/>
      <c r="D233" s="81"/>
      <c r="E233" s="81"/>
      <c r="F233" s="81"/>
      <c r="G233" s="81"/>
      <c r="H233" s="81"/>
      <c r="I233" s="450">
        <f>I88/$AB233</f>
        <v>1</v>
      </c>
      <c r="J233" s="450">
        <f>J88/$AB233</f>
        <v>1</v>
      </c>
      <c r="K233" s="450">
        <f>K88/$AB233</f>
        <v>1</v>
      </c>
      <c r="L233" s="81"/>
      <c r="M233" s="81"/>
      <c r="N233" s="81"/>
      <c r="O233" s="81"/>
      <c r="P233" s="81"/>
      <c r="Q233" s="450">
        <f>Q88/$AB233</f>
        <v>0</v>
      </c>
      <c r="R233" s="81"/>
      <c r="S233" s="81"/>
      <c r="T233" s="81"/>
      <c r="U233" s="81"/>
      <c r="V233" s="81"/>
      <c r="W233" s="81"/>
      <c r="X233" s="81"/>
      <c r="Y233" s="81"/>
      <c r="Z233" s="81"/>
      <c r="AB233">
        <f t="shared" si="14"/>
        <v>1</v>
      </c>
    </row>
    <row r="234" spans="1:28" x14ac:dyDescent="0.2">
      <c r="A234" s="13">
        <v>2012</v>
      </c>
      <c r="B234" s="81"/>
      <c r="C234" s="81"/>
      <c r="D234" s="81"/>
      <c r="E234" s="81"/>
      <c r="F234" s="81"/>
      <c r="G234" s="81"/>
      <c r="H234" s="81"/>
      <c r="I234" s="81"/>
      <c r="J234" s="455">
        <f>J89/$AB234</f>
        <v>0.75</v>
      </c>
      <c r="K234" s="81"/>
      <c r="L234" s="81"/>
      <c r="M234" s="81"/>
      <c r="N234" s="81"/>
      <c r="O234" s="81"/>
      <c r="P234" s="81"/>
      <c r="Q234" s="81"/>
      <c r="R234" s="455">
        <f>R89/$AB234</f>
        <v>1</v>
      </c>
      <c r="S234" s="81"/>
      <c r="T234" s="81"/>
      <c r="U234" s="81"/>
      <c r="V234" s="81"/>
      <c r="W234" s="81"/>
      <c r="X234" s="81"/>
      <c r="Y234" s="81"/>
      <c r="Z234" s="81"/>
      <c r="AA234" t="s">
        <v>336</v>
      </c>
      <c r="AB234">
        <f t="shared" si="14"/>
        <v>4</v>
      </c>
    </row>
    <row r="235" spans="1:28" x14ac:dyDescent="0.2">
      <c r="A235" s="13">
        <v>2013</v>
      </c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455"/>
      <c r="R235" s="81"/>
      <c r="S235" s="81"/>
      <c r="T235" s="81"/>
      <c r="U235" s="81"/>
      <c r="V235" s="81"/>
      <c r="W235" s="81"/>
      <c r="X235" s="81"/>
      <c r="Y235" s="81"/>
      <c r="Z235" s="81"/>
      <c r="AA235">
        <v>16</v>
      </c>
      <c r="AB235">
        <f t="shared" si="14"/>
        <v>16</v>
      </c>
    </row>
    <row r="236" spans="1:28" x14ac:dyDescent="0.2">
      <c r="A236" s="13">
        <v>2014</v>
      </c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455"/>
      <c r="O236" s="81"/>
      <c r="P236" s="81"/>
      <c r="Q236" s="81"/>
      <c r="R236" s="81"/>
      <c r="S236" s="81"/>
      <c r="T236" s="81"/>
      <c r="U236" s="81"/>
      <c r="V236" s="455">
        <f>V91/$AB236</f>
        <v>0</v>
      </c>
      <c r="W236" s="81"/>
      <c r="X236" s="81"/>
      <c r="Y236" s="81"/>
      <c r="Z236" s="81"/>
      <c r="AB236">
        <f t="shared" si="14"/>
        <v>6</v>
      </c>
    </row>
    <row r="237" spans="1:28" x14ac:dyDescent="0.2">
      <c r="A237" s="13">
        <v>2015</v>
      </c>
      <c r="B237" s="81"/>
      <c r="C237" s="81"/>
      <c r="D237" s="81"/>
      <c r="E237" s="81"/>
      <c r="F237" s="81"/>
      <c r="G237" s="81"/>
      <c r="H237" s="81"/>
      <c r="I237" s="81"/>
      <c r="J237" s="455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455"/>
      <c r="V237" s="81"/>
      <c r="W237" s="81"/>
      <c r="X237" s="81"/>
      <c r="Y237" s="81"/>
      <c r="Z237" s="81"/>
    </row>
    <row r="238" spans="1:28" x14ac:dyDescent="0.2">
      <c r="A238" s="13">
        <v>2016</v>
      </c>
      <c r="B238" s="81"/>
      <c r="C238" s="81"/>
      <c r="D238" s="81"/>
      <c r="E238" s="81"/>
      <c r="F238" s="81"/>
      <c r="G238" s="455">
        <f>G93/$AB238</f>
        <v>0</v>
      </c>
      <c r="H238" s="81"/>
      <c r="I238" s="81"/>
      <c r="J238" s="455">
        <f>J93/$AB238</f>
        <v>1</v>
      </c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455">
        <f>V93/$AB238</f>
        <v>0</v>
      </c>
      <c r="W238" s="81"/>
      <c r="X238" s="455">
        <f>X93/$AB238</f>
        <v>0</v>
      </c>
      <c r="Y238" s="81"/>
      <c r="Z238" s="81"/>
      <c r="AA238" t="s">
        <v>336</v>
      </c>
      <c r="AB238">
        <f>MAX(B93:Z93)</f>
        <v>1</v>
      </c>
    </row>
    <row r="239" spans="1:28" x14ac:dyDescent="0.2">
      <c r="A239" s="13">
        <v>2017</v>
      </c>
      <c r="B239" s="81"/>
      <c r="C239" s="81"/>
      <c r="D239" s="81"/>
      <c r="E239" s="81"/>
      <c r="F239" s="81"/>
      <c r="G239" s="81"/>
      <c r="H239" s="453">
        <f>H94/$AB239</f>
        <v>0</v>
      </c>
      <c r="I239" s="81"/>
      <c r="J239" s="81"/>
      <c r="K239" s="81"/>
      <c r="L239" s="453">
        <f>L94/$AB239</f>
        <v>0.25</v>
      </c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B239">
        <f>MAX(B94:Z94)</f>
        <v>4</v>
      </c>
    </row>
    <row r="240" spans="1:28" x14ac:dyDescent="0.2">
      <c r="A240" s="13">
        <v>2018</v>
      </c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spans="1:26" x14ac:dyDescent="0.2">
      <c r="A241" s="13">
        <v>2019</v>
      </c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spans="1:26" x14ac:dyDescent="0.2">
      <c r="A242" s="13">
        <v>2020</v>
      </c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spans="1:26" x14ac:dyDescent="0.2">
      <c r="A243" s="13">
        <v>2021</v>
      </c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spans="1:26" x14ac:dyDescent="0.2">
      <c r="A244" s="13">
        <v>2022</v>
      </c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spans="1:26" x14ac:dyDescent="0.2">
      <c r="A245" s="64" t="s">
        <v>17</v>
      </c>
      <c r="B245" s="85">
        <f>AVERAGE(B217:B238)</f>
        <v>0</v>
      </c>
      <c r="C245" s="85"/>
      <c r="D245" s="85">
        <f>AVERAGE(D217:D238)</f>
        <v>1.0101010101010102E-2</v>
      </c>
      <c r="E245" s="85">
        <f t="shared" ref="E245:X245" si="15">AVERAGE(E217:E238)</f>
        <v>0</v>
      </c>
      <c r="F245" s="85">
        <f t="shared" si="15"/>
        <v>0</v>
      </c>
      <c r="G245" s="85">
        <f t="shared" si="15"/>
        <v>3.125E-2</v>
      </c>
      <c r="H245" s="85">
        <f t="shared" si="15"/>
        <v>0.05</v>
      </c>
      <c r="I245" s="85">
        <f t="shared" si="15"/>
        <v>0.16147186147186149</v>
      </c>
      <c r="J245" s="85">
        <f t="shared" si="15"/>
        <v>0.3671401515151515</v>
      </c>
      <c r="K245" s="85">
        <f t="shared" si="15"/>
        <v>0.55000000000000004</v>
      </c>
      <c r="L245" s="85">
        <f t="shared" si="15"/>
        <v>0.26435185185185189</v>
      </c>
      <c r="M245" s="85">
        <f t="shared" si="15"/>
        <v>0.58595571095571097</v>
      </c>
      <c r="N245" s="85">
        <f t="shared" si="15"/>
        <v>0.29166666666666669</v>
      </c>
      <c r="O245" s="85">
        <f t="shared" si="15"/>
        <v>0.97979797979797978</v>
      </c>
      <c r="P245" s="85">
        <f t="shared" si="15"/>
        <v>0.93333333333333324</v>
      </c>
      <c r="Q245" s="85">
        <f t="shared" si="15"/>
        <v>0.72666666666666668</v>
      </c>
      <c r="R245" s="85">
        <f t="shared" si="15"/>
        <v>0.57465277777777779</v>
      </c>
      <c r="S245" s="85">
        <f t="shared" si="15"/>
        <v>0.25</v>
      </c>
      <c r="T245" s="85">
        <f t="shared" si="15"/>
        <v>0</v>
      </c>
      <c r="U245" s="85">
        <f t="shared" si="15"/>
        <v>1.3888888888888888E-2</v>
      </c>
      <c r="V245" s="85">
        <f t="shared" si="15"/>
        <v>1.0101010101010102E-2</v>
      </c>
      <c r="W245" s="85">
        <f t="shared" si="15"/>
        <v>9.6153846153846159E-3</v>
      </c>
      <c r="X245" s="85">
        <f t="shared" si="15"/>
        <v>0</v>
      </c>
      <c r="Y245" s="16"/>
      <c r="Z245" s="16"/>
    </row>
  </sheetData>
  <mergeCells count="31">
    <mergeCell ref="A215:A216"/>
    <mergeCell ref="E215:Z215"/>
    <mergeCell ref="AA215:AA216"/>
    <mergeCell ref="A149:A150"/>
    <mergeCell ref="E149:Z149"/>
    <mergeCell ref="AA149:AA150"/>
    <mergeCell ref="A179:A180"/>
    <mergeCell ref="E179:Z179"/>
    <mergeCell ref="AA179:AA180"/>
    <mergeCell ref="F107:G107"/>
    <mergeCell ref="U107:X107"/>
    <mergeCell ref="A107:A108"/>
    <mergeCell ref="B107:E107"/>
    <mergeCell ref="H107:K107"/>
    <mergeCell ref="S107:T107"/>
    <mergeCell ref="O107:Q107"/>
    <mergeCell ref="A70:A71"/>
    <mergeCell ref="E70:Z70"/>
    <mergeCell ref="AA70:AA71"/>
    <mergeCell ref="AB33:AB34"/>
    <mergeCell ref="AC33:AC34"/>
    <mergeCell ref="AB70:AB71"/>
    <mergeCell ref="AC70:AC71"/>
    <mergeCell ref="AB2:AB3"/>
    <mergeCell ref="AC2:AC3"/>
    <mergeCell ref="A33:A34"/>
    <mergeCell ref="E33:Z33"/>
    <mergeCell ref="A2:A3"/>
    <mergeCell ref="E2:Z2"/>
    <mergeCell ref="AA2:AA3"/>
    <mergeCell ref="AA33:AA34"/>
  </mergeCells>
  <pageMargins left="0.7" right="0.7" top="0.75" bottom="0.75" header="0.3" footer="0.3"/>
  <pageSetup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/>
  <dimension ref="A1:AE122"/>
  <sheetViews>
    <sheetView topLeftCell="A97" zoomScale="85" zoomScaleNormal="85" workbookViewId="0">
      <selection activeCell="L120" sqref="L120"/>
    </sheetView>
  </sheetViews>
  <sheetFormatPr defaultRowHeight="12.75" x14ac:dyDescent="0.2"/>
  <cols>
    <col min="2" max="2" width="4.140625" bestFit="1" customWidth="1"/>
    <col min="3" max="3" width="7" bestFit="1" customWidth="1"/>
    <col min="4" max="5" width="4.140625" bestFit="1" customWidth="1"/>
    <col min="6" max="7" width="6.140625" bestFit="1" customWidth="1"/>
    <col min="8" max="8" width="7" bestFit="1" customWidth="1"/>
    <col min="9" max="14" width="6.140625" bestFit="1" customWidth="1"/>
    <col min="15" max="15" width="6.85546875" customWidth="1"/>
    <col min="16" max="18" width="5.140625" bestFit="1" customWidth="1"/>
    <col min="19" max="19" width="4.140625" bestFit="1" customWidth="1"/>
    <col min="20" max="20" width="5.140625" bestFit="1" customWidth="1"/>
    <col min="21" max="21" width="4.140625" bestFit="1" customWidth="1"/>
    <col min="22" max="22" width="7" bestFit="1" customWidth="1"/>
    <col min="23" max="23" width="4.140625" bestFit="1" customWidth="1"/>
    <col min="30" max="30" width="10.28515625" bestFit="1" customWidth="1"/>
  </cols>
  <sheetData>
    <row r="1" spans="1:31" x14ac:dyDescent="0.2">
      <c r="A1" s="1002" t="s">
        <v>650</v>
      </c>
      <c r="B1" s="1003"/>
      <c r="C1" s="1003"/>
      <c r="D1" s="1003"/>
      <c r="E1" s="1003"/>
      <c r="F1" s="1003"/>
      <c r="G1" s="1003"/>
      <c r="H1" s="1003"/>
      <c r="I1" s="1003"/>
      <c r="J1" s="400" t="s">
        <v>323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56"/>
      <c r="AA1" s="2"/>
    </row>
    <row r="2" spans="1:31" ht="13.5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11" t="s">
        <v>319</v>
      </c>
      <c r="Y2" s="2"/>
      <c r="Z2" s="56"/>
      <c r="AA2" s="2"/>
    </row>
    <row r="3" spans="1:31" ht="13.5" thickTop="1" x14ac:dyDescent="0.2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31" t="s">
        <v>2</v>
      </c>
      <c r="Y3" s="1010" t="s">
        <v>3</v>
      </c>
      <c r="Z3" s="1008" t="s">
        <v>4</v>
      </c>
      <c r="AA3" s="2"/>
    </row>
    <row r="4" spans="1:31" x14ac:dyDescent="0.2">
      <c r="A4" s="1005"/>
      <c r="B4" s="401">
        <v>81</v>
      </c>
      <c r="C4" s="401">
        <v>82</v>
      </c>
      <c r="D4" s="401">
        <v>83</v>
      </c>
      <c r="E4" s="401">
        <v>84</v>
      </c>
      <c r="F4" s="401">
        <v>91</v>
      </c>
      <c r="G4" s="401">
        <v>92</v>
      </c>
      <c r="H4" s="401">
        <v>93</v>
      </c>
      <c r="I4" s="401">
        <v>94</v>
      </c>
      <c r="J4" s="401">
        <v>101</v>
      </c>
      <c r="K4" s="401">
        <v>102</v>
      </c>
      <c r="L4" s="401">
        <v>103</v>
      </c>
      <c r="M4" s="401">
        <v>104</v>
      </c>
      <c r="N4" s="401">
        <v>105</v>
      </c>
      <c r="O4" s="401">
        <v>111</v>
      </c>
      <c r="P4" s="401">
        <v>112</v>
      </c>
      <c r="Q4" s="401">
        <v>113</v>
      </c>
      <c r="R4" s="401">
        <v>114</v>
      </c>
      <c r="S4" s="401">
        <v>115</v>
      </c>
      <c r="T4" s="401">
        <v>121</v>
      </c>
      <c r="U4" s="401">
        <v>122</v>
      </c>
      <c r="V4" s="401">
        <v>123</v>
      </c>
      <c r="W4" s="401">
        <v>124</v>
      </c>
      <c r="X4" s="1032"/>
      <c r="Y4" s="1011"/>
      <c r="Z4" s="1009"/>
      <c r="AA4" s="68" t="s">
        <v>44</v>
      </c>
      <c r="AB4" t="s">
        <v>142</v>
      </c>
    </row>
    <row r="5" spans="1:31" x14ac:dyDescent="0.2">
      <c r="A5" s="1">
        <v>1995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"/>
      <c r="U5" s="1"/>
      <c r="V5" s="1"/>
      <c r="W5" s="1"/>
      <c r="X5" s="7">
        <v>100</v>
      </c>
      <c r="Y5" s="7" t="s">
        <v>316</v>
      </c>
      <c r="Z5" s="10"/>
      <c r="AA5" s="8" t="s">
        <v>316</v>
      </c>
      <c r="AB5" t="e">
        <f>X5/MAX(B5:W5)</f>
        <v>#DIV/0!</v>
      </c>
    </row>
    <row r="6" spans="1:31" x14ac:dyDescent="0.2">
      <c r="A6" s="1">
        <v>1996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1"/>
      <c r="U6" s="1"/>
      <c r="V6" s="1"/>
      <c r="W6" s="1"/>
      <c r="X6" s="7">
        <v>268</v>
      </c>
      <c r="Y6" s="7" t="s">
        <v>316</v>
      </c>
      <c r="Z6" s="10"/>
      <c r="AA6" s="8" t="s">
        <v>321</v>
      </c>
      <c r="AB6" t="e">
        <f t="shared" ref="AB6:AB26" si="0">X6/MAX(B6:W6)</f>
        <v>#DIV/0!</v>
      </c>
    </row>
    <row r="7" spans="1:31" x14ac:dyDescent="0.2">
      <c r="A7" s="1">
        <v>1997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"/>
      <c r="U7" s="1"/>
      <c r="V7" s="1"/>
      <c r="W7" s="1"/>
      <c r="X7" s="7">
        <v>382</v>
      </c>
      <c r="Y7" s="7" t="s">
        <v>316</v>
      </c>
      <c r="Z7" s="61"/>
      <c r="AA7" s="8" t="s">
        <v>321</v>
      </c>
      <c r="AB7" t="e">
        <f t="shared" si="0"/>
        <v>#DIV/0!</v>
      </c>
    </row>
    <row r="8" spans="1:31" x14ac:dyDescent="0.2">
      <c r="A8" s="1">
        <v>1998</v>
      </c>
      <c r="B8" s="6"/>
      <c r="C8" s="6"/>
      <c r="D8" s="6"/>
      <c r="E8" s="6"/>
      <c r="F8" s="119">
        <v>1</v>
      </c>
      <c r="G8" s="6"/>
      <c r="H8" s="119">
        <v>6</v>
      </c>
      <c r="I8" s="6"/>
      <c r="J8" s="119">
        <v>307</v>
      </c>
      <c r="K8" s="6"/>
      <c r="L8" s="6"/>
      <c r="M8" s="413">
        <v>0</v>
      </c>
      <c r="N8" s="6"/>
      <c r="O8" s="6"/>
      <c r="P8" s="419">
        <v>0</v>
      </c>
      <c r="Q8" s="6"/>
      <c r="R8" s="6"/>
      <c r="S8" s="6"/>
      <c r="T8" s="1"/>
      <c r="U8" s="1"/>
      <c r="V8" s="1"/>
      <c r="W8" s="1"/>
      <c r="X8" s="7">
        <v>308</v>
      </c>
      <c r="Y8" s="7" t="s">
        <v>5</v>
      </c>
      <c r="Z8" s="61">
        <v>10</v>
      </c>
      <c r="AA8" s="8" t="s">
        <v>316</v>
      </c>
      <c r="AB8">
        <f t="shared" si="0"/>
        <v>1.003257328990228</v>
      </c>
    </row>
    <row r="9" spans="1:31" x14ac:dyDescent="0.2">
      <c r="A9" s="1">
        <v>1999</v>
      </c>
      <c r="B9" s="119">
        <v>0</v>
      </c>
      <c r="C9" s="6"/>
      <c r="D9" s="6"/>
      <c r="E9" s="6"/>
      <c r="F9" s="119">
        <v>15</v>
      </c>
      <c r="G9" s="6"/>
      <c r="H9" s="119">
        <v>59</v>
      </c>
      <c r="I9" s="119">
        <v>92</v>
      </c>
      <c r="J9" s="119">
        <f>108+4</f>
        <v>112</v>
      </c>
      <c r="K9" s="6"/>
      <c r="L9" s="6"/>
      <c r="M9" s="119">
        <f>42+9</f>
        <v>51</v>
      </c>
      <c r="N9" s="6"/>
      <c r="O9" s="119">
        <v>0</v>
      </c>
      <c r="Q9" s="119">
        <v>0</v>
      </c>
      <c r="R9" s="6"/>
      <c r="S9" s="6"/>
      <c r="T9" s="123">
        <v>0</v>
      </c>
      <c r="U9" s="1"/>
      <c r="V9" s="1"/>
      <c r="W9" s="1"/>
      <c r="X9" s="9">
        <v>160</v>
      </c>
      <c r="Y9" s="7" t="s">
        <v>5</v>
      </c>
      <c r="Z9" s="62">
        <v>25</v>
      </c>
      <c r="AA9" s="8">
        <v>1</v>
      </c>
      <c r="AB9">
        <f t="shared" si="0"/>
        <v>1.4285714285714286</v>
      </c>
    </row>
    <row r="10" spans="1:31" x14ac:dyDescent="0.2">
      <c r="A10" s="1">
        <v>2000</v>
      </c>
      <c r="B10" s="6"/>
      <c r="C10" s="119">
        <v>0</v>
      </c>
      <c r="D10" s="119">
        <v>0</v>
      </c>
      <c r="E10" s="119">
        <v>0</v>
      </c>
      <c r="F10" s="119">
        <v>0</v>
      </c>
      <c r="G10" s="119">
        <v>0</v>
      </c>
      <c r="H10" s="119">
        <v>73</v>
      </c>
      <c r="I10" s="6"/>
      <c r="J10" s="119">
        <v>72</v>
      </c>
      <c r="K10" s="6"/>
      <c r="L10" s="119">
        <f>39+6</f>
        <v>45</v>
      </c>
      <c r="M10" s="6"/>
      <c r="N10" s="119">
        <v>3</v>
      </c>
      <c r="O10" s="6"/>
      <c r="Q10" s="119">
        <v>1</v>
      </c>
      <c r="R10" s="6"/>
      <c r="S10" s="6"/>
      <c r="T10" s="1"/>
      <c r="U10" s="1"/>
      <c r="V10" s="1"/>
      <c r="W10" s="1"/>
      <c r="X10" s="10">
        <v>100</v>
      </c>
      <c r="Y10" s="7" t="s">
        <v>5</v>
      </c>
      <c r="Z10" s="62">
        <v>20</v>
      </c>
      <c r="AA10" s="8">
        <v>1</v>
      </c>
      <c r="AB10">
        <f t="shared" si="0"/>
        <v>1.3698630136986301</v>
      </c>
      <c r="AD10" s="412">
        <v>37117</v>
      </c>
      <c r="AE10">
        <v>82</v>
      </c>
    </row>
    <row r="11" spans="1:31" x14ac:dyDescent="0.2">
      <c r="A11" s="1">
        <v>2001</v>
      </c>
      <c r="B11" s="6"/>
      <c r="C11" s="119">
        <v>0</v>
      </c>
      <c r="D11" s="6"/>
      <c r="E11" s="6"/>
      <c r="F11" s="6"/>
      <c r="G11" s="119">
        <v>20</v>
      </c>
      <c r="H11" s="119">
        <f>102+1</f>
        <v>103</v>
      </c>
      <c r="I11" s="6"/>
      <c r="J11" s="6"/>
      <c r="K11" s="119">
        <f>100+12</f>
        <v>112</v>
      </c>
      <c r="L11" s="6"/>
      <c r="M11" s="6"/>
      <c r="N11" s="119">
        <v>3</v>
      </c>
      <c r="O11" s="6"/>
      <c r="P11" s="6"/>
      <c r="Q11" s="6"/>
      <c r="R11" s="119">
        <v>0</v>
      </c>
      <c r="S11" s="6"/>
      <c r="T11" s="1"/>
      <c r="U11" s="1"/>
      <c r="V11" s="1"/>
      <c r="W11" s="1"/>
      <c r="X11" s="7">
        <v>168</v>
      </c>
      <c r="Y11" s="7" t="s">
        <v>5</v>
      </c>
      <c r="Z11" s="228">
        <v>22.5</v>
      </c>
      <c r="AA11" s="8">
        <v>1</v>
      </c>
      <c r="AB11">
        <f t="shared" si="0"/>
        <v>1.5</v>
      </c>
      <c r="AD11" s="412">
        <v>37118</v>
      </c>
      <c r="AE11">
        <v>82</v>
      </c>
    </row>
    <row r="12" spans="1:31" x14ac:dyDescent="0.2">
      <c r="A12" s="1">
        <v>2002</v>
      </c>
      <c r="B12" s="6"/>
      <c r="C12" s="6"/>
      <c r="D12" s="6"/>
      <c r="E12" s="6"/>
      <c r="G12" s="119">
        <v>18</v>
      </c>
      <c r="I12" s="119">
        <v>172</v>
      </c>
      <c r="R12" s="413">
        <v>0</v>
      </c>
      <c r="S12" s="6"/>
      <c r="T12" s="1"/>
      <c r="U12" s="1"/>
      <c r="V12" s="1"/>
      <c r="W12" s="1"/>
      <c r="X12" s="7">
        <v>202</v>
      </c>
      <c r="Y12" s="7" t="s">
        <v>9</v>
      </c>
      <c r="Z12" s="62"/>
      <c r="AA12" s="8">
        <v>3</v>
      </c>
      <c r="AB12">
        <f t="shared" si="0"/>
        <v>1.1744186046511629</v>
      </c>
      <c r="AD12" s="412">
        <v>37144</v>
      </c>
      <c r="AE12">
        <v>92</v>
      </c>
    </row>
    <row r="13" spans="1:31" x14ac:dyDescent="0.2">
      <c r="A13" s="1">
        <v>2003</v>
      </c>
      <c r="B13" s="6"/>
      <c r="C13" s="6"/>
      <c r="D13" s="6"/>
      <c r="E13" s="6"/>
      <c r="F13" s="6"/>
      <c r="G13" s="6"/>
      <c r="H13" s="6"/>
      <c r="I13" s="6"/>
      <c r="J13" s="119">
        <f>511+17</f>
        <v>528</v>
      </c>
      <c r="K13" s="6"/>
      <c r="L13" s="6"/>
      <c r="M13" s="6"/>
      <c r="N13" s="413">
        <v>5</v>
      </c>
      <c r="O13" s="6"/>
      <c r="P13" s="6"/>
      <c r="Q13" s="6"/>
      <c r="R13" s="6"/>
      <c r="S13" s="6"/>
      <c r="T13" s="1"/>
      <c r="U13" s="1"/>
      <c r="V13" s="1"/>
      <c r="W13" s="1"/>
      <c r="X13" s="7">
        <v>463</v>
      </c>
      <c r="Y13" s="7" t="s">
        <v>9</v>
      </c>
      <c r="Z13" s="62"/>
      <c r="AA13" s="8">
        <v>4</v>
      </c>
      <c r="AB13">
        <f t="shared" si="0"/>
        <v>0.87689393939393945</v>
      </c>
      <c r="AD13" s="412">
        <v>37145</v>
      </c>
      <c r="AE13">
        <v>92</v>
      </c>
    </row>
    <row r="14" spans="1:31" x14ac:dyDescent="0.2">
      <c r="A14" s="1">
        <v>2004</v>
      </c>
      <c r="B14" s="6"/>
      <c r="C14" s="6"/>
      <c r="D14" s="6"/>
      <c r="E14" s="6"/>
      <c r="F14" s="6"/>
      <c r="G14" s="6"/>
      <c r="H14" s="6"/>
      <c r="I14" s="6"/>
      <c r="J14" s="119">
        <f>527+1</f>
        <v>528</v>
      </c>
      <c r="K14" s="6"/>
      <c r="L14" s="6"/>
      <c r="M14" s="6"/>
      <c r="N14" s="6"/>
      <c r="O14" s="6"/>
      <c r="P14" s="6"/>
      <c r="Q14" s="6"/>
      <c r="R14" s="6"/>
      <c r="S14" s="6"/>
      <c r="T14" s="1"/>
      <c r="U14" s="1"/>
      <c r="V14" s="1"/>
      <c r="W14" s="1"/>
      <c r="X14" s="11">
        <v>704</v>
      </c>
      <c r="Y14" s="7" t="s">
        <v>9</v>
      </c>
      <c r="Z14" s="62"/>
      <c r="AA14" s="8">
        <v>5</v>
      </c>
      <c r="AB14">
        <f t="shared" si="0"/>
        <v>1.3333333333333333</v>
      </c>
      <c r="AD14" s="412">
        <v>37154</v>
      </c>
      <c r="AE14">
        <v>93</v>
      </c>
    </row>
    <row r="15" spans="1:31" x14ac:dyDescent="0.2">
      <c r="A15" s="1">
        <v>2005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"/>
      <c r="U15" s="1"/>
      <c r="V15" s="1"/>
      <c r="W15" s="1"/>
      <c r="X15" s="11" t="s">
        <v>322</v>
      </c>
      <c r="Y15" s="7"/>
      <c r="Z15" s="63"/>
      <c r="AA15" s="8"/>
      <c r="AD15" s="412">
        <v>37173</v>
      </c>
      <c r="AE15">
        <v>102</v>
      </c>
    </row>
    <row r="16" spans="1:31" x14ac:dyDescent="0.2">
      <c r="A16" s="1">
        <v>2006</v>
      </c>
      <c r="B16" s="6"/>
      <c r="C16" s="6"/>
      <c r="D16" s="6"/>
      <c r="E16" s="6"/>
      <c r="F16" s="6"/>
      <c r="G16" s="6"/>
      <c r="H16" s="6"/>
      <c r="I16" s="6"/>
      <c r="J16" s="6"/>
      <c r="K16" s="119">
        <f>812+52</f>
        <v>864</v>
      </c>
      <c r="L16" s="6"/>
      <c r="M16" s="6"/>
      <c r="N16" s="6"/>
      <c r="O16" s="6"/>
      <c r="P16" s="6"/>
      <c r="Q16" s="6"/>
      <c r="R16" s="6"/>
      <c r="S16" s="6"/>
      <c r="T16" s="1"/>
      <c r="U16" s="1"/>
      <c r="V16" s="1"/>
      <c r="W16" s="1"/>
      <c r="X16" s="12">
        <v>864</v>
      </c>
      <c r="Y16" s="7" t="s">
        <v>9</v>
      </c>
      <c r="Z16" s="52"/>
      <c r="AA16" s="8">
        <v>5</v>
      </c>
      <c r="AB16">
        <f t="shared" si="0"/>
        <v>1</v>
      </c>
      <c r="AD16" s="412">
        <v>37194</v>
      </c>
      <c r="AE16">
        <v>105</v>
      </c>
    </row>
    <row r="17" spans="1:31" x14ac:dyDescent="0.2">
      <c r="A17" s="1">
        <v>2007</v>
      </c>
      <c r="B17" s="119">
        <v>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"/>
      <c r="U17" s="1"/>
      <c r="V17" s="1"/>
      <c r="W17" s="1"/>
      <c r="X17" s="12"/>
      <c r="Y17" s="7"/>
      <c r="Z17" s="54"/>
      <c r="AA17" s="8"/>
      <c r="AB17" t="e">
        <f t="shared" si="0"/>
        <v>#DIV/0!</v>
      </c>
      <c r="AD17" s="412">
        <v>37221</v>
      </c>
      <c r="AE17">
        <v>114</v>
      </c>
    </row>
    <row r="18" spans="1:31" x14ac:dyDescent="0.2">
      <c r="A18" s="1">
        <v>2008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7"/>
      <c r="Z18" s="62"/>
      <c r="AA18" s="8"/>
      <c r="AB18" t="e">
        <f t="shared" si="0"/>
        <v>#DIV/0!</v>
      </c>
    </row>
    <row r="19" spans="1:31" x14ac:dyDescent="0.2">
      <c r="A19" s="1">
        <v>2009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7"/>
      <c r="Z19" s="62"/>
      <c r="AA19" s="8"/>
      <c r="AB19" t="e">
        <f t="shared" si="0"/>
        <v>#DIV/0!</v>
      </c>
    </row>
    <row r="20" spans="1:31" x14ac:dyDescent="0.2">
      <c r="A20" s="1">
        <v>2010</v>
      </c>
      <c r="B20" s="1"/>
      <c r="C20" s="1"/>
      <c r="D20" s="1"/>
      <c r="E20" s="1"/>
      <c r="F20" s="1"/>
      <c r="G20" s="1"/>
      <c r="H20" s="1"/>
      <c r="I20" s="1"/>
      <c r="J20" s="1"/>
      <c r="K20" s="123">
        <v>317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>
        <v>317</v>
      </c>
      <c r="Y20" s="7"/>
      <c r="Z20" s="62"/>
      <c r="AA20" s="8">
        <v>6</v>
      </c>
      <c r="AB20">
        <f t="shared" si="0"/>
        <v>1</v>
      </c>
    </row>
    <row r="21" spans="1:31" x14ac:dyDescent="0.2">
      <c r="A21" s="1">
        <v>2011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 t="s">
        <v>322</v>
      </c>
      <c r="Y21" s="7"/>
      <c r="Z21" s="62"/>
      <c r="AA21" s="8"/>
    </row>
    <row r="22" spans="1:31" x14ac:dyDescent="0.2">
      <c r="A22" s="1">
        <v>2012</v>
      </c>
      <c r="B22" s="1"/>
      <c r="C22" s="1"/>
      <c r="D22" s="1"/>
      <c r="E22" s="403"/>
      <c r="F22" s="89"/>
      <c r="G22" s="403"/>
      <c r="H22" s="403"/>
      <c r="I22" s="325">
        <v>273</v>
      </c>
      <c r="J22" s="227"/>
      <c r="L22" s="227"/>
      <c r="M22" s="227"/>
      <c r="N22" s="227"/>
      <c r="O22" s="227"/>
      <c r="P22" s="227"/>
      <c r="Q22" s="227"/>
      <c r="R22" s="227"/>
      <c r="S22" s="227"/>
      <c r="T22" s="1"/>
      <c r="U22" s="1"/>
      <c r="V22" s="1"/>
      <c r="W22" s="1"/>
      <c r="X22" s="1">
        <v>334</v>
      </c>
      <c r="Y22" s="7"/>
      <c r="Z22" s="62"/>
      <c r="AA22" s="8">
        <v>5</v>
      </c>
      <c r="AB22">
        <f t="shared" si="0"/>
        <v>1.2234432234432235</v>
      </c>
    </row>
    <row r="23" spans="1:31" x14ac:dyDescent="0.2">
      <c r="A23" s="1">
        <v>2013</v>
      </c>
      <c r="B23" s="1"/>
      <c r="C23" s="1"/>
      <c r="D23" s="1"/>
      <c r="E23" s="227"/>
      <c r="F23" s="89"/>
      <c r="G23" s="89"/>
      <c r="H23" s="200">
        <v>151</v>
      </c>
      <c r="I23" s="201"/>
      <c r="J23" s="201"/>
      <c r="K23" s="201"/>
      <c r="L23" s="200">
        <f>212+12</f>
        <v>224</v>
      </c>
      <c r="M23" s="414">
        <v>5</v>
      </c>
      <c r="N23" s="201"/>
      <c r="O23" s="415">
        <v>0</v>
      </c>
      <c r="P23" s="227"/>
      <c r="Q23" s="227"/>
      <c r="R23" s="227"/>
      <c r="S23" s="227"/>
      <c r="T23" s="1"/>
      <c r="U23" s="1"/>
      <c r="V23" s="1"/>
      <c r="W23" s="1"/>
      <c r="X23" s="1">
        <v>249</v>
      </c>
      <c r="Y23" s="7"/>
      <c r="Z23" s="62"/>
      <c r="AA23" s="8">
        <v>5</v>
      </c>
      <c r="AB23">
        <f t="shared" si="0"/>
        <v>1.1116071428571428</v>
      </c>
    </row>
    <row r="24" spans="1:31" x14ac:dyDescent="0.2">
      <c r="A24" s="1">
        <v>2014</v>
      </c>
      <c r="B24" s="1"/>
      <c r="C24" s="1"/>
      <c r="D24" s="1"/>
      <c r="E24" s="227"/>
      <c r="F24" s="227"/>
      <c r="G24" s="227"/>
      <c r="H24" s="405">
        <v>30</v>
      </c>
      <c r="I24" s="187"/>
      <c r="J24" s="405">
        <v>49</v>
      </c>
      <c r="K24" s="186">
        <v>145</v>
      </c>
      <c r="L24" s="187"/>
      <c r="M24" s="187"/>
      <c r="N24" s="187"/>
      <c r="O24" s="187"/>
      <c r="P24" s="187"/>
      <c r="Q24" s="406">
        <v>0</v>
      </c>
      <c r="R24" s="227"/>
      <c r="S24" s="227"/>
      <c r="T24" s="1"/>
      <c r="U24" s="1"/>
      <c r="V24" s="1"/>
      <c r="W24" s="1"/>
      <c r="X24" s="1">
        <v>161</v>
      </c>
      <c r="Y24" s="7" t="s">
        <v>9</v>
      </c>
      <c r="Z24" s="62"/>
      <c r="AA24" s="8">
        <v>4</v>
      </c>
      <c r="AB24">
        <f t="shared" si="0"/>
        <v>1.1103448275862069</v>
      </c>
    </row>
    <row r="25" spans="1:31" x14ac:dyDescent="0.2">
      <c r="A25" s="1">
        <v>2015</v>
      </c>
      <c r="B25" s="1"/>
      <c r="C25" s="1"/>
      <c r="D25" s="1"/>
      <c r="E25" s="227"/>
      <c r="F25" s="227"/>
      <c r="G25" s="227"/>
      <c r="H25" s="189">
        <v>269</v>
      </c>
      <c r="I25" s="187"/>
      <c r="J25" s="189">
        <v>88</v>
      </c>
      <c r="K25" s="410"/>
      <c r="L25" s="187"/>
      <c r="M25" s="189">
        <v>272</v>
      </c>
      <c r="N25" s="187"/>
      <c r="O25" s="189">
        <v>4</v>
      </c>
      <c r="P25" s="227"/>
      <c r="Q25" s="227"/>
      <c r="R25" s="227"/>
      <c r="S25" s="227"/>
      <c r="T25" s="1"/>
      <c r="U25" s="1"/>
      <c r="V25" s="1"/>
      <c r="W25" s="1"/>
      <c r="X25" s="1">
        <v>336</v>
      </c>
      <c r="Y25" s="7"/>
      <c r="Z25" s="62"/>
      <c r="AA25" s="8">
        <v>5</v>
      </c>
      <c r="AB25">
        <f t="shared" si="0"/>
        <v>1.2352941176470589</v>
      </c>
    </row>
    <row r="26" spans="1:31" x14ac:dyDescent="0.2">
      <c r="A26" s="1">
        <v>2016</v>
      </c>
      <c r="B26" s="1"/>
      <c r="C26" s="1"/>
      <c r="D26" s="1"/>
      <c r="E26" s="227"/>
      <c r="F26" s="227"/>
      <c r="G26" s="220"/>
      <c r="H26" s="189">
        <v>150</v>
      </c>
      <c r="I26" s="220"/>
      <c r="J26" s="189">
        <v>153</v>
      </c>
      <c r="K26" s="227"/>
      <c r="L26" s="227"/>
      <c r="M26" s="227"/>
      <c r="N26" s="227"/>
      <c r="O26" s="227"/>
      <c r="P26" s="227"/>
      <c r="Q26" s="416">
        <v>0</v>
      </c>
      <c r="R26" s="227"/>
      <c r="S26" s="227"/>
      <c r="T26" s="1"/>
      <c r="U26" s="1"/>
      <c r="V26" s="1"/>
      <c r="W26" s="1"/>
      <c r="X26" s="1"/>
      <c r="Y26" s="7"/>
      <c r="Z26" s="62"/>
      <c r="AA26" s="8"/>
      <c r="AB26">
        <f t="shared" si="0"/>
        <v>0</v>
      </c>
    </row>
    <row r="27" spans="1:31" x14ac:dyDescent="0.2">
      <c r="A27" s="1">
        <v>2017</v>
      </c>
      <c r="B27" s="1"/>
      <c r="C27" s="1"/>
      <c r="D27" s="1"/>
      <c r="E27" s="227"/>
      <c r="F27" s="227"/>
      <c r="G27" s="220"/>
      <c r="H27" s="220"/>
      <c r="I27" s="220"/>
      <c r="J27" s="189">
        <v>172</v>
      </c>
      <c r="K27" s="220"/>
      <c r="L27" s="220"/>
      <c r="M27" s="220"/>
      <c r="N27" s="220"/>
      <c r="O27" s="220"/>
      <c r="P27" s="220"/>
      <c r="Q27" s="220"/>
      <c r="R27" s="220"/>
      <c r="S27" s="220"/>
      <c r="T27" s="189">
        <v>0</v>
      </c>
      <c r="U27" s="1"/>
      <c r="V27" s="1"/>
      <c r="W27" s="1"/>
      <c r="X27" s="1"/>
      <c r="Y27" s="7"/>
      <c r="Z27" s="62"/>
      <c r="AA27" s="8"/>
    </row>
    <row r="28" spans="1:31" x14ac:dyDescent="0.2">
      <c r="A28" s="1">
        <v>2018</v>
      </c>
      <c r="B28" s="1"/>
      <c r="C28" s="1"/>
      <c r="D28" s="1"/>
      <c r="E28" s="227"/>
      <c r="F28" s="227"/>
      <c r="G28" s="220"/>
      <c r="H28" s="220"/>
      <c r="I28" s="220"/>
      <c r="J28" s="189">
        <v>58</v>
      </c>
      <c r="K28" s="220"/>
      <c r="L28" s="220"/>
      <c r="M28" s="220"/>
      <c r="N28" s="220"/>
      <c r="O28" s="189">
        <v>50</v>
      </c>
      <c r="P28" s="220"/>
      <c r="Q28" s="416">
        <v>0</v>
      </c>
      <c r="R28" s="220"/>
      <c r="S28" s="220"/>
      <c r="T28" s="1"/>
      <c r="U28" s="1"/>
      <c r="V28" s="1"/>
      <c r="W28" s="1"/>
      <c r="X28" s="1"/>
      <c r="Y28" s="7"/>
      <c r="Z28" s="62"/>
      <c r="AA28" s="8"/>
    </row>
    <row r="29" spans="1:31" x14ac:dyDescent="0.2">
      <c r="A29" s="1">
        <v>2019</v>
      </c>
      <c r="B29" s="1"/>
      <c r="C29" s="1"/>
      <c r="D29" s="1"/>
      <c r="E29" s="227"/>
      <c r="F29" s="227"/>
      <c r="G29" s="220"/>
      <c r="H29" s="588">
        <v>45</v>
      </c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1"/>
      <c r="V29" s="1"/>
      <c r="W29" s="1"/>
      <c r="X29" s="1"/>
      <c r="Y29" s="7"/>
      <c r="Z29" s="62"/>
      <c r="AA29" s="8"/>
    </row>
    <row r="30" spans="1:31" x14ac:dyDescent="0.2">
      <c r="A30" s="1">
        <v>2020</v>
      </c>
      <c r="B30" s="1"/>
      <c r="C30" s="1"/>
      <c r="D30" s="1"/>
      <c r="E30" s="227"/>
      <c r="F30" s="227"/>
      <c r="G30" s="220"/>
      <c r="H30" s="587">
        <v>88</v>
      </c>
      <c r="I30" s="220"/>
      <c r="J30" s="220"/>
      <c r="K30" s="703">
        <v>86</v>
      </c>
      <c r="L30" s="220"/>
      <c r="M30" s="220"/>
      <c r="N30" s="588">
        <v>15</v>
      </c>
      <c r="O30" s="220"/>
      <c r="P30" s="220"/>
      <c r="Q30" s="220"/>
      <c r="R30" s="220"/>
      <c r="S30" s="220"/>
      <c r="T30" s="220"/>
      <c r="U30" s="1"/>
      <c r="V30" s="1"/>
      <c r="W30" s="1"/>
      <c r="X30" s="1">
        <v>136</v>
      </c>
      <c r="Y30" s="7" t="s">
        <v>9</v>
      </c>
      <c r="Z30" s="62"/>
      <c r="AA30" s="8"/>
    </row>
    <row r="31" spans="1:31" s="151" customFormat="1" x14ac:dyDescent="0.2">
      <c r="A31" s="227">
        <v>2021</v>
      </c>
      <c r="B31" s="227"/>
      <c r="C31" s="227"/>
      <c r="D31" s="227"/>
      <c r="E31" s="227"/>
      <c r="F31" s="227"/>
      <c r="G31" s="220"/>
      <c r="H31" s="587">
        <v>17</v>
      </c>
      <c r="I31" s="220"/>
      <c r="J31" s="220"/>
      <c r="K31" s="765"/>
      <c r="L31" s="220"/>
      <c r="M31" s="220"/>
      <c r="N31" s="766"/>
      <c r="O31" s="826">
        <v>3</v>
      </c>
      <c r="P31" s="220"/>
      <c r="Q31" s="831">
        <v>0</v>
      </c>
      <c r="R31" s="220"/>
      <c r="S31" s="220"/>
      <c r="T31" s="220"/>
      <c r="U31" s="227"/>
      <c r="V31" s="227"/>
      <c r="W31" s="227"/>
      <c r="X31" s="227">
        <v>21</v>
      </c>
      <c r="Y31" s="7" t="s">
        <v>9</v>
      </c>
      <c r="Z31" s="750"/>
      <c r="AA31" s="94"/>
    </row>
    <row r="32" spans="1:31" s="151" customFormat="1" x14ac:dyDescent="0.2">
      <c r="A32" s="227">
        <v>2022</v>
      </c>
      <c r="B32" s="227"/>
      <c r="C32" s="227"/>
      <c r="D32" s="227"/>
      <c r="E32" s="227"/>
      <c r="F32" s="227"/>
      <c r="G32" s="220"/>
      <c r="H32" s="220"/>
      <c r="I32" s="587">
        <v>19</v>
      </c>
      <c r="J32" s="220"/>
      <c r="K32" s="587">
        <v>14</v>
      </c>
      <c r="L32" s="220"/>
      <c r="M32" s="220"/>
      <c r="N32" s="766"/>
      <c r="O32" s="587">
        <v>3</v>
      </c>
      <c r="P32" s="220"/>
      <c r="Q32" s="220"/>
      <c r="R32" s="220"/>
      <c r="S32" s="220"/>
      <c r="T32" s="220"/>
      <c r="U32" s="227"/>
      <c r="V32" s="227"/>
      <c r="W32" s="227"/>
      <c r="X32" s="227"/>
      <c r="Y32" s="11"/>
      <c r="Z32" s="750"/>
      <c r="AA32" s="94"/>
    </row>
    <row r="33" spans="1:28" s="151" customFormat="1" x14ac:dyDescent="0.2">
      <c r="A33" s="227">
        <v>2023</v>
      </c>
      <c r="B33" s="227"/>
      <c r="C33" s="227"/>
      <c r="D33" s="227"/>
      <c r="E33" s="227"/>
      <c r="F33" s="227"/>
      <c r="G33" s="220"/>
      <c r="H33" s="587">
        <v>72</v>
      </c>
      <c r="I33" s="220"/>
      <c r="J33" s="588">
        <v>103</v>
      </c>
      <c r="K33" s="765"/>
      <c r="L33" s="220"/>
      <c r="M33" s="587">
        <v>6</v>
      </c>
      <c r="N33" s="766"/>
      <c r="O33" s="885"/>
      <c r="P33" s="220"/>
      <c r="Q33" s="220"/>
      <c r="R33" s="220"/>
      <c r="S33" s="220"/>
      <c r="T33" s="220"/>
      <c r="U33" s="227"/>
      <c r="V33" s="227"/>
      <c r="W33" s="227"/>
      <c r="X33" s="227"/>
      <c r="Y33" s="11"/>
      <c r="Z33" s="750"/>
      <c r="AA33" s="94"/>
    </row>
    <row r="34" spans="1:28" x14ac:dyDescent="0.2">
      <c r="A34" s="64" t="s">
        <v>17</v>
      </c>
      <c r="B34" s="16"/>
      <c r="C34" s="16">
        <f>AVERAGE(C5:C19)</f>
        <v>0</v>
      </c>
      <c r="D34" s="16">
        <f t="shared" ref="D34:T34" si="1">AVERAGE(D5:D19)</f>
        <v>0</v>
      </c>
      <c r="E34" s="16">
        <f t="shared" si="1"/>
        <v>0</v>
      </c>
      <c r="F34" s="16">
        <f t="shared" si="1"/>
        <v>5.333333333333333</v>
      </c>
      <c r="G34" s="16">
        <f t="shared" si="1"/>
        <v>12.666666666666666</v>
      </c>
      <c r="H34" s="16">
        <f t="shared" si="1"/>
        <v>60.25</v>
      </c>
      <c r="I34" s="16">
        <f t="shared" si="1"/>
        <v>132</v>
      </c>
      <c r="J34" s="16">
        <f t="shared" si="1"/>
        <v>309.39999999999998</v>
      </c>
      <c r="K34" s="16">
        <f t="shared" si="1"/>
        <v>488</v>
      </c>
      <c r="L34" s="16">
        <f t="shared" si="1"/>
        <v>45</v>
      </c>
      <c r="M34" s="16">
        <f t="shared" si="1"/>
        <v>25.5</v>
      </c>
      <c r="N34" s="16">
        <f t="shared" si="1"/>
        <v>3.6666666666666665</v>
      </c>
      <c r="O34" s="16">
        <f t="shared" si="1"/>
        <v>0</v>
      </c>
      <c r="P34" s="16">
        <f t="shared" si="1"/>
        <v>0</v>
      </c>
      <c r="Q34" s="16">
        <f t="shared" si="1"/>
        <v>0.5</v>
      </c>
      <c r="R34" s="16">
        <f t="shared" si="1"/>
        <v>0</v>
      </c>
      <c r="S34" s="16"/>
      <c r="T34" s="16">
        <f t="shared" si="1"/>
        <v>0</v>
      </c>
      <c r="U34" s="16"/>
      <c r="V34" s="16"/>
      <c r="W34" s="16"/>
      <c r="X34" s="16">
        <f>AVERAGE(X5:X19)</f>
        <v>338.09090909090907</v>
      </c>
      <c r="Y34" s="17"/>
      <c r="Z34" s="16">
        <f>AVERAGE(Z5:Z19)</f>
        <v>19.375</v>
      </c>
      <c r="AA34" s="8"/>
    </row>
    <row r="35" spans="1:28" x14ac:dyDescent="0.2">
      <c r="A35" s="19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56"/>
      <c r="AA35" s="2"/>
    </row>
    <row r="36" spans="1:28" x14ac:dyDescent="0.2">
      <c r="A36" s="1002" t="s">
        <v>651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  <c r="Z36" s="56"/>
      <c r="AA36" s="2"/>
    </row>
    <row r="37" spans="1:28" ht="13.5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11" t="s">
        <v>319</v>
      </c>
      <c r="Y37" s="2"/>
      <c r="Z37" s="56"/>
      <c r="AA37" s="2"/>
    </row>
    <row r="38" spans="1:28" ht="13.5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31" t="s">
        <v>2</v>
      </c>
      <c r="Y38" s="1010" t="s">
        <v>3</v>
      </c>
      <c r="Z38" s="1008" t="s">
        <v>4</v>
      </c>
      <c r="AA38" s="2"/>
    </row>
    <row r="39" spans="1:28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32"/>
      <c r="Y39" s="1011"/>
      <c r="Z39" s="1009"/>
      <c r="AA39" s="2" t="s">
        <v>318</v>
      </c>
      <c r="AB39" t="s">
        <v>142</v>
      </c>
    </row>
    <row r="40" spans="1:28" x14ac:dyDescent="0.2">
      <c r="A40" s="1">
        <v>1995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89"/>
      <c r="U40" s="89"/>
      <c r="V40" s="89"/>
      <c r="W40" s="89"/>
      <c r="X40" s="21">
        <v>700</v>
      </c>
      <c r="Y40" s="11" t="s">
        <v>316</v>
      </c>
      <c r="Z40" s="92"/>
      <c r="AA40" s="2" t="s">
        <v>316</v>
      </c>
      <c r="AB40" t="e">
        <f>X40/MAX(B40:W40)</f>
        <v>#DIV/0!</v>
      </c>
    </row>
    <row r="41" spans="1:28" x14ac:dyDescent="0.2">
      <c r="A41" s="1">
        <v>1996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89"/>
      <c r="U41" s="89"/>
      <c r="V41" s="89"/>
      <c r="W41" s="89"/>
      <c r="X41" s="21">
        <v>931</v>
      </c>
      <c r="Y41" s="11" t="s">
        <v>317</v>
      </c>
      <c r="Z41" s="404"/>
      <c r="AA41" s="2" t="s">
        <v>321</v>
      </c>
      <c r="AB41" t="e">
        <f t="shared" ref="AB41:AB61" si="2">X41/MAX(B41:W41)</f>
        <v>#DIV/0!</v>
      </c>
    </row>
    <row r="42" spans="1:28" x14ac:dyDescent="0.2">
      <c r="A42" s="1">
        <v>1997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89"/>
      <c r="U42" s="89"/>
      <c r="V42" s="89"/>
      <c r="W42" s="89"/>
      <c r="X42" s="21">
        <v>600</v>
      </c>
      <c r="Y42" s="11" t="s">
        <v>317</v>
      </c>
      <c r="Z42" s="92"/>
      <c r="AA42" s="2" t="s">
        <v>321</v>
      </c>
      <c r="AB42" t="e">
        <f t="shared" si="2"/>
        <v>#DIV/0!</v>
      </c>
    </row>
    <row r="43" spans="1:28" x14ac:dyDescent="0.2">
      <c r="A43" s="1">
        <v>1998</v>
      </c>
      <c r="B43" s="6"/>
      <c r="C43" s="6"/>
      <c r="D43" s="6"/>
      <c r="E43" s="6"/>
      <c r="F43" s="119">
        <v>465</v>
      </c>
      <c r="G43" s="6"/>
      <c r="H43" s="119">
        <v>1387</v>
      </c>
      <c r="I43" s="6"/>
      <c r="J43" s="119">
        <v>1422</v>
      </c>
      <c r="K43" s="6"/>
      <c r="L43" s="6"/>
      <c r="M43" s="413">
        <v>1039</v>
      </c>
      <c r="N43" s="6"/>
      <c r="O43" s="6"/>
      <c r="P43" s="419">
        <f>752+7</f>
        <v>759</v>
      </c>
      <c r="Q43" s="6"/>
      <c r="R43" s="6"/>
      <c r="S43" s="6"/>
      <c r="T43" s="1"/>
      <c r="U43" s="1"/>
      <c r="V43" s="1"/>
      <c r="W43" s="1"/>
      <c r="X43" s="21">
        <v>2000</v>
      </c>
      <c r="Y43" s="11" t="s">
        <v>316</v>
      </c>
      <c r="Z43" s="92"/>
      <c r="AA43" s="2"/>
      <c r="AB43">
        <f t="shared" si="2"/>
        <v>1.4064697609001406</v>
      </c>
    </row>
    <row r="44" spans="1:28" x14ac:dyDescent="0.2">
      <c r="A44" s="1">
        <v>1999</v>
      </c>
      <c r="B44" s="119">
        <f>571+1</f>
        <v>572</v>
      </c>
      <c r="C44" s="6"/>
      <c r="D44" s="6"/>
      <c r="E44" s="6"/>
      <c r="F44" s="119">
        <v>292</v>
      </c>
      <c r="G44" s="6"/>
      <c r="H44" s="119">
        <v>518</v>
      </c>
      <c r="I44" s="119">
        <v>554</v>
      </c>
      <c r="J44" s="119">
        <f>490+1</f>
        <v>491</v>
      </c>
      <c r="K44" s="6"/>
      <c r="L44" s="6"/>
      <c r="M44" s="119">
        <v>509</v>
      </c>
      <c r="N44" s="6"/>
      <c r="O44" s="119">
        <v>657</v>
      </c>
      <c r="Q44" s="119">
        <v>391</v>
      </c>
      <c r="R44" s="6"/>
      <c r="S44" s="6"/>
      <c r="T44" s="123">
        <v>126</v>
      </c>
      <c r="U44" s="1"/>
      <c r="V44" s="1"/>
      <c r="W44" s="1"/>
      <c r="X44" s="21">
        <v>1922</v>
      </c>
      <c r="Y44" s="11" t="s">
        <v>5</v>
      </c>
      <c r="Z44" s="92">
        <v>35</v>
      </c>
      <c r="AA44" s="2" t="s">
        <v>321</v>
      </c>
      <c r="AB44">
        <f t="shared" si="2"/>
        <v>2.9254185692541856</v>
      </c>
    </row>
    <row r="45" spans="1:28" x14ac:dyDescent="0.2">
      <c r="A45" s="1">
        <v>2000</v>
      </c>
      <c r="B45" s="6"/>
      <c r="C45" s="119">
        <v>326</v>
      </c>
      <c r="D45" s="119">
        <v>193</v>
      </c>
      <c r="E45" s="119">
        <v>255</v>
      </c>
      <c r="F45" s="119">
        <v>275</v>
      </c>
      <c r="G45" s="119">
        <v>249</v>
      </c>
      <c r="H45" s="119">
        <f>611+1</f>
        <v>612</v>
      </c>
      <c r="I45" s="6"/>
      <c r="J45" s="119">
        <f>569+2</f>
        <v>571</v>
      </c>
      <c r="K45" s="6"/>
      <c r="L45" s="119">
        <f>976+1</f>
        <v>977</v>
      </c>
      <c r="M45" s="6"/>
      <c r="N45" s="119">
        <f>885</f>
        <v>885</v>
      </c>
      <c r="O45" s="6"/>
      <c r="Q45" s="119">
        <f>841+1</f>
        <v>842</v>
      </c>
      <c r="R45" s="6"/>
      <c r="S45" s="6"/>
      <c r="T45" s="1"/>
      <c r="U45" s="1"/>
      <c r="V45" s="1"/>
      <c r="W45" s="1"/>
      <c r="X45" s="21">
        <v>987</v>
      </c>
      <c r="Y45" s="11" t="s">
        <v>9</v>
      </c>
      <c r="Z45" s="92"/>
      <c r="AA45" s="2" t="s">
        <v>321</v>
      </c>
      <c r="AB45">
        <f t="shared" si="2"/>
        <v>1.0102354145342887</v>
      </c>
    </row>
    <row r="46" spans="1:28" x14ac:dyDescent="0.2">
      <c r="A46" s="1">
        <v>2001</v>
      </c>
      <c r="B46" s="6"/>
      <c r="C46" s="119">
        <f>981+2</f>
        <v>983</v>
      </c>
      <c r="D46" s="6"/>
      <c r="E46" s="6"/>
      <c r="F46" s="6"/>
      <c r="G46" s="119">
        <f>1555+3</f>
        <v>1558</v>
      </c>
      <c r="H46" s="119">
        <f>1261+4</f>
        <v>1265</v>
      </c>
      <c r="I46" s="6"/>
      <c r="J46" s="6"/>
      <c r="K46" s="119">
        <f>829+8</f>
        <v>837</v>
      </c>
      <c r="L46" s="6"/>
      <c r="M46" s="6"/>
      <c r="N46" s="119">
        <v>1083</v>
      </c>
      <c r="O46" s="6"/>
      <c r="P46" s="6"/>
      <c r="Q46" s="6"/>
      <c r="R46" s="119">
        <f>511+7</f>
        <v>518</v>
      </c>
      <c r="S46" s="6"/>
      <c r="T46" s="1"/>
      <c r="U46" s="1"/>
      <c r="V46" s="1"/>
      <c r="W46" s="1"/>
      <c r="X46" s="21">
        <v>1332</v>
      </c>
      <c r="Y46" s="11" t="s">
        <v>9</v>
      </c>
      <c r="Z46" s="92"/>
      <c r="AA46" s="2">
        <v>1</v>
      </c>
      <c r="AB46">
        <f t="shared" si="2"/>
        <v>0.85494223363286259</v>
      </c>
    </row>
    <row r="47" spans="1:28" x14ac:dyDescent="0.2">
      <c r="A47" s="1">
        <v>2002</v>
      </c>
      <c r="B47" s="6"/>
      <c r="C47" s="6"/>
      <c r="D47" s="6"/>
      <c r="E47" s="6"/>
      <c r="G47" s="119">
        <f>791+10</f>
        <v>801</v>
      </c>
      <c r="I47" s="119">
        <v>443</v>
      </c>
      <c r="R47" s="413">
        <v>399</v>
      </c>
      <c r="S47" s="6"/>
      <c r="T47" s="1"/>
      <c r="U47" s="1"/>
      <c r="V47" s="1"/>
      <c r="W47" s="1"/>
      <c r="X47" s="21">
        <v>2465</v>
      </c>
      <c r="Y47" s="11" t="s">
        <v>5</v>
      </c>
      <c r="Z47" s="404" t="s">
        <v>320</v>
      </c>
      <c r="AA47" s="2">
        <v>2</v>
      </c>
      <c r="AB47">
        <f t="shared" si="2"/>
        <v>3.077403245942572</v>
      </c>
    </row>
    <row r="48" spans="1:28" x14ac:dyDescent="0.2">
      <c r="A48" s="1">
        <v>2003</v>
      </c>
      <c r="B48" s="6"/>
      <c r="C48" s="6"/>
      <c r="D48" s="6"/>
      <c r="E48" s="6"/>
      <c r="F48" s="6"/>
      <c r="G48" s="6"/>
      <c r="H48" s="6"/>
      <c r="I48" s="6"/>
      <c r="J48" s="119">
        <v>556</v>
      </c>
      <c r="K48" s="6"/>
      <c r="L48" s="6"/>
      <c r="M48" s="6"/>
      <c r="N48" s="413">
        <f>909+1</f>
        <v>910</v>
      </c>
      <c r="O48" s="6"/>
      <c r="P48" s="6"/>
      <c r="Q48" s="6"/>
      <c r="R48" s="6"/>
      <c r="S48" s="6"/>
      <c r="T48" s="1"/>
      <c r="U48" s="1"/>
      <c r="V48" s="1"/>
      <c r="W48" s="1"/>
      <c r="X48" s="21">
        <v>929</v>
      </c>
      <c r="Y48" s="11" t="s">
        <v>9</v>
      </c>
      <c r="Z48" s="92"/>
      <c r="AA48" s="2">
        <v>4</v>
      </c>
      <c r="AB48">
        <f t="shared" si="2"/>
        <v>1.0208791208791208</v>
      </c>
    </row>
    <row r="49" spans="1:28" x14ac:dyDescent="0.2">
      <c r="A49" s="1">
        <v>2004</v>
      </c>
      <c r="B49" s="6"/>
      <c r="C49" s="6"/>
      <c r="D49" s="6"/>
      <c r="E49" s="6"/>
      <c r="F49" s="6"/>
      <c r="G49" s="6"/>
      <c r="H49" s="6"/>
      <c r="I49" s="6"/>
      <c r="J49" s="119">
        <f>408</f>
        <v>408</v>
      </c>
      <c r="K49" s="6"/>
      <c r="L49" s="6"/>
      <c r="M49" s="6"/>
      <c r="N49" s="6"/>
      <c r="O49" s="6"/>
      <c r="P49" s="6"/>
      <c r="Q49" s="6"/>
      <c r="R49" s="6"/>
      <c r="S49" s="6"/>
      <c r="T49" s="1"/>
      <c r="U49" s="1"/>
      <c r="V49" s="1"/>
      <c r="W49" s="1"/>
      <c r="X49" s="21">
        <v>583</v>
      </c>
      <c r="Y49" s="11" t="s">
        <v>9</v>
      </c>
      <c r="Z49" s="59"/>
      <c r="AA49" s="2">
        <v>5</v>
      </c>
      <c r="AB49">
        <f t="shared" si="2"/>
        <v>1.428921568627451</v>
      </c>
    </row>
    <row r="50" spans="1:28" x14ac:dyDescent="0.2">
      <c r="A50" s="1">
        <v>2005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"/>
      <c r="U50" s="1"/>
      <c r="V50" s="1"/>
      <c r="W50" s="1"/>
      <c r="X50" s="11" t="s">
        <v>322</v>
      </c>
      <c r="Y50" s="11"/>
      <c r="Z50" s="404"/>
      <c r="AA50" s="2"/>
    </row>
    <row r="51" spans="1:28" x14ac:dyDescent="0.2">
      <c r="A51" s="1">
        <v>2006</v>
      </c>
      <c r="B51" s="6"/>
      <c r="C51" s="6"/>
      <c r="D51" s="6"/>
      <c r="E51" s="6"/>
      <c r="F51" s="6"/>
      <c r="G51" s="6"/>
      <c r="H51" s="6"/>
      <c r="I51" s="6"/>
      <c r="J51" s="6"/>
      <c r="K51" s="119">
        <v>83</v>
      </c>
      <c r="L51" s="6"/>
      <c r="M51" s="6"/>
      <c r="N51" s="6"/>
      <c r="O51" s="6"/>
      <c r="P51" s="6"/>
      <c r="Q51" s="6"/>
      <c r="R51" s="6"/>
      <c r="S51" s="6"/>
      <c r="T51" s="1"/>
      <c r="U51" s="1"/>
      <c r="V51" s="1"/>
      <c r="W51" s="1"/>
      <c r="X51" s="30">
        <v>83</v>
      </c>
      <c r="Y51" s="11" t="s">
        <v>9</v>
      </c>
      <c r="Z51" s="404"/>
      <c r="AA51" s="2">
        <v>5</v>
      </c>
      <c r="AB51">
        <f t="shared" si="2"/>
        <v>1</v>
      </c>
    </row>
    <row r="52" spans="1:28" x14ac:dyDescent="0.2">
      <c r="A52" s="1">
        <v>2007</v>
      </c>
      <c r="B52" s="119">
        <f>139+1</f>
        <v>140</v>
      </c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89"/>
      <c r="U52" s="89"/>
      <c r="V52" s="89"/>
      <c r="W52" s="89"/>
      <c r="X52" s="11" t="s">
        <v>322</v>
      </c>
      <c r="Y52" s="11"/>
      <c r="Z52" s="404"/>
      <c r="AA52" s="2"/>
    </row>
    <row r="53" spans="1:28" x14ac:dyDescent="0.2">
      <c r="A53" s="13">
        <v>2008</v>
      </c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11" t="s">
        <v>322</v>
      </c>
      <c r="Y53" s="11"/>
      <c r="Z53" s="92"/>
      <c r="AA53" s="55"/>
    </row>
    <row r="54" spans="1:28" x14ac:dyDescent="0.2">
      <c r="A54" s="13">
        <v>2009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11" t="s">
        <v>322</v>
      </c>
      <c r="Y54" s="11"/>
      <c r="Z54" s="92"/>
      <c r="AA54" s="2"/>
    </row>
    <row r="55" spans="1:28" x14ac:dyDescent="0.2">
      <c r="A55" s="13">
        <v>2010</v>
      </c>
      <c r="B55" s="89"/>
      <c r="C55" s="89"/>
      <c r="D55" s="89"/>
      <c r="E55" s="89"/>
      <c r="F55" s="89"/>
      <c r="G55" s="89"/>
      <c r="H55" s="89"/>
      <c r="I55" s="89"/>
      <c r="J55" s="89"/>
      <c r="K55" s="119">
        <f>121+2</f>
        <v>123</v>
      </c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21">
        <v>122</v>
      </c>
      <c r="Y55" s="11" t="s">
        <v>9</v>
      </c>
      <c r="Z55" s="92"/>
      <c r="AA55" s="2">
        <v>6</v>
      </c>
      <c r="AB55">
        <f t="shared" si="2"/>
        <v>0.99186991869918695</v>
      </c>
    </row>
    <row r="56" spans="1:28" x14ac:dyDescent="0.2">
      <c r="A56" s="13">
        <v>2011</v>
      </c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11" t="s">
        <v>322</v>
      </c>
      <c r="Y56" s="11"/>
      <c r="Z56" s="92"/>
      <c r="AA56" s="2"/>
    </row>
    <row r="57" spans="1:28" x14ac:dyDescent="0.2">
      <c r="A57" s="13">
        <v>2012</v>
      </c>
      <c r="B57" s="89"/>
      <c r="C57" s="89"/>
      <c r="D57" s="89"/>
      <c r="E57" s="89"/>
      <c r="F57" s="227"/>
      <c r="G57" s="227"/>
      <c r="H57" s="227"/>
      <c r="I57" s="325">
        <v>559</v>
      </c>
      <c r="J57" s="227"/>
      <c r="K57" s="227"/>
      <c r="L57" s="227"/>
      <c r="M57" s="227"/>
      <c r="N57" s="227"/>
      <c r="O57" s="227"/>
      <c r="P57" s="227"/>
      <c r="Q57" s="89"/>
      <c r="R57" s="89"/>
      <c r="S57" s="89"/>
      <c r="T57" s="89"/>
      <c r="U57" s="89"/>
      <c r="V57" s="89"/>
      <c r="W57" s="89"/>
      <c r="X57" s="21">
        <v>683</v>
      </c>
      <c r="Y57" s="11" t="s">
        <v>9</v>
      </c>
      <c r="Z57" s="92"/>
      <c r="AA57" s="2">
        <v>5</v>
      </c>
      <c r="AB57">
        <f t="shared" si="2"/>
        <v>1.2218246869409659</v>
      </c>
    </row>
    <row r="58" spans="1:28" x14ac:dyDescent="0.2">
      <c r="A58" s="13">
        <v>2013</v>
      </c>
      <c r="B58" s="89"/>
      <c r="C58" s="89"/>
      <c r="D58" s="89"/>
      <c r="E58" s="89"/>
      <c r="F58" s="89"/>
      <c r="G58" s="89"/>
      <c r="H58" s="200">
        <v>880</v>
      </c>
      <c r="I58" s="201"/>
      <c r="J58" s="201"/>
      <c r="K58" s="201"/>
      <c r="L58" s="200">
        <v>543</v>
      </c>
      <c r="M58" s="414">
        <v>1256</v>
      </c>
      <c r="N58" s="201"/>
      <c r="O58" s="415">
        <v>0</v>
      </c>
      <c r="P58" s="150"/>
      <c r="Q58" s="89"/>
      <c r="R58" s="89"/>
      <c r="S58" s="89"/>
      <c r="T58" s="89"/>
      <c r="U58" s="89"/>
      <c r="V58" s="89"/>
      <c r="W58" s="89"/>
      <c r="X58" s="21">
        <v>1282</v>
      </c>
      <c r="Y58" s="11" t="s">
        <v>9</v>
      </c>
      <c r="Z58" s="92"/>
      <c r="AA58" s="2">
        <v>5</v>
      </c>
      <c r="AB58">
        <f t="shared" si="2"/>
        <v>1.0207006369426752</v>
      </c>
    </row>
    <row r="59" spans="1:28" x14ac:dyDescent="0.2">
      <c r="A59" s="13">
        <v>2014</v>
      </c>
      <c r="B59" s="89"/>
      <c r="C59" s="89"/>
      <c r="D59" s="89"/>
      <c r="E59" s="89"/>
      <c r="F59" s="89"/>
      <c r="G59" s="89"/>
      <c r="H59" s="405">
        <v>497</v>
      </c>
      <c r="I59" s="187"/>
      <c r="J59" s="405">
        <v>178</v>
      </c>
      <c r="K59" s="186">
        <v>229</v>
      </c>
      <c r="L59" s="187"/>
      <c r="M59" s="187"/>
      <c r="N59" s="187"/>
      <c r="O59" s="187"/>
      <c r="P59" s="187"/>
      <c r="Q59" s="406">
        <v>322</v>
      </c>
      <c r="R59" s="89"/>
      <c r="S59" s="89"/>
      <c r="T59" s="89"/>
      <c r="U59" s="89"/>
      <c r="V59" s="89"/>
      <c r="W59" s="89"/>
      <c r="X59" s="21">
        <v>552</v>
      </c>
      <c r="Y59" s="11" t="s">
        <v>9</v>
      </c>
      <c r="Z59" s="92"/>
      <c r="AA59" s="2">
        <v>4</v>
      </c>
      <c r="AB59">
        <f t="shared" si="2"/>
        <v>1.1106639839034205</v>
      </c>
    </row>
    <row r="60" spans="1:28" x14ac:dyDescent="0.2">
      <c r="A60" s="13">
        <v>2015</v>
      </c>
      <c r="B60" s="89"/>
      <c r="C60" s="89"/>
      <c r="D60" s="89"/>
      <c r="E60" s="89"/>
      <c r="F60" s="220"/>
      <c r="G60" s="220"/>
      <c r="H60" s="189">
        <v>700</v>
      </c>
      <c r="I60" s="187"/>
      <c r="J60" s="189">
        <v>95</v>
      </c>
      <c r="K60" s="410"/>
      <c r="L60" s="187"/>
      <c r="M60" s="189">
        <v>40</v>
      </c>
      <c r="N60" s="187"/>
      <c r="O60" s="409">
        <v>342</v>
      </c>
      <c r="P60" s="89"/>
      <c r="Q60" s="89"/>
      <c r="R60" s="89"/>
      <c r="S60" s="89"/>
      <c r="T60" s="89"/>
      <c r="U60" s="89"/>
      <c r="V60" s="89"/>
      <c r="W60" s="89"/>
      <c r="X60" s="21">
        <v>888</v>
      </c>
      <c r="Y60" s="11" t="s">
        <v>9</v>
      </c>
      <c r="Z60" s="92"/>
      <c r="AA60" s="2">
        <v>4</v>
      </c>
      <c r="AB60">
        <f t="shared" si="2"/>
        <v>1.2685714285714285</v>
      </c>
    </row>
    <row r="61" spans="1:28" x14ac:dyDescent="0.2">
      <c r="A61" s="13">
        <v>2016</v>
      </c>
      <c r="B61" s="89"/>
      <c r="C61" s="89"/>
      <c r="D61" s="89"/>
      <c r="E61" s="89"/>
      <c r="F61" s="89"/>
      <c r="G61" s="220"/>
      <c r="H61" s="189">
        <v>266</v>
      </c>
      <c r="I61" s="220"/>
      <c r="J61" s="189">
        <v>116</v>
      </c>
      <c r="K61" s="227"/>
      <c r="L61" s="227"/>
      <c r="M61" s="227"/>
      <c r="N61" s="227"/>
      <c r="O61" s="227"/>
      <c r="P61" s="227"/>
      <c r="Q61" s="416">
        <v>323</v>
      </c>
      <c r="R61" s="89"/>
      <c r="S61" s="89"/>
      <c r="T61" s="89"/>
      <c r="U61" s="89"/>
      <c r="V61" s="89"/>
      <c r="W61" s="89"/>
      <c r="X61" s="21">
        <v>360</v>
      </c>
      <c r="Y61" s="11" t="s">
        <v>9</v>
      </c>
      <c r="Z61" s="92"/>
      <c r="AA61" s="2"/>
      <c r="AB61">
        <f t="shared" si="2"/>
        <v>1.1145510835913313</v>
      </c>
    </row>
    <row r="62" spans="1:28" x14ac:dyDescent="0.2">
      <c r="A62" s="13">
        <v>2017</v>
      </c>
      <c r="B62" s="89"/>
      <c r="C62" s="89"/>
      <c r="D62" s="89"/>
      <c r="E62" s="89"/>
      <c r="F62" s="89"/>
      <c r="G62" s="220"/>
      <c r="H62" s="220"/>
      <c r="I62" s="220"/>
      <c r="J62" s="189">
        <v>279</v>
      </c>
      <c r="K62" s="220"/>
      <c r="L62" s="220"/>
      <c r="M62" s="220"/>
      <c r="N62" s="220"/>
      <c r="O62" s="220"/>
      <c r="P62" s="220"/>
      <c r="Q62" s="220"/>
      <c r="R62" s="220"/>
      <c r="S62" s="89"/>
      <c r="T62" s="189">
        <v>169</v>
      </c>
      <c r="U62" s="89"/>
      <c r="V62" s="89"/>
      <c r="W62" s="89"/>
      <c r="X62" s="21"/>
      <c r="Y62" s="11"/>
      <c r="Z62" s="92"/>
      <c r="AA62" s="2"/>
    </row>
    <row r="63" spans="1:28" x14ac:dyDescent="0.2">
      <c r="A63" s="13">
        <v>2018</v>
      </c>
      <c r="B63" s="89"/>
      <c r="C63" s="89"/>
      <c r="D63" s="89"/>
      <c r="E63" s="89"/>
      <c r="F63" s="89"/>
      <c r="G63" s="220"/>
      <c r="H63" s="220"/>
      <c r="I63" s="220"/>
      <c r="J63" s="189">
        <v>223</v>
      </c>
      <c r="K63" s="220"/>
      <c r="L63" s="220"/>
      <c r="M63" s="220"/>
      <c r="N63" s="220"/>
      <c r="O63" s="189">
        <v>0</v>
      </c>
      <c r="P63" s="220"/>
      <c r="Q63" s="416">
        <v>671</v>
      </c>
      <c r="R63" s="220"/>
      <c r="S63" s="89"/>
      <c r="T63" s="89"/>
      <c r="U63" s="89"/>
      <c r="V63" s="89"/>
      <c r="W63" s="89"/>
      <c r="X63" s="21"/>
      <c r="Y63" s="11"/>
      <c r="Z63" s="92"/>
      <c r="AA63" s="2"/>
    </row>
    <row r="64" spans="1:28" x14ac:dyDescent="0.2">
      <c r="A64" s="13">
        <v>2019</v>
      </c>
      <c r="B64" s="89"/>
      <c r="C64" s="89"/>
      <c r="D64" s="89"/>
      <c r="E64" s="89"/>
      <c r="F64" s="89"/>
      <c r="G64" s="220"/>
      <c r="H64" s="587">
        <v>66</v>
      </c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89"/>
      <c r="V64" s="89"/>
      <c r="W64" s="89"/>
      <c r="X64" s="21"/>
      <c r="Y64" s="11"/>
      <c r="Z64" s="92"/>
      <c r="AA64" s="2"/>
    </row>
    <row r="65" spans="1:28" x14ac:dyDescent="0.2">
      <c r="A65" s="13">
        <v>2020</v>
      </c>
      <c r="B65" s="89"/>
      <c r="C65" s="89"/>
      <c r="D65" s="89"/>
      <c r="E65" s="89"/>
      <c r="F65" s="89"/>
      <c r="G65" s="220"/>
      <c r="H65" s="587">
        <v>248</v>
      </c>
      <c r="I65" s="220"/>
      <c r="J65" s="220"/>
      <c r="K65" s="587">
        <v>51</v>
      </c>
      <c r="L65" s="220"/>
      <c r="M65" s="220"/>
      <c r="N65" s="587">
        <v>36</v>
      </c>
      <c r="O65" s="220"/>
      <c r="P65" s="220"/>
      <c r="Q65" s="220"/>
      <c r="R65" s="220"/>
      <c r="S65" s="220"/>
      <c r="T65" s="220"/>
      <c r="U65" s="89"/>
      <c r="V65" s="89"/>
      <c r="W65" s="89"/>
      <c r="X65" s="21">
        <v>427</v>
      </c>
      <c r="Y65" s="7" t="s">
        <v>9</v>
      </c>
      <c r="Z65" s="92"/>
      <c r="AA65" s="2"/>
    </row>
    <row r="66" spans="1:28" s="151" customFormat="1" x14ac:dyDescent="0.2">
      <c r="A66" s="89">
        <v>2021</v>
      </c>
      <c r="B66" s="89"/>
      <c r="C66" s="89"/>
      <c r="D66" s="89"/>
      <c r="E66" s="89"/>
      <c r="F66" s="89"/>
      <c r="G66" s="220"/>
      <c r="H66" s="587">
        <v>215</v>
      </c>
      <c r="I66" s="220"/>
      <c r="J66" s="220"/>
      <c r="K66" s="220"/>
      <c r="L66" s="220"/>
      <c r="M66" s="220"/>
      <c r="N66" s="220"/>
      <c r="O66" s="828">
        <v>47</v>
      </c>
      <c r="P66" s="220"/>
      <c r="Q66" s="831">
        <v>741</v>
      </c>
      <c r="R66" s="220"/>
      <c r="S66" s="220"/>
      <c r="T66" s="220"/>
      <c r="U66" s="89"/>
      <c r="V66" s="89"/>
      <c r="W66" s="89"/>
      <c r="X66" s="21"/>
      <c r="Y66" s="11"/>
      <c r="Z66" s="92"/>
      <c r="AA66" s="150"/>
    </row>
    <row r="67" spans="1:28" s="151" customFormat="1" x14ac:dyDescent="0.2">
      <c r="A67" s="89">
        <v>2022</v>
      </c>
      <c r="B67" s="89"/>
      <c r="C67" s="89"/>
      <c r="D67" s="89"/>
      <c r="E67" s="89"/>
      <c r="F67" s="89"/>
      <c r="G67" s="220"/>
      <c r="H67" s="220"/>
      <c r="I67" s="587">
        <v>864</v>
      </c>
      <c r="J67" s="220"/>
      <c r="K67" s="587">
        <v>628</v>
      </c>
      <c r="L67" s="220"/>
      <c r="M67" s="220"/>
      <c r="N67" s="220"/>
      <c r="O67" s="587">
        <v>41</v>
      </c>
      <c r="P67" s="220"/>
      <c r="Q67" s="220"/>
      <c r="R67" s="220"/>
      <c r="S67" s="220"/>
      <c r="T67" s="220"/>
      <c r="U67" s="89"/>
      <c r="V67" s="89"/>
      <c r="W67" s="89"/>
      <c r="X67" s="21"/>
      <c r="Y67" s="11"/>
      <c r="Z67" s="92"/>
      <c r="AA67" s="150"/>
    </row>
    <row r="68" spans="1:28" s="151" customFormat="1" x14ac:dyDescent="0.2">
      <c r="A68" s="89">
        <v>2023</v>
      </c>
      <c r="B68" s="89"/>
      <c r="C68" s="89"/>
      <c r="D68" s="89"/>
      <c r="E68" s="89"/>
      <c r="F68" s="89"/>
      <c r="G68" s="220"/>
      <c r="H68" s="587">
        <v>303</v>
      </c>
      <c r="I68" s="220"/>
      <c r="J68" s="587">
        <v>305</v>
      </c>
      <c r="K68" s="220"/>
      <c r="L68" s="220"/>
      <c r="M68" s="587">
        <v>23</v>
      </c>
      <c r="N68" s="220"/>
      <c r="O68" s="886"/>
      <c r="P68" s="220"/>
      <c r="Q68" s="220"/>
      <c r="R68" s="220"/>
      <c r="S68" s="220"/>
      <c r="T68" s="220"/>
      <c r="U68" s="89"/>
      <c r="V68" s="89"/>
      <c r="W68" s="89"/>
      <c r="X68" s="21"/>
      <c r="Y68" s="11"/>
      <c r="Z68" s="92"/>
      <c r="AA68" s="150"/>
    </row>
    <row r="69" spans="1:28" x14ac:dyDescent="0.2">
      <c r="A69" s="64" t="s">
        <v>17</v>
      </c>
      <c r="B69" s="16">
        <f>AVERAGE(B40:B61)</f>
        <v>356</v>
      </c>
      <c r="C69" s="16">
        <f>AVERAGE(C40:C61)</f>
        <v>654.5</v>
      </c>
      <c r="D69" s="16">
        <f t="shared" ref="D69:V69" si="3">AVERAGE(D40:D61)</f>
        <v>193</v>
      </c>
      <c r="E69" s="16">
        <f t="shared" si="3"/>
        <v>255</v>
      </c>
      <c r="F69" s="16">
        <f t="shared" si="3"/>
        <v>344</v>
      </c>
      <c r="G69" s="16">
        <f t="shared" si="3"/>
        <v>869.33333333333337</v>
      </c>
      <c r="H69" s="16">
        <f t="shared" si="3"/>
        <v>765.625</v>
      </c>
      <c r="I69" s="16">
        <f t="shared" si="3"/>
        <v>518.66666666666663</v>
      </c>
      <c r="J69" s="16">
        <f t="shared" si="3"/>
        <v>479.625</v>
      </c>
      <c r="K69" s="16">
        <f t="shared" si="3"/>
        <v>318</v>
      </c>
      <c r="L69" s="16">
        <f t="shared" si="3"/>
        <v>760</v>
      </c>
      <c r="M69" s="16">
        <f t="shared" si="3"/>
        <v>711</v>
      </c>
      <c r="N69" s="16">
        <f t="shared" si="3"/>
        <v>959.33333333333337</v>
      </c>
      <c r="O69" s="16">
        <f t="shared" si="3"/>
        <v>333</v>
      </c>
      <c r="P69" s="16">
        <f t="shared" si="3"/>
        <v>759</v>
      </c>
      <c r="Q69" s="16">
        <f t="shared" si="3"/>
        <v>469.5</v>
      </c>
      <c r="R69" s="16">
        <f t="shared" si="3"/>
        <v>458.5</v>
      </c>
      <c r="S69" s="16" t="e">
        <f t="shared" si="3"/>
        <v>#DIV/0!</v>
      </c>
      <c r="T69" s="16">
        <f t="shared" si="3"/>
        <v>126</v>
      </c>
      <c r="U69" s="16" t="e">
        <f t="shared" si="3"/>
        <v>#DIV/0!</v>
      </c>
      <c r="V69" s="16" t="e">
        <f t="shared" si="3"/>
        <v>#DIV/0!</v>
      </c>
      <c r="W69" s="16"/>
      <c r="X69" s="16">
        <f>AVERAGE(X40:X54)</f>
        <v>1139.2727272727273</v>
      </c>
      <c r="Y69" s="17"/>
      <c r="Z69" s="16">
        <f>AVERAGE(Z40:Z54)</f>
        <v>35</v>
      </c>
      <c r="AA69" s="2"/>
    </row>
    <row r="70" spans="1:2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407" t="s">
        <v>315</v>
      </c>
      <c r="R70" s="1"/>
      <c r="S70" s="1"/>
      <c r="T70" s="1"/>
      <c r="U70" s="1"/>
      <c r="V70" s="1"/>
      <c r="W70" s="1"/>
      <c r="X70" s="13"/>
      <c r="Y70" s="2"/>
      <c r="Z70" s="56"/>
      <c r="AA70" s="2"/>
    </row>
    <row r="71" spans="1:28" x14ac:dyDescent="0.2">
      <c r="A71" s="1002" t="s">
        <v>652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  <c r="Z71" s="56"/>
      <c r="AA71" s="2"/>
    </row>
    <row r="72" spans="1:28" ht="13.5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11" t="s">
        <v>319</v>
      </c>
      <c r="Y72" s="2"/>
      <c r="Z72" s="56"/>
      <c r="AA72" s="2"/>
    </row>
    <row r="73" spans="1:28" ht="13.5" thickTop="1" x14ac:dyDescent="0.2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31" t="s">
        <v>2</v>
      </c>
      <c r="Y73" s="1010" t="s">
        <v>3</v>
      </c>
      <c r="Z73" s="1008" t="s">
        <v>4</v>
      </c>
      <c r="AA73" s="2"/>
    </row>
    <row r="74" spans="1:28" x14ac:dyDescent="0.2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32"/>
      <c r="Y74" s="1011"/>
      <c r="Z74" s="1009"/>
      <c r="AA74" s="2" t="s">
        <v>318</v>
      </c>
      <c r="AB74" t="s">
        <v>142</v>
      </c>
    </row>
    <row r="75" spans="1:28" x14ac:dyDescent="0.2">
      <c r="A75" s="1">
        <v>1995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3"/>
      <c r="U75" s="13"/>
      <c r="V75" s="13"/>
      <c r="W75" s="13"/>
      <c r="X75" s="7">
        <v>2100</v>
      </c>
      <c r="Y75" s="7" t="s">
        <v>316</v>
      </c>
      <c r="Z75" s="10"/>
      <c r="AA75" s="2" t="s">
        <v>316</v>
      </c>
      <c r="AB75" t="e">
        <f>X75/MAX(B75:W75)</f>
        <v>#DIV/0!</v>
      </c>
    </row>
    <row r="76" spans="1:28" x14ac:dyDescent="0.2">
      <c r="A76" s="1">
        <v>1996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3"/>
      <c r="U76" s="13"/>
      <c r="V76" s="13"/>
      <c r="W76" s="13"/>
      <c r="X76" s="7">
        <v>4600</v>
      </c>
      <c r="Y76" s="7" t="s">
        <v>316</v>
      </c>
      <c r="Z76" s="10"/>
      <c r="AA76" s="2" t="s">
        <v>321</v>
      </c>
      <c r="AB76" t="e">
        <f t="shared" ref="AB76:AB96" si="4">X76/MAX(B76:W76)</f>
        <v>#DIV/0!</v>
      </c>
    </row>
    <row r="77" spans="1:28" x14ac:dyDescent="0.2">
      <c r="A77" s="1">
        <v>1997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3"/>
      <c r="U77" s="13"/>
      <c r="V77" s="13"/>
      <c r="W77" s="13"/>
      <c r="X77" s="7">
        <v>10000</v>
      </c>
      <c r="Y77" s="7" t="s">
        <v>316</v>
      </c>
      <c r="Z77" s="10"/>
      <c r="AA77" s="2" t="s">
        <v>321</v>
      </c>
      <c r="AB77" t="e">
        <f t="shared" si="4"/>
        <v>#DIV/0!</v>
      </c>
    </row>
    <row r="78" spans="1:28" x14ac:dyDescent="0.2">
      <c r="A78" s="1">
        <v>1998</v>
      </c>
      <c r="B78" s="6"/>
      <c r="C78" s="6"/>
      <c r="D78" s="6"/>
      <c r="E78" s="6"/>
      <c r="F78" s="119">
        <v>0</v>
      </c>
      <c r="G78" s="6"/>
      <c r="H78" s="119">
        <v>4</v>
      </c>
      <c r="I78" s="6"/>
      <c r="J78" s="119">
        <v>63</v>
      </c>
      <c r="K78" s="6"/>
      <c r="L78" s="6"/>
      <c r="M78" s="413">
        <v>0</v>
      </c>
      <c r="N78" s="6"/>
      <c r="O78" s="6"/>
      <c r="P78" s="420">
        <v>0</v>
      </c>
      <c r="Q78" s="6"/>
      <c r="R78" s="6"/>
      <c r="S78" s="6"/>
      <c r="T78" s="1"/>
      <c r="U78" s="13"/>
      <c r="V78" s="13"/>
      <c r="W78" s="13"/>
      <c r="X78" s="7">
        <v>11000</v>
      </c>
      <c r="Y78" s="7" t="s">
        <v>6</v>
      </c>
      <c r="Z78" s="10"/>
      <c r="AA78" s="2" t="s">
        <v>316</v>
      </c>
      <c r="AB78">
        <f t="shared" si="4"/>
        <v>174.60317460317461</v>
      </c>
    </row>
    <row r="79" spans="1:28" x14ac:dyDescent="0.2">
      <c r="A79" s="1">
        <v>1999</v>
      </c>
      <c r="B79" s="119">
        <v>0</v>
      </c>
      <c r="C79" s="6"/>
      <c r="D79" s="6"/>
      <c r="E79" s="6"/>
      <c r="F79" s="119">
        <v>0</v>
      </c>
      <c r="G79" s="6"/>
      <c r="H79" s="119">
        <v>15</v>
      </c>
      <c r="I79" s="119">
        <v>111</v>
      </c>
      <c r="J79" s="119">
        <f>767+3</f>
        <v>770</v>
      </c>
      <c r="K79" s="6"/>
      <c r="L79" s="6"/>
      <c r="M79" s="119">
        <f>5076+963</f>
        <v>6039</v>
      </c>
      <c r="N79" s="6"/>
      <c r="O79" s="119">
        <v>0</v>
      </c>
      <c r="Q79" s="119">
        <v>0</v>
      </c>
      <c r="R79" s="6"/>
      <c r="S79" s="6"/>
      <c r="T79" s="123">
        <v>0</v>
      </c>
      <c r="U79" s="13"/>
      <c r="V79" s="13"/>
      <c r="W79" s="13"/>
      <c r="X79" s="9">
        <v>9950</v>
      </c>
      <c r="Y79" s="7" t="s">
        <v>5</v>
      </c>
      <c r="Z79" s="60">
        <v>10</v>
      </c>
      <c r="AA79" s="2">
        <v>1</v>
      </c>
      <c r="AB79">
        <f t="shared" si="4"/>
        <v>1.6476237787713197</v>
      </c>
    </row>
    <row r="80" spans="1:28" x14ac:dyDescent="0.2">
      <c r="A80" s="1">
        <v>2000</v>
      </c>
      <c r="B80" s="6"/>
      <c r="C80" s="119">
        <v>0</v>
      </c>
      <c r="D80" s="119">
        <v>0</v>
      </c>
      <c r="E80" s="119">
        <v>0</v>
      </c>
      <c r="F80" s="119">
        <v>2</v>
      </c>
      <c r="G80" s="119">
        <v>128</v>
      </c>
      <c r="H80" s="119">
        <v>0</v>
      </c>
      <c r="I80" s="6"/>
      <c r="J80" s="119">
        <f>463+4</f>
        <v>467</v>
      </c>
      <c r="K80" s="6"/>
      <c r="L80" s="119">
        <f>1759+192</f>
        <v>1951</v>
      </c>
      <c r="M80" s="6"/>
      <c r="N80" s="119">
        <f>1424+1000</f>
        <v>2424</v>
      </c>
      <c r="O80" s="6"/>
      <c r="Q80" s="119">
        <v>0</v>
      </c>
      <c r="R80" s="6"/>
      <c r="S80" s="6"/>
      <c r="T80" s="1"/>
      <c r="U80" s="13"/>
      <c r="V80" s="13"/>
      <c r="W80" s="13"/>
      <c r="X80" s="10">
        <v>3772</v>
      </c>
      <c r="Y80" s="7" t="s">
        <v>5</v>
      </c>
      <c r="Z80" s="417">
        <v>12.5</v>
      </c>
      <c r="AA80" s="2">
        <v>1</v>
      </c>
      <c r="AB80">
        <f t="shared" si="4"/>
        <v>1.556105610561056</v>
      </c>
    </row>
    <row r="81" spans="1:28" x14ac:dyDescent="0.2">
      <c r="A81" s="1">
        <v>2001</v>
      </c>
      <c r="B81" s="6"/>
      <c r="C81" s="119">
        <v>0</v>
      </c>
      <c r="D81" s="6"/>
      <c r="E81" s="6"/>
      <c r="F81" s="6"/>
      <c r="G81" s="119">
        <v>2</v>
      </c>
      <c r="H81" s="119">
        <v>41</v>
      </c>
      <c r="I81" s="6"/>
      <c r="J81" s="6"/>
      <c r="K81" s="119">
        <f>786+5</f>
        <v>791</v>
      </c>
      <c r="L81" s="6"/>
      <c r="M81" s="6"/>
      <c r="N81" s="119">
        <v>0</v>
      </c>
      <c r="O81" s="6"/>
      <c r="P81" s="6"/>
      <c r="Q81" s="6"/>
      <c r="R81" s="119">
        <v>0</v>
      </c>
      <c r="S81" s="6"/>
      <c r="T81" s="1"/>
      <c r="U81" s="13"/>
      <c r="V81" s="13"/>
      <c r="W81" s="13"/>
      <c r="X81" s="7">
        <v>791</v>
      </c>
      <c r="Y81" s="7" t="s">
        <v>9</v>
      </c>
      <c r="Z81" s="60"/>
      <c r="AA81" s="2">
        <v>1</v>
      </c>
      <c r="AB81">
        <f t="shared" si="4"/>
        <v>1</v>
      </c>
    </row>
    <row r="82" spans="1:28" x14ac:dyDescent="0.2">
      <c r="A82" s="1">
        <v>2002</v>
      </c>
      <c r="B82" s="6"/>
      <c r="C82" s="6"/>
      <c r="D82" s="6"/>
      <c r="E82" s="6"/>
      <c r="G82" s="119">
        <v>9</v>
      </c>
      <c r="I82" s="119">
        <f>1195+11</f>
        <v>1206</v>
      </c>
      <c r="R82" s="413">
        <v>0</v>
      </c>
      <c r="S82" s="6"/>
      <c r="T82" s="1"/>
      <c r="U82" s="13"/>
      <c r="V82" s="13"/>
      <c r="W82" s="13"/>
      <c r="X82" s="7">
        <v>1340</v>
      </c>
      <c r="Y82" s="7" t="s">
        <v>9</v>
      </c>
      <c r="Z82" s="60"/>
      <c r="AA82" s="2">
        <v>3</v>
      </c>
      <c r="AB82">
        <f t="shared" si="4"/>
        <v>1.1111111111111112</v>
      </c>
    </row>
    <row r="83" spans="1:28" x14ac:dyDescent="0.2">
      <c r="A83" s="1">
        <v>2003</v>
      </c>
      <c r="B83" s="6"/>
      <c r="C83" s="6"/>
      <c r="D83" s="6"/>
      <c r="E83" s="6"/>
      <c r="F83" s="6"/>
      <c r="G83" s="6"/>
      <c r="H83" s="6"/>
      <c r="I83" s="6"/>
      <c r="J83" s="119">
        <f>6857+1173</f>
        <v>8030</v>
      </c>
      <c r="K83" s="6"/>
      <c r="L83" s="6"/>
      <c r="M83" s="6"/>
      <c r="N83" s="413">
        <v>0</v>
      </c>
      <c r="O83" s="6"/>
      <c r="P83" s="6"/>
      <c r="Q83" s="6"/>
      <c r="R83" s="6"/>
      <c r="S83" s="6"/>
      <c r="T83" s="1"/>
      <c r="U83" s="13"/>
      <c r="V83" s="13"/>
      <c r="W83" s="13"/>
      <c r="X83" s="7">
        <v>8921</v>
      </c>
      <c r="Y83" s="7" t="s">
        <v>9</v>
      </c>
      <c r="Z83" s="60"/>
      <c r="AA83" s="2">
        <v>4</v>
      </c>
      <c r="AB83">
        <f t="shared" si="4"/>
        <v>1.1109589041095891</v>
      </c>
    </row>
    <row r="84" spans="1:28" x14ac:dyDescent="0.2">
      <c r="A84" s="1">
        <v>2004</v>
      </c>
      <c r="B84" s="6"/>
      <c r="C84" s="6"/>
      <c r="D84" s="6"/>
      <c r="E84" s="6"/>
      <c r="F84" s="6"/>
      <c r="G84" s="6"/>
      <c r="H84" s="6"/>
      <c r="I84" s="6"/>
      <c r="J84" s="119">
        <f>1507+35</f>
        <v>1542</v>
      </c>
      <c r="K84" s="6"/>
      <c r="L84" s="6"/>
      <c r="M84" s="6"/>
      <c r="N84" s="6"/>
      <c r="O84" s="6"/>
      <c r="P84" s="6"/>
      <c r="Q84" s="6"/>
      <c r="R84" s="6"/>
      <c r="S84" s="6"/>
      <c r="T84" s="1"/>
      <c r="U84" s="13"/>
      <c r="V84" s="13"/>
      <c r="W84" s="13"/>
      <c r="X84" s="7">
        <v>1713</v>
      </c>
      <c r="Y84" s="7" t="s">
        <v>9</v>
      </c>
      <c r="Z84" s="60"/>
      <c r="AA84" s="2">
        <v>4</v>
      </c>
      <c r="AB84">
        <f t="shared" si="4"/>
        <v>1.1108949416342413</v>
      </c>
    </row>
    <row r="85" spans="1:28" x14ac:dyDescent="0.2">
      <c r="A85" s="1">
        <v>2005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"/>
      <c r="U85" s="13"/>
      <c r="V85" s="13"/>
      <c r="W85" s="13"/>
      <c r="X85" s="11"/>
      <c r="Y85" s="7"/>
      <c r="Z85" s="60"/>
      <c r="AA85" s="2"/>
      <c r="AB85" t="e">
        <f t="shared" si="4"/>
        <v>#DIV/0!</v>
      </c>
    </row>
    <row r="86" spans="1:28" x14ac:dyDescent="0.2">
      <c r="A86" s="1">
        <v>2006</v>
      </c>
      <c r="B86" s="6"/>
      <c r="C86" s="6"/>
      <c r="D86" s="6"/>
      <c r="E86" s="6"/>
      <c r="F86" s="6"/>
      <c r="G86" s="6"/>
      <c r="H86" s="6"/>
      <c r="I86" s="6"/>
      <c r="J86" s="6"/>
      <c r="K86" s="119">
        <f>2091</f>
        <v>2091</v>
      </c>
      <c r="L86" s="6"/>
      <c r="M86" s="6"/>
      <c r="N86" s="6"/>
      <c r="O86" s="6"/>
      <c r="P86" s="6"/>
      <c r="Q86" s="6"/>
      <c r="R86" s="6"/>
      <c r="S86" s="6"/>
      <c r="T86" s="1"/>
      <c r="U86" s="13"/>
      <c r="V86" s="13"/>
      <c r="W86" s="13"/>
      <c r="X86" s="12">
        <v>2091</v>
      </c>
      <c r="Y86" s="7" t="s">
        <v>9</v>
      </c>
      <c r="Z86" s="60"/>
      <c r="AA86" s="2">
        <v>5</v>
      </c>
      <c r="AB86">
        <f t="shared" si="4"/>
        <v>1</v>
      </c>
    </row>
    <row r="87" spans="1:28" x14ac:dyDescent="0.2">
      <c r="A87" s="1">
        <v>2007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19">
        <f>4500+3000</f>
        <v>7500</v>
      </c>
      <c r="N87" s="6"/>
      <c r="O87" s="6"/>
      <c r="P87" s="6"/>
      <c r="Q87" s="6"/>
      <c r="R87" s="6"/>
      <c r="S87" s="6"/>
      <c r="T87" s="13"/>
      <c r="U87" s="13"/>
      <c r="V87" s="13"/>
      <c r="W87" s="13"/>
      <c r="X87" s="12">
        <v>7500</v>
      </c>
      <c r="Y87" s="7" t="s">
        <v>6</v>
      </c>
      <c r="Z87" s="60"/>
      <c r="AA87" s="2">
        <v>5</v>
      </c>
      <c r="AB87">
        <f t="shared" si="4"/>
        <v>1</v>
      </c>
    </row>
    <row r="88" spans="1:28" x14ac:dyDescent="0.2">
      <c r="A88" s="13">
        <v>2008</v>
      </c>
      <c r="B88" s="119">
        <v>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"/>
      <c r="Z88" s="58"/>
      <c r="AA88" s="55"/>
      <c r="AB88" t="e">
        <f t="shared" si="4"/>
        <v>#DIV/0!</v>
      </c>
    </row>
    <row r="89" spans="1:28" x14ac:dyDescent="0.2">
      <c r="A89" s="13">
        <v>2009</v>
      </c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11"/>
      <c r="Z89" s="92"/>
      <c r="AA89" s="2"/>
      <c r="AB89" t="e">
        <f t="shared" si="4"/>
        <v>#DIV/0!</v>
      </c>
    </row>
    <row r="90" spans="1:28" x14ac:dyDescent="0.2">
      <c r="A90" s="13">
        <v>2010</v>
      </c>
      <c r="B90" s="89"/>
      <c r="C90" s="89"/>
      <c r="D90" s="89"/>
      <c r="E90" s="89"/>
      <c r="F90" s="89"/>
      <c r="G90" s="89"/>
      <c r="H90" s="89"/>
      <c r="I90" s="89"/>
      <c r="J90" s="89"/>
      <c r="K90" s="119">
        <f>1671+2</f>
        <v>1673</v>
      </c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>
        <v>1725</v>
      </c>
      <c r="Y90" s="11" t="s">
        <v>9</v>
      </c>
      <c r="Z90" s="92"/>
      <c r="AA90" s="2">
        <v>6</v>
      </c>
      <c r="AB90">
        <f t="shared" si="4"/>
        <v>1.0310818888224746</v>
      </c>
    </row>
    <row r="91" spans="1:28" x14ac:dyDescent="0.2">
      <c r="A91" s="13">
        <v>2011</v>
      </c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11"/>
      <c r="Z91" s="92"/>
      <c r="AA91" s="2"/>
      <c r="AB91" t="e">
        <f t="shared" si="4"/>
        <v>#DIV/0!</v>
      </c>
    </row>
    <row r="92" spans="1:28" x14ac:dyDescent="0.2">
      <c r="A92" s="13">
        <v>2012</v>
      </c>
      <c r="B92" s="13"/>
      <c r="C92" s="13"/>
      <c r="D92" s="13"/>
      <c r="E92" s="13"/>
      <c r="F92" s="89"/>
      <c r="G92" s="89"/>
      <c r="H92" s="89"/>
      <c r="I92" s="325">
        <v>564</v>
      </c>
      <c r="J92" s="89"/>
      <c r="K92" s="89"/>
      <c r="L92" s="89"/>
      <c r="M92" s="89"/>
      <c r="N92" s="89"/>
      <c r="O92" s="89"/>
      <c r="P92" s="89"/>
      <c r="Q92" s="13"/>
      <c r="R92" s="13"/>
      <c r="S92" s="13"/>
      <c r="T92" s="13"/>
      <c r="U92" s="13"/>
      <c r="V92" s="13"/>
      <c r="W92" s="13"/>
      <c r="X92" s="13">
        <v>687</v>
      </c>
      <c r="Y92" s="7"/>
      <c r="Z92" s="58"/>
      <c r="AA92" s="2">
        <v>5</v>
      </c>
      <c r="AB92">
        <f t="shared" si="4"/>
        <v>1.2180851063829787</v>
      </c>
    </row>
    <row r="93" spans="1:28" x14ac:dyDescent="0.2">
      <c r="A93" s="13">
        <v>2013</v>
      </c>
      <c r="B93" s="13"/>
      <c r="C93" s="13"/>
      <c r="D93" s="13"/>
      <c r="E93" s="13"/>
      <c r="F93" s="89"/>
      <c r="G93" s="89"/>
      <c r="H93" s="200">
        <v>32</v>
      </c>
      <c r="I93" s="201"/>
      <c r="J93" s="201"/>
      <c r="K93" s="201"/>
      <c r="L93" s="200">
        <f>3334+220</f>
        <v>3554</v>
      </c>
      <c r="M93" s="414">
        <v>0</v>
      </c>
      <c r="N93" s="201"/>
      <c r="O93" s="415">
        <v>700</v>
      </c>
      <c r="P93" s="89"/>
      <c r="Q93" s="13"/>
      <c r="R93" s="13"/>
      <c r="S93" s="13"/>
      <c r="T93" s="13"/>
      <c r="U93" s="13"/>
      <c r="V93" s="13"/>
      <c r="W93" s="13"/>
      <c r="X93" s="13">
        <v>3949</v>
      </c>
      <c r="Y93" s="7"/>
      <c r="Z93" s="58"/>
      <c r="AA93" s="2">
        <v>5</v>
      </c>
      <c r="AB93">
        <f t="shared" si="4"/>
        <v>1.1111423747889702</v>
      </c>
    </row>
    <row r="94" spans="1:28" x14ac:dyDescent="0.2">
      <c r="A94" s="13">
        <v>2014</v>
      </c>
      <c r="B94" s="13"/>
      <c r="C94" s="13"/>
      <c r="D94" s="13"/>
      <c r="E94" s="13"/>
      <c r="F94" s="89"/>
      <c r="G94" s="89"/>
      <c r="H94" s="405">
        <v>0</v>
      </c>
      <c r="I94" s="187"/>
      <c r="J94" s="405">
        <v>1052</v>
      </c>
      <c r="K94" s="186">
        <v>1736</v>
      </c>
      <c r="L94" s="187"/>
      <c r="M94" s="187"/>
      <c r="N94" s="187"/>
      <c r="O94" s="187"/>
      <c r="P94" s="187"/>
      <c r="Q94" s="406">
        <v>0</v>
      </c>
      <c r="R94" s="13"/>
      <c r="S94" s="13"/>
      <c r="T94" s="13"/>
      <c r="U94" s="13"/>
      <c r="V94" s="13"/>
      <c r="W94" s="13"/>
      <c r="X94" s="13">
        <v>1921</v>
      </c>
      <c r="Y94" s="7" t="s">
        <v>9</v>
      </c>
      <c r="Z94" s="58"/>
      <c r="AA94" s="2">
        <v>4</v>
      </c>
      <c r="AB94">
        <f t="shared" si="4"/>
        <v>1.1065668202764978</v>
      </c>
    </row>
    <row r="95" spans="1:28" x14ac:dyDescent="0.2">
      <c r="A95" s="13">
        <v>2015</v>
      </c>
      <c r="B95" s="13"/>
      <c r="C95" s="13"/>
      <c r="D95" s="13"/>
      <c r="E95" s="13"/>
      <c r="F95" s="220"/>
      <c r="G95" s="220"/>
      <c r="H95" s="189">
        <v>35</v>
      </c>
      <c r="I95" s="187"/>
      <c r="J95" s="189">
        <v>1055</v>
      </c>
      <c r="K95" s="418"/>
      <c r="L95" s="187"/>
      <c r="M95" s="189">
        <v>4181</v>
      </c>
      <c r="N95" s="187"/>
      <c r="O95" s="409">
        <v>0</v>
      </c>
      <c r="P95" s="89"/>
      <c r="Q95" s="13"/>
      <c r="R95" s="13"/>
      <c r="S95" s="13"/>
      <c r="T95" s="13"/>
      <c r="U95" s="13"/>
      <c r="V95" s="13"/>
      <c r="W95" s="13"/>
      <c r="X95" s="13">
        <v>4802</v>
      </c>
      <c r="Y95" s="7" t="s">
        <v>9</v>
      </c>
      <c r="Z95" s="58"/>
      <c r="AA95" s="2">
        <v>4</v>
      </c>
      <c r="AB95">
        <f t="shared" si="4"/>
        <v>1.1485290600334848</v>
      </c>
    </row>
    <row r="96" spans="1:28" x14ac:dyDescent="0.2">
      <c r="A96" s="13">
        <v>2016</v>
      </c>
      <c r="B96" s="13"/>
      <c r="C96" s="13"/>
      <c r="D96" s="13"/>
      <c r="E96" s="13"/>
      <c r="F96" s="89"/>
      <c r="G96" s="220"/>
      <c r="H96" s="189">
        <v>111</v>
      </c>
      <c r="I96" s="220"/>
      <c r="J96" s="189">
        <v>982</v>
      </c>
      <c r="K96" s="227"/>
      <c r="L96" s="227"/>
      <c r="M96" s="227"/>
      <c r="N96" s="227"/>
      <c r="O96" s="227"/>
      <c r="P96" s="227"/>
      <c r="Q96" s="416">
        <v>0</v>
      </c>
      <c r="R96" s="13"/>
      <c r="S96" s="13"/>
      <c r="T96" s="13"/>
      <c r="U96" s="13"/>
      <c r="V96" s="13"/>
      <c r="W96" s="13"/>
      <c r="X96" s="13">
        <v>1091</v>
      </c>
      <c r="Y96" s="7" t="s">
        <v>9</v>
      </c>
      <c r="Z96" s="58"/>
      <c r="AA96" s="2"/>
      <c r="AB96">
        <f t="shared" si="4"/>
        <v>1.1109979633401221</v>
      </c>
    </row>
    <row r="97" spans="1:28" x14ac:dyDescent="0.2">
      <c r="A97" s="13">
        <v>2017</v>
      </c>
      <c r="B97" s="13"/>
      <c r="C97" s="13"/>
      <c r="D97" s="13"/>
      <c r="E97" s="13"/>
      <c r="F97" s="89"/>
      <c r="G97" s="220"/>
      <c r="H97" s="220"/>
      <c r="I97" s="220"/>
      <c r="J97" s="189">
        <v>224</v>
      </c>
      <c r="K97" s="220"/>
      <c r="L97" s="220"/>
      <c r="M97" s="227"/>
      <c r="N97" s="227"/>
      <c r="O97" s="227"/>
      <c r="P97" s="227"/>
      <c r="Q97" s="227"/>
      <c r="R97" s="227"/>
      <c r="S97" s="227"/>
      <c r="T97" s="189">
        <v>0</v>
      </c>
      <c r="U97" s="13"/>
      <c r="V97" s="13"/>
      <c r="W97" s="13"/>
      <c r="X97" s="13"/>
      <c r="Y97" s="7"/>
      <c r="Z97" s="58"/>
      <c r="AA97" s="2"/>
    </row>
    <row r="98" spans="1:28" x14ac:dyDescent="0.2">
      <c r="A98" s="13">
        <v>2018</v>
      </c>
      <c r="B98" s="13"/>
      <c r="C98" s="13"/>
      <c r="D98" s="13"/>
      <c r="E98" s="13"/>
      <c r="F98" s="89"/>
      <c r="G98" s="220"/>
      <c r="H98" s="220"/>
      <c r="I98" s="220"/>
      <c r="J98" s="189">
        <v>110</v>
      </c>
      <c r="K98" s="220"/>
      <c r="L98" s="220"/>
      <c r="M98" s="227"/>
      <c r="N98" s="227"/>
      <c r="O98" s="189">
        <v>21</v>
      </c>
      <c r="P98" s="220"/>
      <c r="Q98" s="416">
        <v>0</v>
      </c>
      <c r="R98" s="227"/>
      <c r="S98" s="227"/>
      <c r="T98" s="13"/>
      <c r="U98" s="13"/>
      <c r="V98" s="13"/>
      <c r="W98" s="13"/>
      <c r="X98" s="13"/>
      <c r="Y98" s="7"/>
      <c r="Z98" s="58"/>
      <c r="AA98" s="2"/>
    </row>
    <row r="99" spans="1:28" x14ac:dyDescent="0.2">
      <c r="A99" s="13">
        <v>2019</v>
      </c>
      <c r="B99" s="13"/>
      <c r="C99" s="13"/>
      <c r="D99" s="13"/>
      <c r="E99" s="13"/>
      <c r="F99" s="89"/>
      <c r="G99" s="220"/>
      <c r="H99" s="587">
        <v>23</v>
      </c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13"/>
      <c r="U99" s="13"/>
      <c r="V99" s="13"/>
      <c r="W99" s="13"/>
      <c r="X99" s="13"/>
      <c r="Y99" s="7"/>
      <c r="Z99" s="58"/>
      <c r="AA99" s="2"/>
    </row>
    <row r="100" spans="1:28" x14ac:dyDescent="0.2">
      <c r="A100" s="13">
        <v>2020</v>
      </c>
      <c r="B100" s="13"/>
      <c r="C100" s="13"/>
      <c r="D100" s="13"/>
      <c r="E100" s="13"/>
      <c r="F100" s="89"/>
      <c r="G100" s="220"/>
      <c r="H100" s="587">
        <v>0</v>
      </c>
      <c r="I100" s="220"/>
      <c r="J100" s="220"/>
      <c r="K100" s="704">
        <v>976</v>
      </c>
      <c r="L100" s="220"/>
      <c r="M100" s="220"/>
      <c r="N100" s="588">
        <v>5062</v>
      </c>
      <c r="O100" s="220"/>
      <c r="P100" s="220"/>
      <c r="Q100" s="220"/>
      <c r="R100" s="220"/>
      <c r="S100" s="220"/>
      <c r="T100" s="13"/>
      <c r="U100" s="13"/>
      <c r="V100" s="13"/>
      <c r="W100" s="13"/>
      <c r="X100" s="13">
        <v>7958</v>
      </c>
      <c r="Y100" s="7" t="s">
        <v>9</v>
      </c>
      <c r="Z100" s="58"/>
      <c r="AA100" s="2"/>
    </row>
    <row r="101" spans="1:28" s="151" customFormat="1" x14ac:dyDescent="0.2">
      <c r="A101" s="89">
        <v>2021</v>
      </c>
      <c r="B101" s="89"/>
      <c r="C101" s="89"/>
      <c r="D101" s="89"/>
      <c r="E101" s="89"/>
      <c r="F101" s="89"/>
      <c r="G101" s="220"/>
      <c r="H101" s="587">
        <v>41</v>
      </c>
      <c r="I101" s="220"/>
      <c r="J101" s="220"/>
      <c r="K101" s="767"/>
      <c r="L101" s="220"/>
      <c r="M101" s="220"/>
      <c r="N101" s="766"/>
      <c r="O101" s="827">
        <v>229</v>
      </c>
      <c r="P101" s="220"/>
      <c r="Q101" s="831">
        <v>0</v>
      </c>
      <c r="R101" s="220"/>
      <c r="S101" s="220"/>
      <c r="T101" s="89"/>
      <c r="U101" s="89"/>
      <c r="V101" s="89"/>
      <c r="W101" s="89"/>
      <c r="X101" s="89"/>
      <c r="Y101" s="11"/>
      <c r="Z101" s="92"/>
      <c r="AA101" s="150"/>
    </row>
    <row r="102" spans="1:28" s="151" customFormat="1" x14ac:dyDescent="0.2">
      <c r="A102" s="89">
        <v>2022</v>
      </c>
      <c r="B102" s="89"/>
      <c r="C102" s="89"/>
      <c r="D102" s="89"/>
      <c r="E102" s="89"/>
      <c r="F102" s="89"/>
      <c r="G102" s="220"/>
      <c r="H102" s="220"/>
      <c r="I102" s="587">
        <v>13</v>
      </c>
      <c r="J102" s="220"/>
      <c r="K102" s="587">
        <v>46</v>
      </c>
      <c r="L102" s="220"/>
      <c r="M102" s="220"/>
      <c r="N102" s="766"/>
      <c r="O102" s="704">
        <v>4141</v>
      </c>
      <c r="P102" s="220"/>
      <c r="Q102" s="220"/>
      <c r="R102" s="220"/>
      <c r="S102" s="220"/>
      <c r="T102" s="89"/>
      <c r="U102" s="89"/>
      <c r="V102" s="89"/>
      <c r="W102" s="89"/>
      <c r="X102" s="89"/>
      <c r="Y102" s="11"/>
      <c r="Z102" s="92"/>
      <c r="AA102" s="150"/>
    </row>
    <row r="103" spans="1:28" s="151" customFormat="1" x14ac:dyDescent="0.2">
      <c r="A103" s="89">
        <v>2023</v>
      </c>
      <c r="B103" s="89"/>
      <c r="C103" s="89"/>
      <c r="D103" s="89"/>
      <c r="E103" s="89"/>
      <c r="F103" s="89"/>
      <c r="G103" s="220"/>
      <c r="H103" s="587">
        <v>37</v>
      </c>
      <c r="I103" s="220"/>
      <c r="J103" s="704">
        <v>1303</v>
      </c>
      <c r="K103" s="767"/>
      <c r="L103" s="220"/>
      <c r="M103" s="703">
        <v>8048</v>
      </c>
      <c r="N103" s="766"/>
      <c r="O103" s="887"/>
      <c r="P103" s="220"/>
      <c r="Q103" s="220"/>
      <c r="R103" s="220"/>
      <c r="S103" s="220"/>
      <c r="T103" s="89"/>
      <c r="U103" s="89"/>
      <c r="V103" s="89"/>
      <c r="W103" s="89"/>
      <c r="X103" s="89"/>
      <c r="Y103" s="11"/>
      <c r="Z103" s="92"/>
      <c r="AA103" s="150"/>
    </row>
    <row r="104" spans="1:28" x14ac:dyDescent="0.2">
      <c r="A104" s="64" t="s">
        <v>17</v>
      </c>
      <c r="B104" s="16">
        <f>AVERAGE(B75:B96)</f>
        <v>0</v>
      </c>
      <c r="C104" s="16">
        <f>AVERAGE(C75:C96)</f>
        <v>0</v>
      </c>
      <c r="D104" s="16">
        <f t="shared" ref="D104:T104" si="5">AVERAGE(D75:D96)</f>
        <v>0</v>
      </c>
      <c r="E104" s="16">
        <f t="shared" si="5"/>
        <v>0</v>
      </c>
      <c r="F104" s="16">
        <f t="shared" si="5"/>
        <v>0.66666666666666663</v>
      </c>
      <c r="G104" s="16">
        <f t="shared" si="5"/>
        <v>46.333333333333336</v>
      </c>
      <c r="H104" s="16">
        <f t="shared" si="5"/>
        <v>29.75</v>
      </c>
      <c r="I104" s="16">
        <f t="shared" si="5"/>
        <v>627</v>
      </c>
      <c r="J104" s="16">
        <f t="shared" si="5"/>
        <v>1745.125</v>
      </c>
      <c r="K104" s="16">
        <f t="shared" si="5"/>
        <v>1572.75</v>
      </c>
      <c r="L104" s="16">
        <f t="shared" si="5"/>
        <v>2752.5</v>
      </c>
      <c r="M104" s="16">
        <f t="shared" si="5"/>
        <v>3544</v>
      </c>
      <c r="N104" s="16">
        <f t="shared" si="5"/>
        <v>808</v>
      </c>
      <c r="O104" s="16">
        <f t="shared" si="5"/>
        <v>233.33333333333334</v>
      </c>
      <c r="P104" s="16"/>
      <c r="Q104" s="16">
        <f t="shared" si="5"/>
        <v>0</v>
      </c>
      <c r="R104" s="16">
        <f t="shared" si="5"/>
        <v>0</v>
      </c>
      <c r="S104" s="16"/>
      <c r="T104" s="16">
        <f t="shared" si="5"/>
        <v>0</v>
      </c>
      <c r="U104" s="16"/>
      <c r="V104" s="16"/>
      <c r="W104" s="16"/>
      <c r="X104" s="16">
        <f>AVERAGE(X75:X89)</f>
        <v>5314.833333333333</v>
      </c>
      <c r="Y104" s="17"/>
      <c r="Z104" s="16">
        <f>AVERAGE(Z75:Z89)</f>
        <v>11.25</v>
      </c>
      <c r="AA104" s="2"/>
      <c r="AB104" s="2"/>
    </row>
    <row r="105" spans="1:2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56"/>
      <c r="AA105" s="2"/>
      <c r="AB105" s="2"/>
    </row>
    <row r="106" spans="1:28" x14ac:dyDescent="0.2">
      <c r="A106" s="1002" t="s">
        <v>653</v>
      </c>
      <c r="B106" s="1003"/>
      <c r="C106" s="1003"/>
      <c r="D106" s="1003"/>
      <c r="E106" s="1003"/>
      <c r="F106" s="1003"/>
      <c r="G106" s="1003"/>
      <c r="H106" s="1003"/>
      <c r="I106" s="100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  <c r="Z106" s="56"/>
      <c r="AA106" s="2"/>
      <c r="AB106" s="2"/>
    </row>
    <row r="107" spans="1:28" ht="13.5" thickBo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"/>
      <c r="Y107" s="2"/>
      <c r="Z107" s="56"/>
      <c r="AA107" s="2"/>
      <c r="AB107" s="2"/>
    </row>
    <row r="108" spans="1:28" ht="13.5" thickTop="1" x14ac:dyDescent="0.2">
      <c r="A108" s="1004" t="s">
        <v>0</v>
      </c>
      <c r="B108" s="1006" t="s">
        <v>1</v>
      </c>
      <c r="C108" s="1006"/>
      <c r="D108" s="1006"/>
      <c r="E108" s="1006"/>
      <c r="F108" s="1006"/>
      <c r="G108" s="1006"/>
      <c r="H108" s="1006"/>
      <c r="I108" s="1006"/>
      <c r="J108" s="1006"/>
      <c r="K108" s="1006"/>
      <c r="L108" s="1006"/>
      <c r="M108" s="1006"/>
      <c r="N108" s="1006"/>
      <c r="O108" s="1006"/>
      <c r="P108" s="1006"/>
      <c r="Q108" s="1006"/>
      <c r="R108" s="1006"/>
      <c r="S108" s="1006"/>
      <c r="T108" s="1006"/>
      <c r="U108" s="1006"/>
      <c r="V108" s="1006"/>
      <c r="W108" s="1006"/>
      <c r="X108" s="1004" t="s">
        <v>2</v>
      </c>
      <c r="Y108" s="1010" t="s">
        <v>3</v>
      </c>
      <c r="Z108" s="1008" t="s">
        <v>4</v>
      </c>
      <c r="AA108" s="2"/>
      <c r="AB108" s="2"/>
    </row>
    <row r="109" spans="1:28" x14ac:dyDescent="0.2">
      <c r="A109" s="1005"/>
      <c r="B109" s="18">
        <v>81</v>
      </c>
      <c r="C109" s="18">
        <v>82</v>
      </c>
      <c r="D109" s="18">
        <v>83</v>
      </c>
      <c r="E109" s="18">
        <v>84</v>
      </c>
      <c r="F109" s="18">
        <v>91</v>
      </c>
      <c r="G109" s="18">
        <v>92</v>
      </c>
      <c r="H109" s="18">
        <v>93</v>
      </c>
      <c r="I109" s="18">
        <v>94</v>
      </c>
      <c r="J109" s="18">
        <v>101</v>
      </c>
      <c r="K109" s="18">
        <v>102</v>
      </c>
      <c r="L109" s="18">
        <v>103</v>
      </c>
      <c r="M109" s="18">
        <v>104</v>
      </c>
      <c r="N109" s="18">
        <v>105</v>
      </c>
      <c r="O109" s="18">
        <v>111</v>
      </c>
      <c r="P109" s="18">
        <v>112</v>
      </c>
      <c r="Q109" s="18">
        <v>113</v>
      </c>
      <c r="R109" s="18">
        <v>114</v>
      </c>
      <c r="S109" s="18">
        <v>115</v>
      </c>
      <c r="T109" s="18">
        <v>121</v>
      </c>
      <c r="U109" s="18">
        <v>122</v>
      </c>
      <c r="V109" s="18">
        <v>123</v>
      </c>
      <c r="W109" s="18">
        <v>124</v>
      </c>
      <c r="X109" s="1005"/>
      <c r="Y109" s="1011"/>
      <c r="Z109" s="1009"/>
      <c r="AA109" s="2"/>
      <c r="AB109" s="2"/>
    </row>
    <row r="110" spans="1:28" x14ac:dyDescent="0.2">
      <c r="A110" s="13">
        <v>2012</v>
      </c>
      <c r="B110" s="13"/>
      <c r="C110" s="13"/>
      <c r="D110" s="13"/>
      <c r="E110" s="13"/>
      <c r="F110" s="13"/>
      <c r="G110" s="13"/>
      <c r="H110" s="13"/>
      <c r="I110" s="325">
        <v>24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224"/>
      <c r="Z110" s="225"/>
      <c r="AA110" s="2"/>
      <c r="AB110" s="2"/>
    </row>
    <row r="111" spans="1:28" x14ac:dyDescent="0.2">
      <c r="A111" s="13">
        <v>2013</v>
      </c>
      <c r="B111" s="13"/>
      <c r="C111" s="13"/>
      <c r="D111" s="13"/>
      <c r="E111" s="13"/>
      <c r="F111" s="13"/>
      <c r="G111" s="13"/>
      <c r="H111" s="200">
        <v>13</v>
      </c>
      <c r="I111" s="201"/>
      <c r="J111" s="201"/>
      <c r="K111" s="201"/>
      <c r="L111" s="200">
        <v>13</v>
      </c>
      <c r="M111" s="200">
        <v>0</v>
      </c>
      <c r="N111" s="201"/>
      <c r="O111" s="200">
        <v>0</v>
      </c>
      <c r="P111" s="13"/>
      <c r="Q111" s="13"/>
      <c r="R111" s="13"/>
      <c r="S111" s="13"/>
      <c r="T111" s="13"/>
      <c r="U111" s="13"/>
      <c r="V111" s="13"/>
      <c r="W111" s="13"/>
      <c r="X111" s="13"/>
      <c r="Y111" s="224"/>
      <c r="Z111" s="225"/>
      <c r="AA111" s="2"/>
      <c r="AB111" s="2"/>
    </row>
    <row r="112" spans="1:28" x14ac:dyDescent="0.2">
      <c r="A112" s="13">
        <v>2014</v>
      </c>
      <c r="B112" s="13"/>
      <c r="C112" s="13"/>
      <c r="D112" s="13"/>
      <c r="E112" s="13"/>
      <c r="F112" s="13"/>
      <c r="G112" s="13"/>
      <c r="H112" s="405">
        <v>32</v>
      </c>
      <c r="I112" s="187"/>
      <c r="J112" s="405">
        <v>4</v>
      </c>
      <c r="K112" s="186">
        <v>14</v>
      </c>
      <c r="L112" s="187"/>
      <c r="M112" s="187"/>
      <c r="N112" s="187"/>
      <c r="O112" s="187"/>
      <c r="P112" s="187"/>
      <c r="Q112" s="406">
        <v>0</v>
      </c>
      <c r="R112" s="13"/>
      <c r="S112" s="13"/>
      <c r="T112" s="13"/>
      <c r="U112" s="13"/>
      <c r="V112" s="13"/>
      <c r="W112" s="13"/>
      <c r="X112" s="13">
        <v>35</v>
      </c>
      <c r="Y112" s="224" t="s">
        <v>9</v>
      </c>
      <c r="Z112" s="225"/>
      <c r="AA112" s="2"/>
      <c r="AB112" s="2"/>
    </row>
    <row r="113" spans="1:28" x14ac:dyDescent="0.2">
      <c r="A113" s="13">
        <v>2015</v>
      </c>
      <c r="B113" s="13"/>
      <c r="C113" s="13"/>
      <c r="D113" s="13"/>
      <c r="E113" s="13"/>
      <c r="F113" s="13"/>
      <c r="G113" s="13"/>
      <c r="H113" s="189">
        <v>397</v>
      </c>
      <c r="I113" s="187"/>
      <c r="J113" s="189">
        <v>252</v>
      </c>
      <c r="K113" s="408"/>
      <c r="L113" s="187"/>
      <c r="M113" s="189">
        <v>256</v>
      </c>
      <c r="N113" s="187"/>
      <c r="O113" s="409">
        <v>0</v>
      </c>
      <c r="P113" s="13"/>
      <c r="Q113" s="13"/>
      <c r="R113" s="13"/>
      <c r="S113" s="13"/>
      <c r="T113" s="13"/>
      <c r="U113" s="13"/>
      <c r="V113" s="13"/>
      <c r="W113" s="13"/>
      <c r="X113" s="13">
        <v>600</v>
      </c>
      <c r="Y113" s="224" t="s">
        <v>9</v>
      </c>
      <c r="Z113" s="225"/>
      <c r="AA113" s="2"/>
      <c r="AB113" s="2"/>
    </row>
    <row r="114" spans="1:28" x14ac:dyDescent="0.2">
      <c r="A114" s="13">
        <v>2016</v>
      </c>
      <c r="B114" s="2"/>
      <c r="C114" s="2"/>
      <c r="D114" s="2"/>
      <c r="E114" s="2"/>
      <c r="F114" s="2"/>
      <c r="G114" s="220"/>
      <c r="H114" s="189">
        <v>14</v>
      </c>
      <c r="I114" s="220"/>
      <c r="J114" s="189">
        <v>28</v>
      </c>
      <c r="K114" s="227"/>
      <c r="L114" s="227"/>
      <c r="M114" s="227"/>
      <c r="N114" s="227"/>
      <c r="O114" s="227"/>
      <c r="P114" s="227"/>
      <c r="Q114" s="416">
        <v>0</v>
      </c>
      <c r="R114" s="2"/>
      <c r="S114" s="2"/>
      <c r="T114" s="2"/>
      <c r="U114" s="2"/>
      <c r="V114" s="2"/>
      <c r="W114" s="2"/>
      <c r="X114" s="13">
        <v>30</v>
      </c>
      <c r="Y114" s="224" t="s">
        <v>9</v>
      </c>
      <c r="Z114" s="56"/>
      <c r="AA114" s="2"/>
      <c r="AB114" s="2"/>
    </row>
    <row r="115" spans="1:28" x14ac:dyDescent="0.2">
      <c r="A115" s="13">
        <v>2017</v>
      </c>
      <c r="B115" s="2"/>
      <c r="C115" s="2"/>
      <c r="D115" s="2"/>
      <c r="E115" s="2"/>
      <c r="F115" s="2"/>
      <c r="G115" s="220"/>
      <c r="H115" s="220"/>
      <c r="I115" s="220"/>
      <c r="J115" s="189">
        <v>32</v>
      </c>
      <c r="K115" s="220"/>
      <c r="L115" s="220"/>
      <c r="M115" s="220"/>
      <c r="N115" s="220"/>
      <c r="O115" s="220"/>
      <c r="P115" s="220"/>
      <c r="Q115" s="220"/>
      <c r="R115" s="220"/>
      <c r="S115" s="2"/>
      <c r="T115" s="189">
        <v>0</v>
      </c>
      <c r="U115" s="2"/>
      <c r="V115" s="2"/>
      <c r="W115" s="2"/>
      <c r="X115" s="13"/>
      <c r="Y115" s="224"/>
      <c r="Z115" s="56"/>
      <c r="AA115" s="2"/>
      <c r="AB115" s="2"/>
    </row>
    <row r="116" spans="1:28" x14ac:dyDescent="0.2">
      <c r="A116" s="13">
        <v>2018</v>
      </c>
      <c r="B116" s="2"/>
      <c r="C116" s="2"/>
      <c r="D116" s="2"/>
      <c r="E116" s="2"/>
      <c r="F116" s="2"/>
      <c r="G116" s="220"/>
      <c r="H116" s="220"/>
      <c r="I116" s="220"/>
      <c r="J116" s="189">
        <v>2</v>
      </c>
      <c r="K116" s="220"/>
      <c r="L116" s="220"/>
      <c r="M116" s="220"/>
      <c r="N116" s="220"/>
      <c r="O116" s="189">
        <v>0</v>
      </c>
      <c r="P116" s="220"/>
      <c r="Q116" s="416">
        <v>0</v>
      </c>
      <c r="R116" s="220"/>
      <c r="S116" s="2"/>
      <c r="T116" s="2"/>
      <c r="U116" s="2"/>
      <c r="V116" s="2"/>
      <c r="W116" s="2"/>
      <c r="X116" s="13"/>
      <c r="Y116" s="224"/>
      <c r="Z116" s="56"/>
      <c r="AA116" s="2"/>
      <c r="AB116" s="2"/>
    </row>
    <row r="117" spans="1:28" x14ac:dyDescent="0.2">
      <c r="A117" s="13">
        <v>2019</v>
      </c>
      <c r="B117" s="2"/>
      <c r="C117" s="2"/>
      <c r="D117" s="2"/>
      <c r="E117" s="2"/>
      <c r="F117" s="2"/>
      <c r="G117" s="220"/>
      <c r="H117" s="587">
        <v>2</v>
      </c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"/>
      <c r="T117" s="2"/>
      <c r="U117" s="2"/>
      <c r="V117" s="2"/>
      <c r="W117" s="2"/>
      <c r="X117" s="13"/>
      <c r="Y117" s="224"/>
      <c r="Z117" s="56"/>
      <c r="AA117" s="2"/>
      <c r="AB117" s="2"/>
    </row>
    <row r="118" spans="1:28" x14ac:dyDescent="0.2">
      <c r="A118" s="13">
        <v>2020</v>
      </c>
      <c r="B118" s="2"/>
      <c r="C118" s="2"/>
      <c r="D118" s="2"/>
      <c r="E118" s="2"/>
      <c r="F118" s="2"/>
      <c r="G118" s="220"/>
      <c r="H118" s="587">
        <v>0</v>
      </c>
      <c r="I118" s="220"/>
      <c r="J118" s="220"/>
      <c r="K118" s="587">
        <v>2</v>
      </c>
      <c r="L118" s="220"/>
      <c r="M118" s="220"/>
      <c r="N118" s="587">
        <v>0</v>
      </c>
      <c r="O118" s="220"/>
      <c r="P118" s="220"/>
      <c r="Q118" s="220"/>
      <c r="R118" s="220"/>
      <c r="S118" s="2"/>
      <c r="T118" s="2"/>
      <c r="U118" s="2"/>
      <c r="V118" s="2"/>
      <c r="W118" s="2"/>
      <c r="X118" s="13">
        <v>2</v>
      </c>
      <c r="Y118" s="7" t="s">
        <v>9</v>
      </c>
      <c r="Z118" s="56"/>
      <c r="AA118" s="2"/>
      <c r="AB118" s="2"/>
    </row>
    <row r="119" spans="1:28" s="151" customFormat="1" x14ac:dyDescent="0.2">
      <c r="A119" s="89">
        <v>2021</v>
      </c>
      <c r="B119" s="150"/>
      <c r="C119" s="150"/>
      <c r="D119" s="150"/>
      <c r="E119" s="150"/>
      <c r="F119" s="150"/>
      <c r="G119" s="220"/>
      <c r="H119" s="587">
        <v>1</v>
      </c>
      <c r="I119" s="220"/>
      <c r="J119" s="220"/>
      <c r="K119" s="220"/>
      <c r="L119" s="220"/>
      <c r="M119" s="220"/>
      <c r="N119" s="220"/>
      <c r="O119" s="826">
        <v>0</v>
      </c>
      <c r="P119" s="220"/>
      <c r="Q119" s="831"/>
      <c r="R119" s="220"/>
      <c r="S119" s="150"/>
      <c r="T119" s="150"/>
      <c r="U119" s="150"/>
      <c r="V119" s="150"/>
      <c r="W119" s="150"/>
      <c r="X119" s="89"/>
      <c r="Y119" s="11"/>
      <c r="Z119" s="95"/>
      <c r="AA119" s="150"/>
      <c r="AB119" s="150"/>
    </row>
    <row r="120" spans="1:28" s="151" customFormat="1" x14ac:dyDescent="0.2">
      <c r="A120" s="89">
        <v>2022</v>
      </c>
      <c r="B120" s="150"/>
      <c r="C120" s="150"/>
      <c r="D120" s="150"/>
      <c r="E120" s="150"/>
      <c r="F120" s="150"/>
      <c r="G120" s="220"/>
      <c r="H120" s="220"/>
      <c r="I120" s="587">
        <v>15</v>
      </c>
      <c r="J120" s="220"/>
      <c r="K120" s="587">
        <v>17</v>
      </c>
      <c r="L120" s="220"/>
      <c r="M120" s="220"/>
      <c r="N120" s="220"/>
      <c r="O120" s="587">
        <v>0</v>
      </c>
      <c r="P120" s="220"/>
      <c r="Q120" s="220"/>
      <c r="R120" s="220"/>
      <c r="S120" s="150"/>
      <c r="T120" s="150"/>
      <c r="U120" s="150"/>
      <c r="V120" s="150"/>
      <c r="W120" s="150"/>
      <c r="X120" s="89"/>
      <c r="Y120" s="11"/>
      <c r="Z120" s="95"/>
      <c r="AA120" s="150"/>
      <c r="AB120" s="150"/>
    </row>
    <row r="121" spans="1:28" s="151" customFormat="1" x14ac:dyDescent="0.2">
      <c r="A121" s="89">
        <v>2023</v>
      </c>
      <c r="B121" s="150"/>
      <c r="C121" s="150"/>
      <c r="D121" s="150"/>
      <c r="E121" s="150"/>
      <c r="F121" s="150"/>
      <c r="G121" s="220"/>
      <c r="H121" s="587">
        <v>25</v>
      </c>
      <c r="I121" s="220"/>
      <c r="J121" s="587">
        <v>13</v>
      </c>
      <c r="K121" s="220"/>
      <c r="L121" s="220"/>
      <c r="M121" s="587">
        <v>0</v>
      </c>
      <c r="N121" s="220"/>
      <c r="O121" s="885"/>
      <c r="P121" s="220"/>
      <c r="Q121" s="220"/>
      <c r="R121" s="220"/>
      <c r="S121" s="150"/>
      <c r="T121" s="150"/>
      <c r="U121" s="150"/>
      <c r="V121" s="150"/>
      <c r="W121" s="150"/>
      <c r="X121" s="89"/>
      <c r="Y121" s="11"/>
      <c r="Z121" s="95"/>
      <c r="AA121" s="150"/>
      <c r="AB121" s="150"/>
    </row>
    <row r="122" spans="1:28" x14ac:dyDescent="0.2">
      <c r="A122" s="297" t="s">
        <v>17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8"/>
      <c r="AA122" s="2"/>
      <c r="AB122" s="2"/>
    </row>
  </sheetData>
  <mergeCells count="24">
    <mergeCell ref="Z38:Z39"/>
    <mergeCell ref="A1:I1"/>
    <mergeCell ref="A3:A4"/>
    <mergeCell ref="B3:W3"/>
    <mergeCell ref="X3:X4"/>
    <mergeCell ref="Y3:Y4"/>
    <mergeCell ref="Z3:Z4"/>
    <mergeCell ref="A36:I36"/>
    <mergeCell ref="A38:A39"/>
    <mergeCell ref="B38:W38"/>
    <mergeCell ref="X38:X39"/>
    <mergeCell ref="Y38:Y39"/>
    <mergeCell ref="Z108:Z109"/>
    <mergeCell ref="A71:I71"/>
    <mergeCell ref="A73:A74"/>
    <mergeCell ref="B73:W73"/>
    <mergeCell ref="X73:X74"/>
    <mergeCell ref="Y73:Y74"/>
    <mergeCell ref="Z73:Z74"/>
    <mergeCell ref="A106:I106"/>
    <mergeCell ref="A108:A109"/>
    <mergeCell ref="B108:W108"/>
    <mergeCell ref="X108:X109"/>
    <mergeCell ref="Y108:Y109"/>
  </mergeCells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U100"/>
  <sheetViews>
    <sheetView topLeftCell="A67" zoomScale="75" workbookViewId="0">
      <selection activeCell="S104" sqref="S104"/>
    </sheetView>
  </sheetViews>
  <sheetFormatPr defaultColWidth="9.140625" defaultRowHeight="12.75" x14ac:dyDescent="0.2"/>
  <cols>
    <col min="1" max="1" width="10.28515625" style="2" customWidth="1"/>
    <col min="2" max="7" width="3.7109375" style="2" customWidth="1"/>
    <col min="8" max="11" width="4.140625" style="2" customWidth="1"/>
    <col min="12" max="12" width="5.140625" style="2" customWidth="1"/>
    <col min="13" max="13" width="6.140625" style="2" customWidth="1"/>
    <col min="14" max="14" width="5.140625" style="2" customWidth="1"/>
    <col min="15" max="15" width="7.42578125" style="2" customWidth="1"/>
    <col min="16" max="17" width="4.140625" style="2" customWidth="1"/>
    <col min="18" max="18" width="6.28515625" style="2" customWidth="1"/>
    <col min="19" max="23" width="4.140625" style="2" customWidth="1"/>
    <col min="24" max="24" width="9.140625" style="2"/>
    <col min="25" max="25" width="12.5703125" style="2" customWidth="1"/>
    <col min="26" max="26" width="11.7109375" style="56" customWidth="1"/>
    <col min="27" max="27" width="9.140625" style="2"/>
    <col min="28" max="47" width="8.7109375" customWidth="1"/>
    <col min="48" max="16384" width="9.140625" style="2"/>
  </cols>
  <sheetData>
    <row r="1" spans="1:47" ht="18" customHeight="1" x14ac:dyDescent="0.2">
      <c r="A1" s="1002" t="s">
        <v>523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560" t="s">
        <v>427</v>
      </c>
      <c r="M1" s="561" t="s">
        <v>428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7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1:47" ht="18" customHeight="1" thickTop="1" x14ac:dyDescent="0.2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</row>
    <row r="4" spans="1:47" ht="18" customHeight="1" x14ac:dyDescent="0.2">
      <c r="A4" s="1005"/>
      <c r="B4" s="555">
        <v>81</v>
      </c>
      <c r="C4" s="555">
        <v>82</v>
      </c>
      <c r="D4" s="555">
        <v>83</v>
      </c>
      <c r="E4" s="555">
        <v>84</v>
      </c>
      <c r="F4" s="555">
        <v>91</v>
      </c>
      <c r="G4" s="555">
        <v>92</v>
      </c>
      <c r="H4" s="555">
        <v>93</v>
      </c>
      <c r="I4" s="555">
        <v>94</v>
      </c>
      <c r="J4" s="555">
        <v>101</v>
      </c>
      <c r="K4" s="555">
        <v>102</v>
      </c>
      <c r="L4" s="555">
        <v>103</v>
      </c>
      <c r="M4" s="555">
        <v>104</v>
      </c>
      <c r="N4" s="555">
        <v>105</v>
      </c>
      <c r="O4" s="555">
        <v>111</v>
      </c>
      <c r="P4" s="555">
        <v>112</v>
      </c>
      <c r="Q4" s="555">
        <v>113</v>
      </c>
      <c r="R4" s="555">
        <v>114</v>
      </c>
      <c r="S4" s="555">
        <v>115</v>
      </c>
      <c r="T4" s="555">
        <v>121</v>
      </c>
      <c r="U4" s="555">
        <v>122</v>
      </c>
      <c r="V4" s="555">
        <v>123</v>
      </c>
      <c r="W4" s="555">
        <v>124</v>
      </c>
      <c r="X4" s="1005"/>
      <c r="Y4" s="1011"/>
      <c r="Z4" s="1009"/>
      <c r="AA4" s="68" t="s">
        <v>44</v>
      </c>
    </row>
    <row r="5" spans="1:47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97"/>
      <c r="I5" s="97"/>
      <c r="J5" s="97"/>
      <c r="K5" s="97"/>
      <c r="L5" s="97"/>
      <c r="M5" s="97"/>
      <c r="N5" s="6"/>
      <c r="O5" s="6"/>
      <c r="P5" s="6"/>
      <c r="Q5" s="6"/>
      <c r="R5" s="6"/>
      <c r="S5" s="6"/>
      <c r="T5" s="1"/>
      <c r="U5" s="1"/>
      <c r="V5" s="1"/>
      <c r="W5" s="1"/>
      <c r="X5" s="7"/>
      <c r="Y5" s="7"/>
      <c r="Z5" s="10"/>
      <c r="AA5" s="8">
        <f>COUNT(B5:W5)</f>
        <v>0</v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s="8" customFormat="1" ht="18" customHeight="1" x14ac:dyDescent="0.2">
      <c r="A6" s="1">
        <v>1996</v>
      </c>
      <c r="B6" s="6"/>
      <c r="C6" s="6"/>
      <c r="D6" s="6"/>
      <c r="E6" s="6"/>
      <c r="F6" s="6"/>
      <c r="G6" s="6"/>
      <c r="H6" s="559">
        <v>0</v>
      </c>
      <c r="I6" s="97"/>
      <c r="J6" s="154">
        <v>0</v>
      </c>
      <c r="K6" s="97"/>
      <c r="L6" s="97"/>
      <c r="M6" s="97"/>
      <c r="N6" s="6"/>
      <c r="O6" s="6"/>
      <c r="P6" s="6"/>
      <c r="Q6" s="6"/>
      <c r="R6" s="6"/>
      <c r="S6" s="6"/>
      <c r="T6" s="1"/>
      <c r="U6" s="1"/>
      <c r="V6" s="1"/>
      <c r="W6" s="1"/>
      <c r="X6" s="7"/>
      <c r="Y6" s="7"/>
      <c r="Z6" s="10"/>
      <c r="AA6" s="8">
        <f t="shared" ref="AA6:AA21" si="0">COUNT(B6:W6)</f>
        <v>2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s="8" customFormat="1" ht="18" customHeight="1" x14ac:dyDescent="0.2">
      <c r="A7" s="1">
        <v>1997</v>
      </c>
      <c r="B7" s="6"/>
      <c r="C7" s="6"/>
      <c r="D7" s="6"/>
      <c r="E7" s="6"/>
      <c r="F7" s="6"/>
      <c r="G7" s="6"/>
      <c r="H7" s="97"/>
      <c r="I7" s="97"/>
      <c r="J7" s="97"/>
      <c r="K7" s="97"/>
      <c r="L7" s="97"/>
      <c r="M7" s="97"/>
      <c r="N7" s="6"/>
      <c r="O7" s="6"/>
      <c r="P7" s="6"/>
      <c r="Q7" s="6"/>
      <c r="R7" s="6"/>
      <c r="S7" s="6"/>
      <c r="T7" s="1"/>
      <c r="U7" s="1"/>
      <c r="V7" s="1"/>
      <c r="W7" s="1"/>
      <c r="X7" s="7"/>
      <c r="Y7" s="7"/>
      <c r="Z7" s="10"/>
      <c r="AA7" s="8">
        <f t="shared" si="0"/>
        <v>0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8" customFormat="1" ht="18" customHeight="1" x14ac:dyDescent="0.2">
      <c r="A8" s="1">
        <v>1998</v>
      </c>
      <c r="B8" s="6"/>
      <c r="C8" s="6"/>
      <c r="D8" s="6"/>
      <c r="E8" s="6"/>
      <c r="F8" s="6"/>
      <c r="G8" s="6"/>
      <c r="H8" s="97"/>
      <c r="I8" s="97"/>
      <c r="J8" s="97"/>
      <c r="K8" s="97"/>
      <c r="L8" s="560"/>
      <c r="M8" s="560"/>
      <c r="N8" s="6"/>
      <c r="O8" s="6"/>
      <c r="P8" s="6"/>
      <c r="Q8" s="6"/>
      <c r="R8" s="6"/>
      <c r="S8" s="6"/>
      <c r="T8" s="1"/>
      <c r="U8" s="1"/>
      <c r="V8" s="1"/>
      <c r="W8" s="1"/>
      <c r="X8" s="7"/>
      <c r="Y8" s="7"/>
      <c r="Z8" s="10"/>
      <c r="AA8" s="8">
        <f t="shared" si="0"/>
        <v>0</v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8" customFormat="1" ht="18" customHeight="1" x14ac:dyDescent="0.2">
      <c r="A9" s="1">
        <v>1999</v>
      </c>
      <c r="B9" s="6"/>
      <c r="C9" s="6"/>
      <c r="D9" s="6"/>
      <c r="E9" s="6"/>
      <c r="F9" s="6"/>
      <c r="G9" s="6"/>
      <c r="H9" s="97"/>
      <c r="I9" s="97"/>
      <c r="J9" s="97"/>
      <c r="K9" s="97"/>
      <c r="L9" s="97"/>
      <c r="M9" s="97"/>
      <c r="N9" s="6"/>
      <c r="O9" s="6"/>
      <c r="P9" s="6"/>
      <c r="Q9" s="6"/>
      <c r="R9" s="6"/>
      <c r="S9" s="6"/>
      <c r="T9" s="1"/>
      <c r="U9" s="1"/>
      <c r="V9" s="1"/>
      <c r="W9" s="1"/>
      <c r="X9" s="9"/>
      <c r="Y9" s="7"/>
      <c r="Z9" s="9"/>
      <c r="AA9" s="8">
        <f t="shared" si="0"/>
        <v>0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8" customFormat="1" ht="18" customHeight="1" x14ac:dyDescent="0.2">
      <c r="A10" s="1">
        <v>2000</v>
      </c>
      <c r="B10" s="6"/>
      <c r="C10" s="6"/>
      <c r="D10" s="6"/>
      <c r="E10" s="6"/>
      <c r="F10" s="6"/>
      <c r="G10" s="6"/>
      <c r="H10" s="97"/>
      <c r="I10" s="97"/>
      <c r="J10" s="97"/>
      <c r="K10" s="97"/>
      <c r="L10" s="110">
        <v>0</v>
      </c>
      <c r="M10" s="97"/>
      <c r="N10" s="110">
        <v>0</v>
      </c>
      <c r="O10" s="110">
        <v>0</v>
      </c>
      <c r="P10" s="110">
        <v>0</v>
      </c>
      <c r="Q10" s="6"/>
      <c r="R10" s="6"/>
      <c r="S10" s="6"/>
      <c r="T10" s="1"/>
      <c r="U10" s="1"/>
      <c r="V10" s="1"/>
      <c r="W10" s="1"/>
      <c r="X10" s="10"/>
      <c r="Y10" s="7"/>
      <c r="Z10" s="10"/>
      <c r="AA10" s="8">
        <f t="shared" si="0"/>
        <v>4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8" customFormat="1" ht="18" customHeight="1" x14ac:dyDescent="0.2">
      <c r="A11" s="1">
        <v>2001</v>
      </c>
      <c r="B11" s="6"/>
      <c r="C11" s="6"/>
      <c r="D11" s="6"/>
      <c r="E11" s="6"/>
      <c r="F11" s="6"/>
      <c r="G11" s="6"/>
      <c r="H11" s="97"/>
      <c r="I11" s="97"/>
      <c r="J11" s="97"/>
      <c r="K11" s="559">
        <v>0</v>
      </c>
      <c r="L11" s="559">
        <v>0</v>
      </c>
      <c r="M11" s="110">
        <v>0</v>
      </c>
      <c r="N11" s="6"/>
      <c r="O11" s="6"/>
      <c r="P11" s="6"/>
      <c r="Q11" s="6"/>
      <c r="R11" s="6"/>
      <c r="S11" s="6"/>
      <c r="T11" s="1"/>
      <c r="U11" s="1"/>
      <c r="V11" s="1"/>
      <c r="W11" s="1"/>
      <c r="X11" s="7"/>
      <c r="Y11" s="7"/>
      <c r="Z11" s="10"/>
      <c r="AA11" s="8">
        <f t="shared" si="0"/>
        <v>3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8" customFormat="1" ht="18" customHeight="1" x14ac:dyDescent="0.2">
      <c r="A12" s="1">
        <v>2002</v>
      </c>
      <c r="B12" s="6"/>
      <c r="C12" s="6"/>
      <c r="D12" s="6"/>
      <c r="E12" s="6"/>
      <c r="F12" s="6"/>
      <c r="G12" s="6"/>
      <c r="H12" s="97"/>
      <c r="I12" s="97"/>
      <c r="J12" s="97"/>
      <c r="K12" s="110">
        <v>0</v>
      </c>
      <c r="L12" s="110">
        <v>0</v>
      </c>
      <c r="M12" s="97"/>
      <c r="N12" s="110">
        <v>0</v>
      </c>
      <c r="O12" s="110">
        <v>0</v>
      </c>
      <c r="P12" s="97"/>
      <c r="Q12" s="97"/>
      <c r="R12" s="110">
        <v>0</v>
      </c>
      <c r="S12" s="6"/>
      <c r="T12" s="1"/>
      <c r="U12" s="1"/>
      <c r="V12" s="1"/>
      <c r="W12" s="1"/>
      <c r="X12" s="7"/>
      <c r="Y12" s="7"/>
      <c r="Z12" s="10"/>
      <c r="AA12" s="8">
        <f t="shared" si="0"/>
        <v>5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s="8" customFormat="1" ht="18" customHeight="1" x14ac:dyDescent="0.2">
      <c r="A13" s="1">
        <v>2003</v>
      </c>
      <c r="B13" s="6"/>
      <c r="C13" s="6"/>
      <c r="D13" s="6"/>
      <c r="E13" s="6"/>
      <c r="F13" s="6"/>
      <c r="G13" s="6"/>
      <c r="H13" s="97"/>
      <c r="I13" s="97"/>
      <c r="J13" s="97"/>
      <c r="K13" s="97"/>
      <c r="L13" s="97"/>
      <c r="M13" s="97"/>
      <c r="N13" s="6"/>
      <c r="O13" s="6"/>
      <c r="P13" s="6"/>
      <c r="Q13" s="6"/>
      <c r="R13" s="6"/>
      <c r="S13" s="6"/>
      <c r="T13" s="1"/>
      <c r="U13" s="1"/>
      <c r="V13" s="1"/>
      <c r="W13" s="1"/>
      <c r="X13" s="7"/>
      <c r="Y13" s="7"/>
      <c r="Z13" s="10"/>
      <c r="AA13" s="8">
        <f t="shared" si="0"/>
        <v>0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97"/>
      <c r="I14" s="97"/>
      <c r="J14" s="97"/>
      <c r="K14" s="97"/>
      <c r="L14" s="97"/>
      <c r="M14" s="97"/>
      <c r="N14" s="6"/>
      <c r="O14" s="6"/>
      <c r="P14" s="6"/>
      <c r="Q14" s="6"/>
      <c r="R14" s="6"/>
      <c r="S14" s="6"/>
      <c r="T14" s="1"/>
      <c r="U14" s="1"/>
      <c r="V14" s="1"/>
      <c r="W14" s="1"/>
      <c r="X14" s="11"/>
      <c r="Y14" s="7"/>
      <c r="Z14" s="57"/>
      <c r="AA14" s="8">
        <f t="shared" si="0"/>
        <v>0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97"/>
      <c r="I15" s="97"/>
      <c r="J15" s="97"/>
      <c r="K15" s="97"/>
      <c r="L15" s="97"/>
      <c r="M15" s="97"/>
      <c r="N15" s="6"/>
      <c r="O15" s="6"/>
      <c r="P15" s="6"/>
      <c r="Q15" s="6"/>
      <c r="R15" s="6"/>
      <c r="S15" s="6"/>
      <c r="T15" s="1"/>
      <c r="U15" s="1"/>
      <c r="V15" s="1"/>
      <c r="W15" s="1"/>
      <c r="X15" s="11"/>
      <c r="Y15" s="7"/>
      <c r="Z15" s="54"/>
      <c r="AA15" s="8">
        <f t="shared" si="0"/>
        <v>0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97"/>
      <c r="I16" s="97"/>
      <c r="J16" s="97"/>
      <c r="K16" s="97"/>
      <c r="L16" s="97"/>
      <c r="M16" s="97"/>
      <c r="N16" s="6"/>
      <c r="O16" s="6"/>
      <c r="P16" s="6"/>
      <c r="Q16" s="6"/>
      <c r="R16" s="6"/>
      <c r="S16" s="6"/>
      <c r="T16" s="1"/>
      <c r="U16" s="1"/>
      <c r="V16" s="1"/>
      <c r="W16" s="1"/>
      <c r="X16" s="12"/>
      <c r="Y16" s="7"/>
      <c r="Z16" s="53"/>
      <c r="AA16" s="8">
        <f t="shared" si="0"/>
        <v>0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8" customFormat="1" ht="18" customHeight="1" x14ac:dyDescent="0.2">
      <c r="A17" s="1">
        <v>2007</v>
      </c>
      <c r="B17" s="6"/>
      <c r="C17" s="6"/>
      <c r="D17" s="6"/>
      <c r="E17" s="6"/>
      <c r="F17" s="6"/>
      <c r="G17" s="6"/>
      <c r="H17" s="97"/>
      <c r="I17" s="97"/>
      <c r="J17" s="97"/>
      <c r="K17" s="97"/>
      <c r="L17" s="97"/>
      <c r="M17" s="97"/>
      <c r="N17" s="6"/>
      <c r="O17" s="6"/>
      <c r="P17" s="6"/>
      <c r="Q17" s="6"/>
      <c r="R17" s="6"/>
      <c r="S17" s="6"/>
      <c r="T17" s="1"/>
      <c r="U17" s="1"/>
      <c r="V17" s="1"/>
      <c r="W17" s="1"/>
      <c r="X17" s="12"/>
      <c r="Y17" s="7"/>
      <c r="Z17" s="54"/>
      <c r="AA17" s="8">
        <f t="shared" si="0"/>
        <v>0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8" customFormat="1" ht="18" customHeight="1" x14ac:dyDescent="0.2">
      <c r="A18" s="1">
        <v>2008</v>
      </c>
      <c r="B18" s="1"/>
      <c r="C18" s="1"/>
      <c r="D18" s="1"/>
      <c r="E18" s="1"/>
      <c r="F18" s="1"/>
      <c r="G18" s="1"/>
      <c r="H18" s="227"/>
      <c r="I18" s="227"/>
      <c r="J18" s="227"/>
      <c r="K18" s="227"/>
      <c r="L18" s="227"/>
      <c r="M18" s="22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7"/>
      <c r="Z18" s="54"/>
      <c r="AA18" s="8">
        <f t="shared" si="0"/>
        <v>0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8" customFormat="1" ht="18" customHeight="1" x14ac:dyDescent="0.2">
      <c r="A19" s="1">
        <v>2009</v>
      </c>
      <c r="B19" s="1"/>
      <c r="C19" s="1"/>
      <c r="D19" s="1"/>
      <c r="E19" s="1"/>
      <c r="F19" s="1"/>
      <c r="G19" s="1"/>
      <c r="H19" s="227"/>
      <c r="I19" s="227"/>
      <c r="J19" s="227"/>
      <c r="K19" s="227"/>
      <c r="L19" s="227"/>
      <c r="M19" s="22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7"/>
      <c r="Z19" s="54"/>
      <c r="AA19" s="8">
        <f t="shared" si="0"/>
        <v>0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8" customFormat="1" ht="18" customHeight="1" x14ac:dyDescent="0.2">
      <c r="A20" s="1">
        <v>2010</v>
      </c>
      <c r="B20" s="1"/>
      <c r="C20" s="1"/>
      <c r="D20" s="1"/>
      <c r="E20" s="1"/>
      <c r="F20" s="1"/>
      <c r="G20" s="1"/>
      <c r="H20" s="227"/>
      <c r="I20" s="227"/>
      <c r="J20" s="227"/>
      <c r="K20" s="227"/>
      <c r="L20" s="227"/>
      <c r="M20" s="22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7"/>
      <c r="Z20" s="54"/>
      <c r="AA20" s="8">
        <f t="shared" si="0"/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8" customFormat="1" ht="18" customHeight="1" x14ac:dyDescent="0.2">
      <c r="A21" s="1">
        <v>2011</v>
      </c>
      <c r="B21" s="1"/>
      <c r="C21" s="1"/>
      <c r="D21" s="1"/>
      <c r="E21" s="1"/>
      <c r="F21" s="1"/>
      <c r="G21" s="1"/>
      <c r="H21" s="227"/>
      <c r="I21" s="227"/>
      <c r="J21" s="227"/>
      <c r="K21" s="227"/>
      <c r="L21" s="227"/>
      <c r="M21" s="22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7"/>
      <c r="Z21" s="54"/>
      <c r="AA21" s="8">
        <f t="shared" si="0"/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8" customFormat="1" ht="18" customHeight="1" x14ac:dyDescent="0.2">
      <c r="A22" s="1">
        <v>2012</v>
      </c>
      <c r="B22" s="1"/>
      <c r="C22" s="1"/>
      <c r="D22" s="1"/>
      <c r="E22" s="1"/>
      <c r="F22" s="1"/>
      <c r="G22" s="1"/>
      <c r="H22" s="227"/>
      <c r="I22" s="227"/>
      <c r="J22" s="227"/>
      <c r="K22" s="227"/>
      <c r="L22" s="227"/>
      <c r="M22" s="22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7"/>
      <c r="Z22" s="54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8" customFormat="1" ht="18" customHeight="1" x14ac:dyDescent="0.2">
      <c r="A23" s="1">
        <v>2013</v>
      </c>
      <c r="B23" s="1"/>
      <c r="C23" s="1"/>
      <c r="D23" s="1"/>
      <c r="E23" s="1"/>
      <c r="F23" s="1"/>
      <c r="G23" s="1"/>
      <c r="H23" s="227"/>
      <c r="I23" s="227"/>
      <c r="J23" s="227"/>
      <c r="K23" s="227"/>
      <c r="L23" s="227"/>
      <c r="M23" s="562">
        <v>0</v>
      </c>
      <c r="N23" s="56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7"/>
      <c r="Z23" s="54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8" customFormat="1" ht="18" customHeight="1" x14ac:dyDescent="0.2">
      <c r="A24" s="1">
        <v>2014</v>
      </c>
      <c r="B24" s="1"/>
      <c r="C24" s="1"/>
      <c r="D24" s="1"/>
      <c r="E24" s="1"/>
      <c r="F24" s="1"/>
      <c r="G24" s="1"/>
      <c r="H24" s="1"/>
      <c r="I24" s="110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7"/>
      <c r="Z24" s="5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s="8" customFormat="1" ht="18" customHeight="1" x14ac:dyDescent="0.2">
      <c r="A25" s="1">
        <v>2015</v>
      </c>
      <c r="B25" s="1"/>
      <c r="C25" s="1"/>
      <c r="D25" s="1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11"/>
      <c r="Z25" s="210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s="8" customFormat="1" ht="18" customHeight="1" x14ac:dyDescent="0.2">
      <c r="A26" s="1">
        <v>2016</v>
      </c>
      <c r="B26" s="1"/>
      <c r="C26" s="1"/>
      <c r="D26" s="1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11"/>
      <c r="Z26" s="210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s="8" customFormat="1" ht="18" customHeight="1" x14ac:dyDescent="0.2">
      <c r="A27" s="1">
        <v>2017</v>
      </c>
      <c r="B27" s="1"/>
      <c r="C27" s="1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11"/>
      <c r="Z27" s="210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8" customFormat="1" ht="18" customHeight="1" x14ac:dyDescent="0.2">
      <c r="A28" s="1">
        <v>2018</v>
      </c>
      <c r="B28" s="1"/>
      <c r="C28" s="1"/>
      <c r="D28" s="227"/>
      <c r="E28" s="227"/>
      <c r="F28" s="227"/>
      <c r="G28" s="227"/>
      <c r="H28" s="227"/>
      <c r="I28" s="564">
        <v>0</v>
      </c>
      <c r="J28" s="89"/>
      <c r="K28" s="227"/>
      <c r="L28" s="564">
        <v>0</v>
      </c>
      <c r="M28" s="227"/>
      <c r="N28" s="89"/>
      <c r="O28" s="564">
        <v>0</v>
      </c>
      <c r="P28" s="227"/>
      <c r="Q28" s="227"/>
      <c r="R28" s="227"/>
      <c r="S28" s="227"/>
      <c r="T28" s="227"/>
      <c r="U28" s="227"/>
      <c r="V28" s="227"/>
      <c r="W28" s="227"/>
      <c r="X28" s="227"/>
      <c r="Y28" s="11"/>
      <c r="Z28" s="210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8" customFormat="1" ht="18" customHeight="1" x14ac:dyDescent="0.2">
      <c r="A29" s="1">
        <v>2019</v>
      </c>
      <c r="B29" s="1"/>
      <c r="C29" s="1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11"/>
      <c r="Z29" s="210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8" customFormat="1" ht="18" customHeight="1" x14ac:dyDescent="0.2">
      <c r="A30" s="1">
        <v>2020</v>
      </c>
      <c r="B30" s="1"/>
      <c r="C30" s="1"/>
      <c r="D30" s="227"/>
      <c r="E30" s="227"/>
      <c r="F30" s="227"/>
      <c r="G30" s="227"/>
      <c r="H30" s="227"/>
      <c r="I30" s="227"/>
      <c r="J30" s="227"/>
      <c r="K30" s="105">
        <v>0</v>
      </c>
      <c r="L30" s="227"/>
      <c r="M30" s="105">
        <v>0</v>
      </c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11"/>
      <c r="Z30" s="21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94" customFormat="1" ht="18" customHeight="1" x14ac:dyDescent="0.2">
      <c r="A31" s="227">
        <v>2021</v>
      </c>
      <c r="B31" s="227"/>
      <c r="C31" s="227"/>
      <c r="D31" s="227"/>
      <c r="E31" s="227"/>
      <c r="F31" s="227"/>
      <c r="G31" s="227"/>
      <c r="H31" s="227"/>
      <c r="I31" s="227"/>
      <c r="J31" s="227"/>
      <c r="K31" s="105">
        <v>0</v>
      </c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11"/>
      <c r="Z31" s="210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</row>
    <row r="32" spans="1:47" s="8" customFormat="1" ht="18" customHeight="1" x14ac:dyDescent="0.2">
      <c r="A32" s="64" t="s">
        <v>17</v>
      </c>
      <c r="B32" s="16"/>
      <c r="C32" s="16"/>
      <c r="D32" s="16"/>
      <c r="E32" s="16"/>
      <c r="F32" s="16" t="e">
        <f t="shared" ref="F32:V32" si="1">AVERAGE(F5:F19)</f>
        <v>#DIV/0!</v>
      </c>
      <c r="G32" s="16" t="e">
        <f t="shared" si="1"/>
        <v>#DIV/0!</v>
      </c>
      <c r="H32" s="16">
        <f t="shared" si="1"/>
        <v>0</v>
      </c>
      <c r="I32" s="16" t="e">
        <f t="shared" si="1"/>
        <v>#DIV/0!</v>
      </c>
      <c r="J32" s="16">
        <f t="shared" si="1"/>
        <v>0</v>
      </c>
      <c r="K32" s="16">
        <f t="shared" si="1"/>
        <v>0</v>
      </c>
      <c r="L32" s="16">
        <f t="shared" si="1"/>
        <v>0</v>
      </c>
      <c r="M32" s="16">
        <f t="shared" si="1"/>
        <v>0</v>
      </c>
      <c r="N32" s="16">
        <f t="shared" si="1"/>
        <v>0</v>
      </c>
      <c r="O32" s="16">
        <f t="shared" si="1"/>
        <v>0</v>
      </c>
      <c r="P32" s="16">
        <f t="shared" si="1"/>
        <v>0</v>
      </c>
      <c r="Q32" s="16" t="e">
        <f t="shared" si="1"/>
        <v>#DIV/0!</v>
      </c>
      <c r="R32" s="16">
        <f t="shared" si="1"/>
        <v>0</v>
      </c>
      <c r="S32" s="16" t="e">
        <f t="shared" si="1"/>
        <v>#DIV/0!</v>
      </c>
      <c r="T32" s="16" t="e">
        <f t="shared" si="1"/>
        <v>#DIV/0!</v>
      </c>
      <c r="U32" s="16" t="e">
        <f t="shared" si="1"/>
        <v>#DIV/0!</v>
      </c>
      <c r="V32" s="16" t="e">
        <f t="shared" si="1"/>
        <v>#DIV/0!</v>
      </c>
      <c r="W32" s="16"/>
      <c r="X32" s="16" t="e">
        <f>AVERAGE(X5:X19)</f>
        <v>#DIV/0!</v>
      </c>
      <c r="Y32" s="17"/>
      <c r="Z32" s="16" t="e">
        <f>AVERAGE(Z5:Z19)</f>
        <v>#DIV/0!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7" ht="18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AA33" s="8"/>
    </row>
    <row r="34" spans="1:27" ht="18" customHeight="1" x14ac:dyDescent="0.2">
      <c r="A34" s="1002" t="s">
        <v>524</v>
      </c>
      <c r="B34" s="1003"/>
      <c r="C34" s="1003"/>
      <c r="D34" s="1003"/>
      <c r="E34" s="1003"/>
      <c r="F34" s="1003"/>
      <c r="G34" s="1003"/>
      <c r="H34" s="1003"/>
      <c r="I34" s="100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7" ht="9" customHeight="1" thickBo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1"/>
    </row>
    <row r="36" spans="1:27" ht="18" customHeight="1" thickTop="1" x14ac:dyDescent="0.2">
      <c r="A36" s="1004" t="s">
        <v>0</v>
      </c>
      <c r="B36" s="1006" t="s">
        <v>1</v>
      </c>
      <c r="C36" s="1006"/>
      <c r="D36" s="1006"/>
      <c r="E36" s="1006"/>
      <c r="F36" s="1006"/>
      <c r="G36" s="1006"/>
      <c r="H36" s="1006"/>
      <c r="I36" s="1006"/>
      <c r="J36" s="1006"/>
      <c r="K36" s="1006"/>
      <c r="L36" s="1006"/>
      <c r="M36" s="1006"/>
      <c r="N36" s="1006"/>
      <c r="O36" s="1006"/>
      <c r="P36" s="1006"/>
      <c r="Q36" s="1006"/>
      <c r="R36" s="1006"/>
      <c r="S36" s="1006"/>
      <c r="T36" s="1006"/>
      <c r="U36" s="1006"/>
      <c r="V36" s="1006"/>
      <c r="W36" s="1006"/>
      <c r="X36" s="1004" t="s">
        <v>2</v>
      </c>
      <c r="Y36" s="1010" t="s">
        <v>3</v>
      </c>
      <c r="Z36" s="1008" t="s">
        <v>4</v>
      </c>
    </row>
    <row r="37" spans="1:27" ht="18" customHeight="1" x14ac:dyDescent="0.2">
      <c r="A37" s="1005"/>
      <c r="B37" s="18">
        <v>81</v>
      </c>
      <c r="C37" s="18">
        <v>82</v>
      </c>
      <c r="D37" s="18">
        <v>83</v>
      </c>
      <c r="E37" s="18">
        <v>84</v>
      </c>
      <c r="F37" s="18">
        <v>91</v>
      </c>
      <c r="G37" s="18">
        <v>92</v>
      </c>
      <c r="H37" s="18">
        <v>93</v>
      </c>
      <c r="I37" s="18">
        <v>94</v>
      </c>
      <c r="J37" s="18">
        <v>101</v>
      </c>
      <c r="K37" s="18">
        <v>102</v>
      </c>
      <c r="L37" s="18">
        <v>103</v>
      </c>
      <c r="M37" s="18">
        <v>104</v>
      </c>
      <c r="N37" s="18">
        <v>105</v>
      </c>
      <c r="O37" s="18">
        <v>111</v>
      </c>
      <c r="P37" s="18">
        <v>112</v>
      </c>
      <c r="Q37" s="18">
        <v>113</v>
      </c>
      <c r="R37" s="18">
        <v>114</v>
      </c>
      <c r="S37" s="18">
        <v>115</v>
      </c>
      <c r="T37" s="18">
        <v>121</v>
      </c>
      <c r="U37" s="18">
        <v>122</v>
      </c>
      <c r="V37" s="18">
        <v>123</v>
      </c>
      <c r="W37" s="18">
        <v>124</v>
      </c>
      <c r="X37" s="1005"/>
      <c r="Y37" s="1011"/>
      <c r="Z37" s="1009"/>
    </row>
    <row r="38" spans="1:27" ht="18" customHeight="1" x14ac:dyDescent="0.2">
      <c r="A38" s="1">
        <v>1995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89"/>
      <c r="U38" s="89"/>
      <c r="V38" s="89"/>
      <c r="W38" s="89"/>
      <c r="X38" s="89"/>
      <c r="Y38" s="11"/>
      <c r="Z38" s="92"/>
      <c r="AA38" s="8">
        <f>COUNT(B38:W38)</f>
        <v>0</v>
      </c>
    </row>
    <row r="39" spans="1:27" ht="18" customHeight="1" x14ac:dyDescent="0.2">
      <c r="A39" s="1">
        <v>1996</v>
      </c>
      <c r="B39" s="97"/>
      <c r="C39" s="97"/>
      <c r="D39" s="97"/>
      <c r="E39" s="97"/>
      <c r="F39" s="97"/>
      <c r="G39" s="97"/>
      <c r="H39" s="559">
        <v>38</v>
      </c>
      <c r="I39" s="97"/>
      <c r="J39" s="154">
        <v>21</v>
      </c>
      <c r="K39" s="97"/>
      <c r="L39" s="97"/>
      <c r="M39" s="97"/>
      <c r="N39" s="97"/>
      <c r="O39" s="97"/>
      <c r="P39" s="97"/>
      <c r="Q39" s="97"/>
      <c r="R39" s="97"/>
      <c r="S39" s="97"/>
      <c r="T39" s="89"/>
      <c r="U39" s="89"/>
      <c r="V39" s="89"/>
      <c r="W39" s="89"/>
      <c r="X39" s="89" t="s">
        <v>322</v>
      </c>
      <c r="Y39" s="11"/>
      <c r="Z39" s="404"/>
      <c r="AA39" s="8">
        <f t="shared" ref="AA39:AA54" si="2">COUNT(B39:W39)</f>
        <v>2</v>
      </c>
    </row>
    <row r="40" spans="1:27" ht="18" customHeight="1" x14ac:dyDescent="0.2">
      <c r="A40" s="1">
        <v>1997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89"/>
      <c r="U40" s="89"/>
      <c r="V40" s="89"/>
      <c r="W40" s="89"/>
      <c r="X40" s="89" t="s">
        <v>16</v>
      </c>
      <c r="Y40" s="11"/>
      <c r="Z40" s="92"/>
      <c r="AA40" s="8">
        <f t="shared" si="2"/>
        <v>0</v>
      </c>
    </row>
    <row r="41" spans="1:27" ht="18" customHeight="1" x14ac:dyDescent="0.2">
      <c r="A41" s="1">
        <v>1998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560"/>
      <c r="M41" s="560"/>
      <c r="N41" s="97"/>
      <c r="O41" s="97"/>
      <c r="P41" s="97"/>
      <c r="Q41" s="97"/>
      <c r="R41" s="97"/>
      <c r="S41" s="97"/>
      <c r="T41" s="89"/>
      <c r="U41" s="89"/>
      <c r="V41" s="89"/>
      <c r="W41" s="89"/>
      <c r="X41" s="89" t="s">
        <v>16</v>
      </c>
      <c r="Y41" s="11"/>
      <c r="Z41" s="92"/>
      <c r="AA41" s="8">
        <f t="shared" si="2"/>
        <v>0</v>
      </c>
    </row>
    <row r="42" spans="1:27" ht="18" customHeight="1" x14ac:dyDescent="0.2">
      <c r="A42" s="1">
        <v>1999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89"/>
      <c r="U42" s="89"/>
      <c r="V42" s="89"/>
      <c r="W42" s="89"/>
      <c r="X42" s="89" t="s">
        <v>322</v>
      </c>
      <c r="Y42" s="11"/>
      <c r="Z42" s="92"/>
      <c r="AA42" s="8">
        <f t="shared" si="2"/>
        <v>0</v>
      </c>
    </row>
    <row r="43" spans="1:27" ht="18" customHeight="1" x14ac:dyDescent="0.2">
      <c r="A43" s="1">
        <v>2000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110">
        <v>9</v>
      </c>
      <c r="M43" s="97"/>
      <c r="N43" s="110">
        <v>0</v>
      </c>
      <c r="O43" s="110">
        <v>0</v>
      </c>
      <c r="P43" s="110">
        <v>0</v>
      </c>
      <c r="Q43" s="97"/>
      <c r="R43" s="97"/>
      <c r="S43" s="97"/>
      <c r="T43" s="89"/>
      <c r="U43" s="89"/>
      <c r="V43" s="89"/>
      <c r="W43" s="89"/>
      <c r="X43" s="89" t="s">
        <v>336</v>
      </c>
      <c r="Y43" s="11"/>
      <c r="Z43" s="92"/>
      <c r="AA43" s="8">
        <f t="shared" si="2"/>
        <v>4</v>
      </c>
    </row>
    <row r="44" spans="1:27" ht="18" customHeight="1" x14ac:dyDescent="0.2">
      <c r="A44" s="1">
        <v>2001</v>
      </c>
      <c r="B44" s="97"/>
      <c r="C44" s="97"/>
      <c r="D44" s="97"/>
      <c r="E44" s="97"/>
      <c r="F44" s="97"/>
      <c r="G44" s="97"/>
      <c r="H44" s="97"/>
      <c r="I44" s="97"/>
      <c r="J44" s="97"/>
      <c r="K44" s="559">
        <v>0</v>
      </c>
      <c r="L44" s="559">
        <v>384</v>
      </c>
      <c r="M44" s="110">
        <v>378</v>
      </c>
      <c r="N44" s="97"/>
      <c r="O44" s="97"/>
      <c r="P44" s="97"/>
      <c r="Q44" s="97"/>
      <c r="R44" s="97"/>
      <c r="S44" s="97"/>
      <c r="T44" s="89"/>
      <c r="U44" s="89"/>
      <c r="V44" s="89"/>
      <c r="W44" s="89"/>
      <c r="X44" s="89">
        <v>650</v>
      </c>
      <c r="Y44" s="11"/>
      <c r="Z44" s="92"/>
      <c r="AA44" s="8">
        <f t="shared" si="2"/>
        <v>3</v>
      </c>
    </row>
    <row r="45" spans="1:27" ht="18" customHeight="1" x14ac:dyDescent="0.2">
      <c r="A45" s="1">
        <v>2002</v>
      </c>
      <c r="B45" s="97"/>
      <c r="C45" s="97"/>
      <c r="D45" s="97"/>
      <c r="E45" s="97"/>
      <c r="F45" s="97"/>
      <c r="G45" s="97"/>
      <c r="H45" s="97"/>
      <c r="I45" s="97"/>
      <c r="J45" s="97"/>
      <c r="K45" s="110">
        <v>0</v>
      </c>
      <c r="L45" s="110">
        <v>0</v>
      </c>
      <c r="M45" s="97"/>
      <c r="N45" s="110">
        <v>0</v>
      </c>
      <c r="O45" s="110">
        <v>0</v>
      </c>
      <c r="P45" s="97"/>
      <c r="Q45" s="97"/>
      <c r="R45" s="110">
        <v>0</v>
      </c>
      <c r="S45" s="97"/>
      <c r="T45" s="89"/>
      <c r="U45" s="89"/>
      <c r="V45" s="89"/>
      <c r="W45" s="89"/>
      <c r="X45" s="89" t="s">
        <v>16</v>
      </c>
      <c r="Y45" s="11"/>
      <c r="Z45" s="404"/>
      <c r="AA45" s="8">
        <f t="shared" si="2"/>
        <v>5</v>
      </c>
    </row>
    <row r="46" spans="1:27" ht="18" customHeight="1" x14ac:dyDescent="0.2">
      <c r="A46" s="1">
        <v>2003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89"/>
      <c r="U46" s="89"/>
      <c r="V46" s="89"/>
      <c r="W46" s="89"/>
      <c r="X46" s="89" t="s">
        <v>322</v>
      </c>
      <c r="Y46" s="11"/>
      <c r="Z46" s="92"/>
      <c r="AA46" s="8">
        <f t="shared" si="2"/>
        <v>0</v>
      </c>
    </row>
    <row r="47" spans="1:27" ht="18" customHeight="1" x14ac:dyDescent="0.2">
      <c r="A47" s="1">
        <v>2004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89"/>
      <c r="U47" s="89"/>
      <c r="V47" s="89"/>
      <c r="W47" s="89"/>
      <c r="X47" s="11" t="s">
        <v>322</v>
      </c>
      <c r="Y47" s="11"/>
      <c r="Z47" s="59"/>
      <c r="AA47" s="8">
        <f t="shared" si="2"/>
        <v>0</v>
      </c>
    </row>
    <row r="48" spans="1:27" ht="18" customHeight="1" x14ac:dyDescent="0.2">
      <c r="A48" s="1">
        <v>2005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89"/>
      <c r="U48" s="89"/>
      <c r="V48" s="89"/>
      <c r="W48" s="89"/>
      <c r="X48" s="89" t="s">
        <v>322</v>
      </c>
      <c r="Y48" s="11"/>
      <c r="Z48" s="404"/>
      <c r="AA48" s="8">
        <f t="shared" si="2"/>
        <v>0</v>
      </c>
    </row>
    <row r="49" spans="1:47" ht="18" customHeight="1" x14ac:dyDescent="0.2">
      <c r="A49" s="1">
        <v>2006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89"/>
      <c r="U49" s="89"/>
      <c r="V49" s="89"/>
      <c r="W49" s="89"/>
      <c r="X49" s="12" t="s">
        <v>322</v>
      </c>
      <c r="Y49" s="11"/>
      <c r="Z49" s="53"/>
      <c r="AA49" s="8">
        <f t="shared" si="2"/>
        <v>0</v>
      </c>
    </row>
    <row r="50" spans="1:47" ht="18" customHeight="1" x14ac:dyDescent="0.2">
      <c r="A50" s="1">
        <v>2007</v>
      </c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89"/>
      <c r="U50" s="89"/>
      <c r="V50" s="89"/>
      <c r="W50" s="89"/>
      <c r="X50" s="12" t="s">
        <v>322</v>
      </c>
      <c r="Y50" s="11"/>
      <c r="Z50" s="404"/>
      <c r="AA50" s="8">
        <f t="shared" si="2"/>
        <v>0</v>
      </c>
    </row>
    <row r="51" spans="1:47" s="55" customFormat="1" ht="18" customHeight="1" x14ac:dyDescent="0.2">
      <c r="A51" s="13">
        <v>2008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>
        <v>42</v>
      </c>
      <c r="Y51" s="11"/>
      <c r="Z51" s="92"/>
      <c r="AA51" s="8">
        <f t="shared" si="2"/>
        <v>0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8" customHeight="1" x14ac:dyDescent="0.2">
      <c r="A52" s="13">
        <v>2009</v>
      </c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 t="s">
        <v>322</v>
      </c>
      <c r="Y52" s="11"/>
      <c r="Z52" s="92"/>
      <c r="AA52" s="8">
        <f t="shared" si="2"/>
        <v>0</v>
      </c>
    </row>
    <row r="53" spans="1:47" ht="18" customHeight="1" x14ac:dyDescent="0.2">
      <c r="A53" s="13">
        <v>2010</v>
      </c>
      <c r="B53" s="89"/>
      <c r="C53" s="89"/>
      <c r="D53" s="89"/>
      <c r="E53" s="89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89"/>
      <c r="T53" s="89"/>
      <c r="U53" s="89"/>
      <c r="V53" s="89"/>
      <c r="W53" s="89"/>
      <c r="X53" s="89" t="s">
        <v>322</v>
      </c>
      <c r="Y53" s="11"/>
      <c r="Z53" s="92"/>
      <c r="AA53" s="8">
        <f t="shared" si="2"/>
        <v>0</v>
      </c>
    </row>
    <row r="54" spans="1:47" ht="18" customHeight="1" x14ac:dyDescent="0.2">
      <c r="A54" s="13">
        <v>2011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 t="s">
        <v>322</v>
      </c>
      <c r="Y54" s="11"/>
      <c r="Z54" s="92"/>
      <c r="AA54" s="8">
        <f t="shared" si="2"/>
        <v>0</v>
      </c>
    </row>
    <row r="55" spans="1:47" ht="18" customHeight="1" x14ac:dyDescent="0.2">
      <c r="A55" s="13">
        <v>2012</v>
      </c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 t="s">
        <v>322</v>
      </c>
      <c r="Y55" s="11"/>
      <c r="Z55" s="92"/>
      <c r="AA55" s="8"/>
    </row>
    <row r="56" spans="1:47" ht="18" customHeight="1" x14ac:dyDescent="0.2">
      <c r="A56" s="13">
        <v>2013</v>
      </c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563">
        <v>360</v>
      </c>
      <c r="N56" s="563">
        <v>18</v>
      </c>
      <c r="O56" s="89"/>
      <c r="P56" s="89"/>
      <c r="Q56" s="89"/>
      <c r="R56" s="89"/>
      <c r="S56" s="89"/>
      <c r="T56" s="89"/>
      <c r="U56" s="89"/>
      <c r="V56" s="89"/>
      <c r="W56" s="89"/>
      <c r="X56" s="89">
        <v>360</v>
      </c>
      <c r="Y56" s="11"/>
      <c r="Z56" s="92"/>
      <c r="AA56" s="8"/>
    </row>
    <row r="57" spans="1:47" ht="18" customHeight="1" x14ac:dyDescent="0.2">
      <c r="A57" s="13">
        <v>2014</v>
      </c>
      <c r="B57" s="89"/>
      <c r="C57" s="89"/>
      <c r="D57" s="89"/>
      <c r="E57" s="89"/>
      <c r="F57" s="89"/>
      <c r="G57" s="89"/>
      <c r="H57" s="89"/>
      <c r="I57" s="564">
        <v>392</v>
      </c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>
        <v>436</v>
      </c>
      <c r="Y57" s="11"/>
      <c r="Z57" s="92"/>
      <c r="AA57" s="8"/>
    </row>
    <row r="58" spans="1:47" ht="18" customHeight="1" x14ac:dyDescent="0.2">
      <c r="A58" s="13">
        <v>2015</v>
      </c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 t="s">
        <v>322</v>
      </c>
      <c r="Y58" s="11"/>
      <c r="Z58" s="92"/>
      <c r="AA58" s="8"/>
    </row>
    <row r="59" spans="1:47" ht="18" customHeight="1" x14ac:dyDescent="0.2">
      <c r="A59" s="13">
        <v>2016</v>
      </c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 t="s">
        <v>322</v>
      </c>
      <c r="Y59" s="11"/>
      <c r="Z59" s="92"/>
      <c r="AA59" s="8"/>
    </row>
    <row r="60" spans="1:47" ht="18" customHeight="1" x14ac:dyDescent="0.2">
      <c r="A60" s="13">
        <v>2017</v>
      </c>
      <c r="B60" s="89"/>
      <c r="C60" s="89"/>
      <c r="D60" s="89"/>
      <c r="E60" s="89"/>
      <c r="F60" s="89"/>
      <c r="G60" s="227"/>
      <c r="H60" s="89"/>
      <c r="I60" s="89"/>
      <c r="J60" s="227"/>
      <c r="K60" s="89"/>
      <c r="L60" s="89"/>
      <c r="M60" s="89"/>
      <c r="N60" s="227"/>
      <c r="O60" s="89"/>
      <c r="P60" s="89"/>
      <c r="Q60" s="89"/>
      <c r="R60" s="89"/>
      <c r="S60" s="89"/>
      <c r="T60" s="89"/>
      <c r="U60" s="89"/>
      <c r="V60" s="89"/>
      <c r="W60" s="89"/>
      <c r="X60" s="89" t="s">
        <v>322</v>
      </c>
      <c r="Y60" s="11"/>
      <c r="Z60" s="92"/>
      <c r="AA60" s="8"/>
    </row>
    <row r="61" spans="1:47" ht="18" customHeight="1" x14ac:dyDescent="0.2">
      <c r="A61" s="13">
        <v>2018</v>
      </c>
      <c r="B61" s="89"/>
      <c r="C61" s="89"/>
      <c r="D61" s="89"/>
      <c r="E61" s="89"/>
      <c r="F61" s="89"/>
      <c r="G61" s="89"/>
      <c r="H61" s="89"/>
      <c r="I61" s="564">
        <v>79</v>
      </c>
      <c r="J61" s="89"/>
      <c r="K61" s="227"/>
      <c r="L61" s="564">
        <v>126</v>
      </c>
      <c r="M61" s="227"/>
      <c r="N61" s="89"/>
      <c r="O61" s="564">
        <v>41</v>
      </c>
      <c r="P61" s="89"/>
      <c r="Q61" s="89"/>
      <c r="R61" s="89"/>
      <c r="S61" s="89"/>
      <c r="T61" s="89"/>
      <c r="U61" s="89"/>
      <c r="V61" s="89"/>
      <c r="W61" s="89"/>
      <c r="X61" s="89">
        <v>157</v>
      </c>
      <c r="Y61" s="11"/>
      <c r="Z61" s="92"/>
      <c r="AA61" s="8"/>
    </row>
    <row r="62" spans="1:47" ht="18" customHeight="1" x14ac:dyDescent="0.2">
      <c r="A62" s="13">
        <v>2019</v>
      </c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11"/>
      <c r="Z62" s="92"/>
      <c r="AA62" s="8"/>
    </row>
    <row r="63" spans="1:47" ht="18" customHeight="1" x14ac:dyDescent="0.2">
      <c r="A63" s="13">
        <v>2020</v>
      </c>
      <c r="B63" s="89"/>
      <c r="C63" s="89"/>
      <c r="D63" s="89"/>
      <c r="E63" s="89"/>
      <c r="F63" s="89"/>
      <c r="G63" s="89"/>
      <c r="H63" s="89"/>
      <c r="I63" s="89"/>
      <c r="J63" s="89"/>
      <c r="K63" s="108">
        <v>131</v>
      </c>
      <c r="L63" s="89"/>
      <c r="M63" s="108">
        <v>147</v>
      </c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>
        <v>226</v>
      </c>
      <c r="Y63" s="11" t="s">
        <v>9</v>
      </c>
      <c r="Z63" s="92"/>
      <c r="AA63" s="8"/>
    </row>
    <row r="64" spans="1:47" s="150" customFormat="1" ht="18" customHeight="1" x14ac:dyDescent="0.2">
      <c r="A64" s="89">
        <v>2021</v>
      </c>
      <c r="B64" s="89"/>
      <c r="C64" s="89"/>
      <c r="D64" s="89"/>
      <c r="E64" s="89"/>
      <c r="F64" s="89"/>
      <c r="G64" s="89"/>
      <c r="H64" s="89"/>
      <c r="I64" s="89"/>
      <c r="J64" s="89"/>
      <c r="K64" s="774">
        <v>82</v>
      </c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11"/>
      <c r="Z64" s="92"/>
      <c r="AA64" s="94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</row>
    <row r="65" spans="1:29" ht="18" customHeight="1" x14ac:dyDescent="0.2">
      <c r="A65" s="64" t="s">
        <v>17</v>
      </c>
      <c r="B65" s="16"/>
      <c r="C65" s="16"/>
      <c r="D65" s="16"/>
      <c r="E65" s="16"/>
      <c r="F65" s="16" t="e">
        <f t="shared" ref="F65:V65" si="3">AVERAGE(F38:F52)</f>
        <v>#DIV/0!</v>
      </c>
      <c r="G65" s="16" t="e">
        <f t="shared" si="3"/>
        <v>#DIV/0!</v>
      </c>
      <c r="H65" s="16">
        <f t="shared" si="3"/>
        <v>38</v>
      </c>
      <c r="I65" s="16" t="e">
        <f t="shared" si="3"/>
        <v>#DIV/0!</v>
      </c>
      <c r="J65" s="16">
        <f t="shared" si="3"/>
        <v>21</v>
      </c>
      <c r="K65" s="16">
        <f t="shared" si="3"/>
        <v>0</v>
      </c>
      <c r="L65" s="16">
        <f t="shared" si="3"/>
        <v>131</v>
      </c>
      <c r="M65" s="16">
        <f t="shared" si="3"/>
        <v>378</v>
      </c>
      <c r="N65" s="16">
        <f t="shared" si="3"/>
        <v>0</v>
      </c>
      <c r="O65" s="16">
        <f t="shared" si="3"/>
        <v>0</v>
      </c>
      <c r="P65" s="16">
        <f t="shared" si="3"/>
        <v>0</v>
      </c>
      <c r="Q65" s="16" t="e">
        <f t="shared" si="3"/>
        <v>#DIV/0!</v>
      </c>
      <c r="R65" s="16">
        <f t="shared" si="3"/>
        <v>0</v>
      </c>
      <c r="S65" s="16" t="e">
        <f t="shared" si="3"/>
        <v>#DIV/0!</v>
      </c>
      <c r="T65" s="16" t="e">
        <f t="shared" si="3"/>
        <v>#DIV/0!</v>
      </c>
      <c r="U65" s="16" t="e">
        <f t="shared" si="3"/>
        <v>#DIV/0!</v>
      </c>
      <c r="V65" s="16" t="e">
        <f t="shared" si="3"/>
        <v>#DIV/0!</v>
      </c>
      <c r="W65" s="16"/>
      <c r="X65" s="16">
        <f>AVERAGE(X38:X52)</f>
        <v>346</v>
      </c>
      <c r="Y65" s="17"/>
      <c r="Z65" s="16" t="e">
        <f>AVERAGE(Z38:Z52)</f>
        <v>#DIV/0!</v>
      </c>
      <c r="AA65" s="8"/>
    </row>
    <row r="66" spans="1:29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3"/>
      <c r="AA66" s="8"/>
    </row>
    <row r="67" spans="1:29" ht="18" customHeight="1" x14ac:dyDescent="0.2">
      <c r="A67" s="1002" t="s">
        <v>525</v>
      </c>
      <c r="B67" s="1003"/>
      <c r="C67" s="1003"/>
      <c r="D67" s="1003"/>
      <c r="E67" s="1003"/>
      <c r="F67" s="1003"/>
      <c r="G67" s="1003"/>
      <c r="H67" s="1003"/>
      <c r="I67" s="100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9" ht="18" customHeight="1" thickBo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1"/>
    </row>
    <row r="69" spans="1:29" ht="18" customHeight="1" thickTop="1" x14ac:dyDescent="0.2">
      <c r="A69" s="1004" t="s">
        <v>0</v>
      </c>
      <c r="B69" s="1006" t="s">
        <v>1</v>
      </c>
      <c r="C69" s="1006"/>
      <c r="D69" s="1006"/>
      <c r="E69" s="1006"/>
      <c r="F69" s="1006"/>
      <c r="G69" s="1006"/>
      <c r="H69" s="1006"/>
      <c r="I69" s="1006"/>
      <c r="J69" s="1006"/>
      <c r="K69" s="1006"/>
      <c r="L69" s="1006"/>
      <c r="M69" s="1006"/>
      <c r="N69" s="1006"/>
      <c r="O69" s="1006"/>
      <c r="P69" s="1006"/>
      <c r="Q69" s="1006"/>
      <c r="R69" s="1006"/>
      <c r="S69" s="1006"/>
      <c r="T69" s="1006"/>
      <c r="U69" s="1006"/>
      <c r="V69" s="1006"/>
      <c r="W69" s="1006"/>
      <c r="X69" s="1004" t="s">
        <v>2</v>
      </c>
      <c r="Y69" s="1010" t="s">
        <v>3</v>
      </c>
      <c r="Z69" s="1008" t="s">
        <v>4</v>
      </c>
    </row>
    <row r="70" spans="1:29" ht="18" customHeight="1" x14ac:dyDescent="0.2">
      <c r="A70" s="1005"/>
      <c r="B70" s="18">
        <v>81</v>
      </c>
      <c r="C70" s="18">
        <v>82</v>
      </c>
      <c r="D70" s="18">
        <v>83</v>
      </c>
      <c r="E70" s="18">
        <v>84</v>
      </c>
      <c r="F70" s="18">
        <v>91</v>
      </c>
      <c r="G70" s="18">
        <v>92</v>
      </c>
      <c r="H70" s="18">
        <v>93</v>
      </c>
      <c r="I70" s="18">
        <v>94</v>
      </c>
      <c r="J70" s="18">
        <v>101</v>
      </c>
      <c r="K70" s="18">
        <v>102</v>
      </c>
      <c r="L70" s="18">
        <v>103</v>
      </c>
      <c r="M70" s="18">
        <v>104</v>
      </c>
      <c r="N70" s="18">
        <v>105</v>
      </c>
      <c r="O70" s="18">
        <v>111</v>
      </c>
      <c r="P70" s="18">
        <v>112</v>
      </c>
      <c r="Q70" s="18">
        <v>113</v>
      </c>
      <c r="R70" s="18">
        <v>114</v>
      </c>
      <c r="S70" s="18">
        <v>115</v>
      </c>
      <c r="T70" s="18">
        <v>121</v>
      </c>
      <c r="U70" s="18">
        <v>122</v>
      </c>
      <c r="V70" s="18">
        <v>123</v>
      </c>
      <c r="W70" s="18">
        <v>124</v>
      </c>
      <c r="X70" s="1005"/>
      <c r="Y70" s="1011"/>
      <c r="Z70" s="1009"/>
      <c r="AB70" s="68" t="s">
        <v>50</v>
      </c>
      <c r="AC70" t="s">
        <v>51</v>
      </c>
    </row>
    <row r="71" spans="1:29" ht="18" customHeight="1" x14ac:dyDescent="0.2">
      <c r="A71" s="1">
        <v>1995</v>
      </c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89"/>
      <c r="U71" s="89"/>
      <c r="V71" s="89"/>
      <c r="W71" s="89"/>
      <c r="X71" s="11"/>
      <c r="Y71" s="11"/>
      <c r="Z71" s="57"/>
      <c r="AA71" s="8">
        <f>COUNT(B71:W71)</f>
        <v>0</v>
      </c>
      <c r="AB71" s="2">
        <f t="shared" ref="AB71:AB85" si="4">MAX(B71:W71)</f>
        <v>0</v>
      </c>
    </row>
    <row r="72" spans="1:29" ht="18" customHeight="1" x14ac:dyDescent="0.2">
      <c r="A72" s="1">
        <v>1996</v>
      </c>
      <c r="B72" s="97"/>
      <c r="C72" s="97"/>
      <c r="D72" s="97"/>
      <c r="E72" s="97"/>
      <c r="F72" s="97"/>
      <c r="G72" s="97"/>
      <c r="H72" s="559">
        <v>0</v>
      </c>
      <c r="I72" s="97"/>
      <c r="J72" s="154">
        <v>0</v>
      </c>
      <c r="K72" s="97"/>
      <c r="L72" s="97"/>
      <c r="M72" s="97"/>
      <c r="N72" s="97"/>
      <c r="O72" s="97"/>
      <c r="P72" s="97"/>
      <c r="Q72" s="97"/>
      <c r="R72" s="97"/>
      <c r="S72" s="97"/>
      <c r="T72" s="89"/>
      <c r="U72" s="89"/>
      <c r="V72" s="89"/>
      <c r="W72" s="89"/>
      <c r="X72" s="11" t="s">
        <v>322</v>
      </c>
      <c r="Y72" s="11"/>
      <c r="Z72" s="57"/>
      <c r="AA72" s="8">
        <f t="shared" ref="AA72:AA87" si="5">COUNT(B72:W72)</f>
        <v>2</v>
      </c>
      <c r="AB72" s="2">
        <f t="shared" si="4"/>
        <v>0</v>
      </c>
    </row>
    <row r="73" spans="1:29" ht="18" customHeight="1" x14ac:dyDescent="0.2">
      <c r="A73" s="1">
        <v>1997</v>
      </c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89"/>
      <c r="U73" s="89"/>
      <c r="V73" s="89"/>
      <c r="W73" s="89"/>
      <c r="X73" s="11" t="s">
        <v>322</v>
      </c>
      <c r="Y73" s="11"/>
      <c r="Z73" s="57"/>
      <c r="AA73" s="8">
        <f t="shared" si="5"/>
        <v>0</v>
      </c>
      <c r="AB73" s="2">
        <f t="shared" si="4"/>
        <v>0</v>
      </c>
      <c r="AC73" t="e">
        <f t="shared" ref="AC73:AC85" si="6">X73/AB73</f>
        <v>#VALUE!</v>
      </c>
    </row>
    <row r="74" spans="1:29" ht="18" customHeight="1" x14ac:dyDescent="0.2">
      <c r="A74" s="1">
        <v>1998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560">
        <v>8000</v>
      </c>
      <c r="M74" s="560">
        <v>10500</v>
      </c>
      <c r="N74" s="97"/>
      <c r="O74" s="97"/>
      <c r="P74" s="97"/>
      <c r="Q74" s="97"/>
      <c r="R74" s="97"/>
      <c r="S74" s="97"/>
      <c r="T74" s="89"/>
      <c r="U74" s="89"/>
      <c r="V74" s="89"/>
      <c r="W74" s="89"/>
      <c r="X74" s="11">
        <v>8000</v>
      </c>
      <c r="Y74" s="11"/>
      <c r="Z74" s="57"/>
      <c r="AA74" s="8">
        <f t="shared" si="5"/>
        <v>2</v>
      </c>
      <c r="AB74" s="2">
        <f t="shared" si="4"/>
        <v>10500</v>
      </c>
      <c r="AC74">
        <f t="shared" si="6"/>
        <v>0.76190476190476186</v>
      </c>
    </row>
    <row r="75" spans="1:29" ht="18" customHeight="1" x14ac:dyDescent="0.2">
      <c r="A75" s="1">
        <v>1999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89"/>
      <c r="U75" s="89"/>
      <c r="V75" s="89"/>
      <c r="W75" s="89"/>
      <c r="X75" s="557" t="s">
        <v>322</v>
      </c>
      <c r="Y75" s="11"/>
      <c r="Z75" s="404"/>
      <c r="AA75" s="8">
        <f t="shared" si="5"/>
        <v>0</v>
      </c>
      <c r="AB75" s="2">
        <f t="shared" si="4"/>
        <v>0</v>
      </c>
      <c r="AC75" t="e">
        <f t="shared" si="6"/>
        <v>#VALUE!</v>
      </c>
    </row>
    <row r="76" spans="1:29" ht="18" customHeight="1" x14ac:dyDescent="0.2">
      <c r="A76" s="1">
        <v>2000</v>
      </c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110">
        <v>0</v>
      </c>
      <c r="M76" s="97"/>
      <c r="N76" s="110">
        <v>1100</v>
      </c>
      <c r="O76" s="110">
        <v>220</v>
      </c>
      <c r="P76" s="110">
        <v>60</v>
      </c>
      <c r="Q76" s="97"/>
      <c r="R76" s="97"/>
      <c r="S76" s="97"/>
      <c r="T76" s="89"/>
      <c r="U76" s="89"/>
      <c r="V76" s="89"/>
      <c r="W76" s="89"/>
      <c r="X76" s="57">
        <v>1000</v>
      </c>
      <c r="Y76" s="11" t="s">
        <v>415</v>
      </c>
      <c r="Z76" s="404"/>
      <c r="AA76" s="8">
        <f t="shared" si="5"/>
        <v>4</v>
      </c>
      <c r="AB76" s="2">
        <f t="shared" si="4"/>
        <v>1100</v>
      </c>
      <c r="AC76">
        <f t="shared" si="6"/>
        <v>0.90909090909090906</v>
      </c>
    </row>
    <row r="77" spans="1:29" ht="18" customHeight="1" x14ac:dyDescent="0.2">
      <c r="A77" s="1">
        <v>2001</v>
      </c>
      <c r="B77" s="97"/>
      <c r="C77" s="97"/>
      <c r="D77" s="97"/>
      <c r="E77" s="97"/>
      <c r="F77" s="97"/>
      <c r="G77" s="97"/>
      <c r="H77" s="97"/>
      <c r="I77" s="97"/>
      <c r="J77" s="97"/>
      <c r="K77" s="559">
        <v>2</v>
      </c>
      <c r="L77" s="559">
        <v>390</v>
      </c>
      <c r="M77" s="110">
        <v>241</v>
      </c>
      <c r="N77" s="97"/>
      <c r="O77" s="97"/>
      <c r="P77" s="97"/>
      <c r="Q77" s="97"/>
      <c r="R77" s="97"/>
      <c r="S77" s="97"/>
      <c r="T77" s="89"/>
      <c r="U77" s="89"/>
      <c r="V77" s="89"/>
      <c r="W77" s="89"/>
      <c r="X77" s="11">
        <v>440</v>
      </c>
      <c r="Y77" s="11" t="s">
        <v>415</v>
      </c>
      <c r="Z77" s="404"/>
      <c r="AA77" s="8">
        <f t="shared" si="5"/>
        <v>3</v>
      </c>
      <c r="AB77" s="2">
        <f t="shared" si="4"/>
        <v>390</v>
      </c>
      <c r="AC77">
        <f t="shared" si="6"/>
        <v>1.1282051282051282</v>
      </c>
    </row>
    <row r="78" spans="1:29" ht="18" customHeight="1" x14ac:dyDescent="0.2">
      <c r="A78" s="1">
        <v>2002</v>
      </c>
      <c r="B78" s="97"/>
      <c r="C78" s="97"/>
      <c r="D78" s="97"/>
      <c r="E78" s="97"/>
      <c r="F78" s="97"/>
      <c r="G78" s="97"/>
      <c r="H78" s="97"/>
      <c r="I78" s="97"/>
      <c r="J78" s="97"/>
      <c r="K78" s="110">
        <v>80</v>
      </c>
      <c r="L78" s="110">
        <v>100</v>
      </c>
      <c r="M78" s="97"/>
      <c r="N78" s="110">
        <v>1800</v>
      </c>
      <c r="O78" s="110">
        <v>25000</v>
      </c>
      <c r="P78" s="97"/>
      <c r="Q78" s="97"/>
      <c r="R78" s="110">
        <v>1700</v>
      </c>
      <c r="S78" s="97"/>
      <c r="T78" s="89"/>
      <c r="U78" s="89"/>
      <c r="V78" s="89"/>
      <c r="W78" s="89"/>
      <c r="X78" s="11">
        <v>35714</v>
      </c>
      <c r="Y78" s="11" t="s">
        <v>429</v>
      </c>
      <c r="Z78" s="404"/>
      <c r="AA78" s="8">
        <f t="shared" si="5"/>
        <v>5</v>
      </c>
      <c r="AB78" s="2">
        <f t="shared" si="4"/>
        <v>25000</v>
      </c>
      <c r="AC78">
        <f t="shared" si="6"/>
        <v>1.4285600000000001</v>
      </c>
    </row>
    <row r="79" spans="1:29" ht="18" customHeight="1" x14ac:dyDescent="0.2">
      <c r="A79" s="1">
        <v>2003</v>
      </c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89"/>
      <c r="U79" s="89"/>
      <c r="V79" s="89"/>
      <c r="W79" s="89"/>
      <c r="X79" s="11" t="s">
        <v>322</v>
      </c>
      <c r="Y79" s="11"/>
      <c r="Z79" s="404"/>
      <c r="AA79" s="8">
        <f t="shared" si="5"/>
        <v>0</v>
      </c>
      <c r="AB79" s="2">
        <f t="shared" si="4"/>
        <v>0</v>
      </c>
      <c r="AC79" t="e">
        <f t="shared" si="6"/>
        <v>#VALUE!</v>
      </c>
    </row>
    <row r="80" spans="1:29" ht="18" customHeight="1" x14ac:dyDescent="0.2">
      <c r="A80" s="1">
        <v>2004</v>
      </c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89"/>
      <c r="U80" s="89"/>
      <c r="V80" s="89"/>
      <c r="W80" s="89"/>
      <c r="X80" s="11" t="s">
        <v>322</v>
      </c>
      <c r="Y80" s="11"/>
      <c r="Z80" s="404"/>
      <c r="AA80" s="8">
        <f t="shared" si="5"/>
        <v>0</v>
      </c>
      <c r="AB80" s="2">
        <f t="shared" si="4"/>
        <v>0</v>
      </c>
      <c r="AC80" t="e">
        <f t="shared" si="6"/>
        <v>#VALUE!</v>
      </c>
    </row>
    <row r="81" spans="1:47" ht="18" customHeight="1" x14ac:dyDescent="0.2">
      <c r="A81" s="1">
        <v>2005</v>
      </c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89"/>
      <c r="U81" s="89"/>
      <c r="V81" s="89"/>
      <c r="W81" s="89"/>
      <c r="X81" s="11" t="s">
        <v>322</v>
      </c>
      <c r="Y81" s="11"/>
      <c r="Z81" s="404"/>
      <c r="AA81" s="8">
        <f t="shared" si="5"/>
        <v>0</v>
      </c>
      <c r="AB81" s="2">
        <f t="shared" si="4"/>
        <v>0</v>
      </c>
      <c r="AC81" t="e">
        <f t="shared" si="6"/>
        <v>#VALUE!</v>
      </c>
    </row>
    <row r="82" spans="1:47" ht="18" customHeight="1" x14ac:dyDescent="0.2">
      <c r="A82" s="1">
        <v>2006</v>
      </c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89"/>
      <c r="U82" s="89"/>
      <c r="V82" s="89"/>
      <c r="W82" s="89"/>
      <c r="X82" s="12" t="s">
        <v>322</v>
      </c>
      <c r="Y82" s="11"/>
      <c r="Z82" s="53"/>
      <c r="AA82" s="8">
        <f t="shared" si="5"/>
        <v>0</v>
      </c>
      <c r="AB82" s="2">
        <f t="shared" si="4"/>
        <v>0</v>
      </c>
      <c r="AC82" t="e">
        <f t="shared" si="6"/>
        <v>#VALUE!</v>
      </c>
    </row>
    <row r="83" spans="1:47" ht="18" customHeight="1" x14ac:dyDescent="0.2">
      <c r="A83" s="1">
        <v>2007</v>
      </c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89"/>
      <c r="U83" s="89"/>
      <c r="V83" s="89"/>
      <c r="W83" s="89"/>
      <c r="X83" s="12" t="s">
        <v>322</v>
      </c>
      <c r="Y83" s="11"/>
      <c r="Z83" s="404"/>
      <c r="AA83" s="8">
        <f t="shared" si="5"/>
        <v>0</v>
      </c>
      <c r="AB83" s="2">
        <f t="shared" si="4"/>
        <v>0</v>
      </c>
      <c r="AC83" t="e">
        <f t="shared" si="6"/>
        <v>#VALUE!</v>
      </c>
    </row>
    <row r="84" spans="1:47" s="55" customFormat="1" ht="18" customHeight="1" x14ac:dyDescent="0.2">
      <c r="A84" s="13">
        <v>2008</v>
      </c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>
        <v>17</v>
      </c>
      <c r="Y84" s="11" t="s">
        <v>430</v>
      </c>
      <c r="Z84" s="92"/>
      <c r="AA84" s="8">
        <f t="shared" si="5"/>
        <v>0</v>
      </c>
      <c r="AB84" s="2">
        <f t="shared" si="4"/>
        <v>0</v>
      </c>
      <c r="AC84" t="e">
        <f t="shared" si="6"/>
        <v>#DIV/0!</v>
      </c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 ht="18" customHeight="1" x14ac:dyDescent="0.2">
      <c r="A85" s="1">
        <v>2009</v>
      </c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 t="s">
        <v>322</v>
      </c>
      <c r="Y85" s="11"/>
      <c r="Z85" s="92"/>
      <c r="AA85" s="8">
        <f t="shared" si="5"/>
        <v>0</v>
      </c>
      <c r="AB85" s="2">
        <f t="shared" si="4"/>
        <v>0</v>
      </c>
      <c r="AC85" t="e">
        <f t="shared" si="6"/>
        <v>#VALUE!</v>
      </c>
    </row>
    <row r="86" spans="1:47" ht="18" customHeight="1" x14ac:dyDescent="0.2">
      <c r="A86" s="13">
        <v>2010</v>
      </c>
      <c r="B86" s="89"/>
      <c r="C86" s="89"/>
      <c r="D86" s="89"/>
      <c r="E86" s="89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89"/>
      <c r="T86" s="89"/>
      <c r="U86" s="89"/>
      <c r="V86" s="89"/>
      <c r="W86" s="89"/>
      <c r="X86" s="89" t="s">
        <v>322</v>
      </c>
      <c r="Y86" s="11"/>
      <c r="Z86" s="92"/>
      <c r="AA86" s="8">
        <f t="shared" si="5"/>
        <v>0</v>
      </c>
      <c r="AB86" s="2"/>
    </row>
    <row r="87" spans="1:47" ht="18" customHeight="1" x14ac:dyDescent="0.2">
      <c r="A87" s="13">
        <v>2011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 t="s">
        <v>322</v>
      </c>
      <c r="Y87" s="11"/>
      <c r="Z87" s="92"/>
      <c r="AA87" s="8">
        <f t="shared" si="5"/>
        <v>0</v>
      </c>
      <c r="AB87" s="2">
        <f>MAX(B87:W87)</f>
        <v>0</v>
      </c>
      <c r="AC87" t="e">
        <f>MIN(AC71:AC85)</f>
        <v>#VALUE!</v>
      </c>
      <c r="AD87" t="e">
        <f>AC87*AB87</f>
        <v>#VALUE!</v>
      </c>
      <c r="AE87" t="s">
        <v>52</v>
      </c>
    </row>
    <row r="88" spans="1:47" ht="18" customHeight="1" x14ac:dyDescent="0.2">
      <c r="A88" s="13">
        <v>2012</v>
      </c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 t="s">
        <v>322</v>
      </c>
      <c r="Y88" s="11"/>
      <c r="Z88" s="92"/>
      <c r="AA88" s="8"/>
      <c r="AB88" s="2"/>
    </row>
    <row r="89" spans="1:47" ht="18" customHeight="1" x14ac:dyDescent="0.2">
      <c r="A89" s="13">
        <v>2013</v>
      </c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563">
        <v>180</v>
      </c>
      <c r="N89" s="563">
        <v>238</v>
      </c>
      <c r="O89" s="89"/>
      <c r="P89" s="89"/>
      <c r="Q89" s="89"/>
      <c r="R89" s="89"/>
      <c r="S89" s="89"/>
      <c r="T89" s="89"/>
      <c r="U89" s="89"/>
      <c r="V89" s="89"/>
      <c r="W89" s="89"/>
      <c r="X89" s="89">
        <v>238</v>
      </c>
      <c r="Y89" s="11"/>
      <c r="Z89" s="92"/>
      <c r="AA89" s="8"/>
      <c r="AB89" s="2"/>
    </row>
    <row r="90" spans="1:47" ht="18" customHeight="1" x14ac:dyDescent="0.2">
      <c r="A90" s="13">
        <v>2014</v>
      </c>
      <c r="B90" s="89"/>
      <c r="C90" s="89"/>
      <c r="D90" s="89"/>
      <c r="E90" s="89"/>
      <c r="F90" s="89"/>
      <c r="G90" s="89"/>
      <c r="H90" s="89"/>
      <c r="I90" s="564">
        <v>80</v>
      </c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>
        <v>89</v>
      </c>
      <c r="Y90" s="11"/>
      <c r="Z90" s="92"/>
      <c r="AA90" s="8"/>
      <c r="AB90" s="2"/>
    </row>
    <row r="91" spans="1:47" ht="18" customHeight="1" x14ac:dyDescent="0.2">
      <c r="A91" s="13">
        <v>2015</v>
      </c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 t="s">
        <v>322</v>
      </c>
      <c r="Y91" s="11"/>
      <c r="Z91" s="92"/>
      <c r="AA91" s="8"/>
      <c r="AB91" s="2"/>
    </row>
    <row r="92" spans="1:47" ht="18" customHeight="1" x14ac:dyDescent="0.2">
      <c r="A92" s="13">
        <v>2016</v>
      </c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 t="s">
        <v>322</v>
      </c>
      <c r="Y92" s="11"/>
      <c r="Z92" s="92"/>
      <c r="AA92" s="8"/>
      <c r="AB92" s="2"/>
    </row>
    <row r="93" spans="1:47" ht="18" customHeight="1" x14ac:dyDescent="0.2">
      <c r="A93" s="13">
        <v>2017</v>
      </c>
      <c r="B93" s="89"/>
      <c r="C93" s="89"/>
      <c r="D93" s="89"/>
      <c r="E93" s="89"/>
      <c r="F93" s="89"/>
      <c r="G93" s="227"/>
      <c r="H93" s="89"/>
      <c r="I93" s="89"/>
      <c r="J93" s="227"/>
      <c r="K93" s="89"/>
      <c r="L93" s="89"/>
      <c r="M93" s="89"/>
      <c r="N93" s="558"/>
      <c r="O93" s="89"/>
      <c r="P93" s="89"/>
      <c r="Q93" s="89"/>
      <c r="R93" s="89"/>
      <c r="S93" s="89"/>
      <c r="T93" s="89"/>
      <c r="U93" s="89"/>
      <c r="V93" s="89"/>
      <c r="W93" s="89"/>
      <c r="X93" s="89" t="s">
        <v>322</v>
      </c>
      <c r="Y93" s="11"/>
      <c r="Z93" s="92"/>
      <c r="AA93" s="8"/>
      <c r="AB93" s="2"/>
    </row>
    <row r="94" spans="1:47" ht="18" customHeight="1" x14ac:dyDescent="0.2">
      <c r="A94" s="13">
        <v>2018</v>
      </c>
      <c r="B94" s="89"/>
      <c r="C94" s="89"/>
      <c r="D94" s="89"/>
      <c r="E94" s="89"/>
      <c r="F94" s="89"/>
      <c r="G94" s="89"/>
      <c r="H94" s="89"/>
      <c r="I94" s="570">
        <v>2</v>
      </c>
      <c r="J94" s="89"/>
      <c r="K94" s="227"/>
      <c r="L94" s="564">
        <v>40</v>
      </c>
      <c r="M94" s="227"/>
      <c r="N94" s="89"/>
      <c r="O94" s="564">
        <v>20</v>
      </c>
      <c r="P94" s="89"/>
      <c r="Q94" s="89"/>
      <c r="R94" s="89"/>
      <c r="S94" s="89"/>
      <c r="T94" s="89"/>
      <c r="U94" s="89"/>
      <c r="V94" s="89"/>
      <c r="W94" s="89"/>
      <c r="X94" s="89">
        <v>46</v>
      </c>
      <c r="Y94" s="11"/>
      <c r="Z94" s="92"/>
      <c r="AA94" s="8"/>
      <c r="AB94" s="2"/>
    </row>
    <row r="95" spans="1:47" ht="18" customHeight="1" x14ac:dyDescent="0.2">
      <c r="A95" s="13">
        <v>2019</v>
      </c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11"/>
      <c r="Z95" s="92"/>
      <c r="AA95" s="8"/>
      <c r="AB95" s="2"/>
    </row>
    <row r="96" spans="1:47" ht="18" customHeight="1" x14ac:dyDescent="0.2">
      <c r="A96" s="13">
        <v>2020</v>
      </c>
      <c r="B96" s="89"/>
      <c r="C96" s="89"/>
      <c r="D96" s="89"/>
      <c r="E96" s="89"/>
      <c r="F96" s="89"/>
      <c r="G96" s="89"/>
      <c r="H96" s="89"/>
      <c r="I96" s="89"/>
      <c r="J96" s="89"/>
      <c r="K96" s="108">
        <v>6</v>
      </c>
      <c r="L96" s="89"/>
      <c r="M96" s="108">
        <v>160</v>
      </c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>
        <v>202</v>
      </c>
      <c r="Y96" s="11" t="s">
        <v>9</v>
      </c>
      <c r="Z96" s="92"/>
      <c r="AA96" s="8"/>
      <c r="AB96" s="2"/>
    </row>
    <row r="97" spans="1:47" s="150" customFormat="1" ht="18" customHeight="1" x14ac:dyDescent="0.2">
      <c r="A97" s="89">
        <v>2021</v>
      </c>
      <c r="B97" s="89"/>
      <c r="C97" s="89"/>
      <c r="D97" s="89"/>
      <c r="E97" s="89"/>
      <c r="F97" s="89"/>
      <c r="G97" s="89"/>
      <c r="H97" s="89"/>
      <c r="I97" s="89"/>
      <c r="J97" s="89"/>
      <c r="K97" s="108">
        <v>17</v>
      </c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11"/>
      <c r="Z97" s="92"/>
      <c r="AA97" s="94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</row>
    <row r="98" spans="1:47" s="150" customFormat="1" ht="18" customHeight="1" x14ac:dyDescent="0.2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11"/>
      <c r="Z98" s="92"/>
      <c r="AA98" s="94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</row>
    <row r="99" spans="1:47" ht="18" customHeight="1" x14ac:dyDescent="0.2">
      <c r="A99" s="64" t="s">
        <v>17</v>
      </c>
      <c r="B99" s="16"/>
      <c r="C99" s="16"/>
      <c r="D99" s="16"/>
      <c r="E99" s="16"/>
      <c r="F99" s="16" t="e">
        <f t="shared" ref="F99:V99" si="7">AVERAGE(F71:F85)</f>
        <v>#DIV/0!</v>
      </c>
      <c r="G99" s="16" t="e">
        <f t="shared" si="7"/>
        <v>#DIV/0!</v>
      </c>
      <c r="H99" s="16">
        <f t="shared" si="7"/>
        <v>0</v>
      </c>
      <c r="I99" s="16" t="e">
        <f t="shared" si="7"/>
        <v>#DIV/0!</v>
      </c>
      <c r="J99" s="16">
        <f t="shared" si="7"/>
        <v>0</v>
      </c>
      <c r="K99" s="16">
        <f t="shared" si="7"/>
        <v>41</v>
      </c>
      <c r="L99" s="16">
        <f t="shared" si="7"/>
        <v>2122.5</v>
      </c>
      <c r="M99" s="16">
        <f t="shared" si="7"/>
        <v>5370.5</v>
      </c>
      <c r="N99" s="16">
        <f t="shared" si="7"/>
        <v>1450</v>
      </c>
      <c r="O99" s="16">
        <f t="shared" si="7"/>
        <v>12610</v>
      </c>
      <c r="P99" s="16">
        <f t="shared" si="7"/>
        <v>60</v>
      </c>
      <c r="Q99" s="16" t="e">
        <f t="shared" si="7"/>
        <v>#DIV/0!</v>
      </c>
      <c r="R99" s="16">
        <f t="shared" si="7"/>
        <v>1700</v>
      </c>
      <c r="S99" s="16" t="e">
        <f t="shared" si="7"/>
        <v>#DIV/0!</v>
      </c>
      <c r="T99" s="16" t="e">
        <f t="shared" si="7"/>
        <v>#DIV/0!</v>
      </c>
      <c r="U99" s="16" t="e">
        <f t="shared" si="7"/>
        <v>#DIV/0!</v>
      </c>
      <c r="V99" s="16" t="e">
        <f t="shared" si="7"/>
        <v>#DIV/0!</v>
      </c>
      <c r="W99" s="16"/>
      <c r="X99" s="16">
        <f>AVERAGE(X71:X85)</f>
        <v>9034.2000000000007</v>
      </c>
      <c r="Y99" s="17"/>
      <c r="Z99" s="16" t="e">
        <f>AVERAGE(Z71:Z85)</f>
        <v>#DIV/0!</v>
      </c>
      <c r="AB99" s="2"/>
    </row>
    <row r="100" spans="1:47" x14ac:dyDescent="0.2">
      <c r="AB100" s="2"/>
    </row>
  </sheetData>
  <mergeCells count="18">
    <mergeCell ref="Z3:Z4"/>
    <mergeCell ref="A1:I1"/>
    <mergeCell ref="A3:A4"/>
    <mergeCell ref="B3:W3"/>
    <mergeCell ref="X3:X4"/>
    <mergeCell ref="Y3:Y4"/>
    <mergeCell ref="Z69:Z70"/>
    <mergeCell ref="A34:I34"/>
    <mergeCell ref="A36:A37"/>
    <mergeCell ref="B36:W36"/>
    <mergeCell ref="X36:X37"/>
    <mergeCell ref="Y36:Y37"/>
    <mergeCell ref="Z36:Z37"/>
    <mergeCell ref="A67:I67"/>
    <mergeCell ref="A69:A70"/>
    <mergeCell ref="B69:W69"/>
    <mergeCell ref="X69:X70"/>
    <mergeCell ref="Y69:Y70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A124"/>
  <sheetViews>
    <sheetView zoomScale="75" workbookViewId="0">
      <selection activeCell="X28" sqref="X28"/>
    </sheetView>
  </sheetViews>
  <sheetFormatPr defaultColWidth="9.140625" defaultRowHeight="12.75" x14ac:dyDescent="0.2"/>
  <cols>
    <col min="1" max="1" width="10.28515625" style="2" customWidth="1"/>
    <col min="2" max="11" width="6.5703125" style="2" customWidth="1"/>
    <col min="12" max="12" width="8.28515625" style="2" bestFit="1" customWidth="1"/>
    <col min="13" max="13" width="9.42578125" style="2" customWidth="1"/>
    <col min="14" max="14" width="8.28515625" style="2" bestFit="1" customWidth="1"/>
    <col min="15" max="15" width="9.42578125" style="2" bestFit="1" customWidth="1"/>
    <col min="16" max="16" width="8.28515625" style="2" bestFit="1" customWidth="1"/>
    <col min="17" max="23" width="6.5703125" style="2" customWidth="1"/>
    <col min="24" max="24" width="11.5703125" style="2" bestFit="1" customWidth="1"/>
    <col min="25" max="25" width="9.140625" style="2"/>
    <col min="26" max="26" width="11.7109375" style="56" customWidth="1"/>
    <col min="27" max="27" width="9.140625" style="2"/>
    <col min="28" max="28" width="10.42578125" style="2" customWidth="1"/>
    <col min="29" max="29" width="14" style="2" customWidth="1"/>
    <col min="30" max="30" width="16.140625" style="2" customWidth="1"/>
    <col min="31" max="31" width="9.140625" style="2"/>
    <col min="32" max="32" width="7.140625" style="2" customWidth="1"/>
    <col min="33" max="33" width="8.28515625" style="2" bestFit="1" customWidth="1"/>
    <col min="34" max="34" width="14.42578125" style="2" bestFit="1" customWidth="1"/>
    <col min="35" max="36" width="9.140625" style="2"/>
    <col min="37" max="37" width="6.28515625" style="2" customWidth="1"/>
    <col min="38" max="38" width="9.140625" style="2"/>
    <col min="39" max="39" width="3" style="2" customWidth="1"/>
    <col min="40" max="42" width="9.140625" style="2"/>
    <col min="43" max="43" width="8.5703125" style="2" customWidth="1"/>
    <col min="44" max="44" width="9.140625" style="2"/>
    <col min="45" max="45" width="12.5703125" style="2" customWidth="1"/>
    <col min="46" max="16384" width="9.140625" style="2"/>
  </cols>
  <sheetData>
    <row r="1" spans="1:48" ht="18" customHeight="1" x14ac:dyDescent="0.2">
      <c r="A1" s="1002" t="s">
        <v>514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</row>
    <row r="2" spans="1:48" ht="18" customHeight="1" thickBot="1" x14ac:dyDescent="0.25">
      <c r="A2" s="3"/>
      <c r="B2" s="4"/>
      <c r="C2" s="4"/>
      <c r="D2" s="4"/>
      <c r="E2" s="4"/>
      <c r="F2" s="106" t="s">
        <v>100</v>
      </c>
      <c r="H2" s="110" t="s">
        <v>103</v>
      </c>
      <c r="I2" s="4"/>
      <c r="J2" s="113" t="s">
        <v>99</v>
      </c>
      <c r="K2" s="4"/>
      <c r="L2" s="112" t="s">
        <v>104</v>
      </c>
      <c r="M2" s="4"/>
      <c r="N2" s="126" t="s">
        <v>113</v>
      </c>
      <c r="O2" s="4"/>
      <c r="P2" s="4"/>
      <c r="Q2" s="477" t="s">
        <v>396</v>
      </c>
      <c r="R2" s="4"/>
      <c r="S2" s="4"/>
      <c r="T2" s="4"/>
      <c r="U2" s="4"/>
      <c r="V2" s="4"/>
      <c r="W2" s="4"/>
      <c r="X2" s="1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48" ht="18" customHeight="1" thickTop="1" x14ac:dyDescent="0.25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B3"/>
      <c r="AC3" t="s">
        <v>334</v>
      </c>
      <c r="AE3"/>
      <c r="AF3"/>
      <c r="AG3" s="700" t="s">
        <v>117</v>
      </c>
      <c r="AH3" s="700" t="s">
        <v>118</v>
      </c>
      <c r="AI3" s="702" t="s">
        <v>119</v>
      </c>
      <c r="AJ3"/>
      <c r="AK3" s="1012" t="s">
        <v>489</v>
      </c>
      <c r="AL3" s="1012"/>
      <c r="AM3"/>
      <c r="AN3" s="160" t="s">
        <v>121</v>
      </c>
      <c r="AO3"/>
      <c r="AP3" s="161" t="s">
        <v>489</v>
      </c>
      <c r="AQ3"/>
      <c r="AR3"/>
      <c r="AS3"/>
      <c r="AT3"/>
      <c r="AU3"/>
      <c r="AV3"/>
    </row>
    <row r="4" spans="1:48" ht="18" customHeight="1" x14ac:dyDescent="0.2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68" t="s">
        <v>141</v>
      </c>
      <c r="AB4" t="s">
        <v>63</v>
      </c>
      <c r="AC4" s="2" t="s">
        <v>335</v>
      </c>
      <c r="AD4" t="s">
        <v>340</v>
      </c>
      <c r="AE4" s="2" t="s">
        <v>151</v>
      </c>
      <c r="AF4"/>
      <c r="AG4" s="701"/>
      <c r="AH4" s="701"/>
      <c r="AI4" s="701" t="s">
        <v>146</v>
      </c>
      <c r="AJ4"/>
      <c r="AK4" s="163" t="s">
        <v>148</v>
      </c>
      <c r="AL4" s="163" t="s">
        <v>147</v>
      </c>
      <c r="AM4"/>
      <c r="AN4" s="164"/>
      <c r="AO4"/>
      <c r="AP4" s="164"/>
      <c r="AQ4"/>
      <c r="AR4"/>
      <c r="AS4"/>
      <c r="AT4"/>
      <c r="AU4"/>
      <c r="AV4"/>
    </row>
    <row r="5" spans="1:48" s="8" customFormat="1" ht="18" customHeight="1" x14ac:dyDescent="0.2">
      <c r="A5" s="1">
        <v>1995</v>
      </c>
      <c r="B5" s="6"/>
      <c r="C5" s="6"/>
      <c r="D5" s="6"/>
      <c r="E5" s="6"/>
      <c r="F5" s="6"/>
      <c r="G5" s="114">
        <v>5</v>
      </c>
      <c r="H5" s="154">
        <v>23</v>
      </c>
      <c r="I5" s="154">
        <v>58</v>
      </c>
      <c r="J5" s="154">
        <v>77</v>
      </c>
      <c r="K5" s="6"/>
      <c r="L5" s="113">
        <v>27</v>
      </c>
      <c r="M5" s="6"/>
      <c r="N5" s="113">
        <v>17</v>
      </c>
      <c r="O5" s="154">
        <v>0</v>
      </c>
      <c r="P5" s="6"/>
      <c r="Q5" s="6"/>
      <c r="R5" s="6"/>
      <c r="S5" s="113">
        <v>0</v>
      </c>
      <c r="T5" s="1"/>
      <c r="U5" s="1"/>
      <c r="V5" s="1"/>
      <c r="W5" s="1"/>
      <c r="X5" s="7">
        <v>136</v>
      </c>
      <c r="Y5" s="7" t="s">
        <v>5</v>
      </c>
      <c r="Z5" s="10">
        <v>14.5</v>
      </c>
      <c r="AA5" s="8">
        <f>MAX(B5:W5)</f>
        <v>77</v>
      </c>
      <c r="AB5" s="72">
        <f>X5/AA5</f>
        <v>1.7662337662337662</v>
      </c>
      <c r="AC5" t="s">
        <v>338</v>
      </c>
      <c r="AD5" s="1">
        <v>136</v>
      </c>
      <c r="AE5">
        <v>144</v>
      </c>
      <c r="AF5"/>
      <c r="AG5" s="165"/>
      <c r="AH5" s="166"/>
      <c r="AI5" s="167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8" customFormat="1" ht="18" customHeight="1" x14ac:dyDescent="0.2">
      <c r="A6" s="1">
        <v>1996</v>
      </c>
      <c r="B6" s="6"/>
      <c r="C6" s="6"/>
      <c r="D6" s="154">
        <v>0</v>
      </c>
      <c r="E6" s="6"/>
      <c r="F6" s="6"/>
      <c r="G6" s="154">
        <v>264</v>
      </c>
      <c r="H6" s="6"/>
      <c r="I6" s="154">
        <v>367</v>
      </c>
      <c r="J6" s="154">
        <v>376</v>
      </c>
      <c r="K6" s="113">
        <v>0</v>
      </c>
      <c r="L6" s="113">
        <v>0</v>
      </c>
      <c r="M6" s="154">
        <v>8</v>
      </c>
      <c r="N6" s="154">
        <v>5</v>
      </c>
      <c r="O6" s="113">
        <v>0</v>
      </c>
      <c r="P6" s="113">
        <v>0</v>
      </c>
      <c r="Q6" s="154">
        <v>0</v>
      </c>
      <c r="R6" s="6"/>
      <c r="S6" s="6"/>
      <c r="T6" s="1"/>
      <c r="U6" s="1"/>
      <c r="V6" s="1"/>
      <c r="W6" s="1"/>
      <c r="X6" s="7">
        <v>493</v>
      </c>
      <c r="Y6" s="7" t="s">
        <v>5</v>
      </c>
      <c r="Z6" s="10">
        <v>35</v>
      </c>
      <c r="AA6" s="8">
        <f t="shared" ref="AA6:AA26" si="0">MAX(B6:W6)</f>
        <v>376</v>
      </c>
      <c r="AB6" s="72">
        <f t="shared" ref="AB6:AB26" si="1">X6/AA6</f>
        <v>1.3111702127659575</v>
      </c>
      <c r="AC6" t="s">
        <v>338</v>
      </c>
      <c r="AD6" s="1">
        <v>431</v>
      </c>
      <c r="AE6">
        <v>768</v>
      </c>
      <c r="AF6"/>
      <c r="AG6" s="165" t="s">
        <v>24</v>
      </c>
      <c r="AH6" s="166"/>
      <c r="AI6" s="167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8" customFormat="1" ht="18" customHeight="1" x14ac:dyDescent="0.25">
      <c r="A7" s="1">
        <v>1997</v>
      </c>
      <c r="B7" s="6"/>
      <c r="C7" s="154">
        <v>0</v>
      </c>
      <c r="D7" s="6"/>
      <c r="E7" s="6"/>
      <c r="F7" s="154">
        <v>346</v>
      </c>
      <c r="G7" s="154">
        <v>458</v>
      </c>
      <c r="H7" s="154">
        <v>929</v>
      </c>
      <c r="I7" s="154">
        <v>934</v>
      </c>
      <c r="J7" s="6"/>
      <c r="K7" s="6"/>
      <c r="L7" s="6"/>
      <c r="M7" s="154">
        <v>21</v>
      </c>
      <c r="N7" s="113">
        <v>0</v>
      </c>
      <c r="O7" s="113">
        <v>0</v>
      </c>
      <c r="P7" s="154">
        <v>0</v>
      </c>
      <c r="Q7" s="154">
        <v>0</v>
      </c>
      <c r="R7" s="6"/>
      <c r="S7" s="6"/>
      <c r="T7" s="1"/>
      <c r="U7" s="1"/>
      <c r="V7" s="1"/>
      <c r="W7" s="1"/>
      <c r="X7" s="7">
        <v>1869</v>
      </c>
      <c r="Y7" s="7" t="s">
        <v>5</v>
      </c>
      <c r="Z7" s="10">
        <v>20</v>
      </c>
      <c r="AA7" s="8">
        <f t="shared" si="0"/>
        <v>934</v>
      </c>
      <c r="AB7" s="72">
        <f t="shared" si="1"/>
        <v>2.001070663811563</v>
      </c>
      <c r="AC7" t="s">
        <v>338</v>
      </c>
      <c r="AD7" s="1">
        <v>1570</v>
      </c>
      <c r="AE7">
        <v>1916</v>
      </c>
      <c r="AF7"/>
      <c r="AG7" s="165" t="s">
        <v>127</v>
      </c>
      <c r="AH7" s="229">
        <v>44075</v>
      </c>
      <c r="AI7" s="385"/>
      <c r="AJ7"/>
      <c r="AK7"/>
      <c r="AL7" s="169">
        <v>0</v>
      </c>
      <c r="AM7"/>
      <c r="AN7"/>
      <c r="AO7"/>
      <c r="AP7"/>
      <c r="AQ7"/>
      <c r="AR7"/>
      <c r="AS7"/>
      <c r="AT7"/>
      <c r="AU7"/>
      <c r="AV7"/>
    </row>
    <row r="8" spans="1:48" s="8" customFormat="1" ht="18" customHeight="1" x14ac:dyDescent="0.25">
      <c r="A8" s="1">
        <v>1998</v>
      </c>
      <c r="B8" s="6"/>
      <c r="C8" s="6"/>
      <c r="D8" s="154">
        <v>0</v>
      </c>
      <c r="E8" s="6"/>
      <c r="F8" s="6"/>
      <c r="G8" s="113">
        <v>0</v>
      </c>
      <c r="H8" s="559">
        <v>9</v>
      </c>
      <c r="I8" s="6"/>
      <c r="J8" s="154">
        <v>4</v>
      </c>
      <c r="K8" s="154">
        <v>1603</v>
      </c>
      <c r="L8" s="127">
        <v>1500</v>
      </c>
      <c r="M8" s="154">
        <v>663</v>
      </c>
      <c r="N8" s="127">
        <v>810</v>
      </c>
      <c r="O8" s="113">
        <v>0</v>
      </c>
      <c r="P8" s="113">
        <v>0</v>
      </c>
      <c r="Q8" s="6"/>
      <c r="R8" s="6"/>
      <c r="S8" s="6"/>
      <c r="T8" s="1"/>
      <c r="U8" s="1"/>
      <c r="V8" s="106">
        <v>0</v>
      </c>
      <c r="W8" s="1"/>
      <c r="X8" s="7">
        <v>2417</v>
      </c>
      <c r="Y8" s="7" t="s">
        <v>5</v>
      </c>
      <c r="Z8" s="10">
        <v>15</v>
      </c>
      <c r="AA8" s="8">
        <f t="shared" si="0"/>
        <v>1603</v>
      </c>
      <c r="AB8" s="72">
        <f t="shared" si="1"/>
        <v>1.5077978789769182</v>
      </c>
      <c r="AC8" t="s">
        <v>338</v>
      </c>
      <c r="AD8" s="1">
        <v>2231</v>
      </c>
      <c r="AE8" s="8">
        <v>2435</v>
      </c>
      <c r="AF8" s="136" t="s">
        <v>114</v>
      </c>
      <c r="AG8" s="165" t="s">
        <v>457</v>
      </c>
      <c r="AH8" s="229">
        <v>44083</v>
      </c>
      <c r="AI8" s="384">
        <v>1030</v>
      </c>
      <c r="AJ8"/>
      <c r="AK8" s="171">
        <v>0.9</v>
      </c>
      <c r="AL8" s="172">
        <f t="shared" ref="AL8:AL16" si="2">AI8/AK8</f>
        <v>1144.4444444444443</v>
      </c>
      <c r="AM8"/>
      <c r="AN8" s="172">
        <f t="shared" ref="AN8:AN17" si="3">(AH8-AH7)*(AI8+AI7)</f>
        <v>8240</v>
      </c>
      <c r="AO8"/>
      <c r="AP8" s="172">
        <f t="shared" ref="AP8:AP17" si="4">(AH8-AH7)*(AL8+AL7)</f>
        <v>9155.5555555555547</v>
      </c>
      <c r="AQ8"/>
      <c r="AR8"/>
      <c r="AS8"/>
      <c r="AT8"/>
      <c r="AU8"/>
      <c r="AV8"/>
    </row>
    <row r="9" spans="1:48" s="8" customFormat="1" ht="18" customHeight="1" x14ac:dyDescent="0.25">
      <c r="A9" s="1">
        <v>1999</v>
      </c>
      <c r="B9" s="6"/>
      <c r="C9" s="6"/>
      <c r="D9" s="6"/>
      <c r="E9" s="6"/>
      <c r="F9" s="6"/>
      <c r="G9" s="6"/>
      <c r="H9" s="154">
        <v>229</v>
      </c>
      <c r="I9" s="114">
        <v>7</v>
      </c>
      <c r="J9" s="154">
        <v>433</v>
      </c>
      <c r="K9" s="154">
        <v>485</v>
      </c>
      <c r="L9" s="6"/>
      <c r="M9" s="154">
        <v>255</v>
      </c>
      <c r="N9" s="6"/>
      <c r="O9" s="6"/>
      <c r="P9" s="6"/>
      <c r="Q9" s="6"/>
      <c r="R9" s="6"/>
      <c r="S9" s="6"/>
      <c r="T9" s="1"/>
      <c r="U9" s="1"/>
      <c r="V9" s="1"/>
      <c r="W9" s="1"/>
      <c r="X9" s="9">
        <v>767</v>
      </c>
      <c r="Y9" s="7" t="s">
        <v>5</v>
      </c>
      <c r="Z9" s="9">
        <v>15</v>
      </c>
      <c r="AA9" s="8">
        <f t="shared" si="0"/>
        <v>485</v>
      </c>
      <c r="AB9" s="72">
        <f t="shared" si="1"/>
        <v>1.5814432989690721</v>
      </c>
      <c r="AC9" t="s">
        <v>338</v>
      </c>
      <c r="AD9" s="227">
        <v>570</v>
      </c>
      <c r="AE9">
        <v>809</v>
      </c>
      <c r="AF9"/>
      <c r="AG9" s="165"/>
      <c r="AH9" s="229">
        <v>44089</v>
      </c>
      <c r="AI9" s="384">
        <v>1252</v>
      </c>
      <c r="AJ9"/>
      <c r="AK9" s="171">
        <v>0.9</v>
      </c>
      <c r="AL9" s="172">
        <f t="shared" si="2"/>
        <v>1391.1111111111111</v>
      </c>
      <c r="AM9"/>
      <c r="AN9" s="172">
        <f t="shared" si="3"/>
        <v>13692</v>
      </c>
      <c r="AO9"/>
      <c r="AP9" s="172">
        <f t="shared" si="4"/>
        <v>15213.333333333334</v>
      </c>
      <c r="AQ9"/>
      <c r="AR9"/>
      <c r="AS9"/>
      <c r="AT9"/>
      <c r="AU9"/>
      <c r="AV9"/>
    </row>
    <row r="10" spans="1:48" s="8" customFormat="1" ht="18" customHeight="1" x14ac:dyDescent="0.25">
      <c r="A10" s="1">
        <v>2000</v>
      </c>
      <c r="B10" s="6"/>
      <c r="C10" s="6"/>
      <c r="D10" s="6"/>
      <c r="E10" s="6"/>
      <c r="F10" s="6"/>
      <c r="G10" s="6"/>
      <c r="H10" s="6"/>
      <c r="I10" s="154">
        <v>59</v>
      </c>
      <c r="J10" s="6"/>
      <c r="K10" s="154">
        <v>276</v>
      </c>
      <c r="L10" s="154">
        <v>10</v>
      </c>
      <c r="M10" s="110">
        <v>0</v>
      </c>
      <c r="N10" s="6"/>
      <c r="O10" s="6"/>
      <c r="P10" s="154">
        <v>0</v>
      </c>
      <c r="Q10" s="154">
        <v>0</v>
      </c>
      <c r="R10" s="6"/>
      <c r="S10" s="6"/>
      <c r="T10" s="1"/>
      <c r="U10" s="1"/>
      <c r="V10" s="1"/>
      <c r="W10" s="1"/>
      <c r="X10" s="10">
        <v>301</v>
      </c>
      <c r="Y10" s="7" t="s">
        <v>5</v>
      </c>
      <c r="Z10" s="10">
        <v>15</v>
      </c>
      <c r="AA10" s="8">
        <f t="shared" si="0"/>
        <v>276</v>
      </c>
      <c r="AB10" s="72">
        <f t="shared" si="1"/>
        <v>1.0905797101449275</v>
      </c>
      <c r="AC10" t="s">
        <v>338</v>
      </c>
      <c r="AD10" s="227">
        <v>175</v>
      </c>
      <c r="AE10">
        <v>480</v>
      </c>
      <c r="AF10"/>
      <c r="AG10" s="173"/>
      <c r="AH10" s="229">
        <v>44096</v>
      </c>
      <c r="AI10" s="384">
        <v>1426</v>
      </c>
      <c r="AJ10"/>
      <c r="AK10" s="171">
        <v>0.9</v>
      </c>
      <c r="AL10" s="172">
        <f t="shared" si="2"/>
        <v>1584.4444444444443</v>
      </c>
      <c r="AM10"/>
      <c r="AN10" s="172">
        <f t="shared" si="3"/>
        <v>18746</v>
      </c>
      <c r="AO10"/>
      <c r="AP10" s="172">
        <f t="shared" si="4"/>
        <v>20828.888888888891</v>
      </c>
      <c r="AQ10"/>
      <c r="AR10"/>
      <c r="AS10"/>
      <c r="AT10"/>
      <c r="AU10"/>
      <c r="AV10"/>
    </row>
    <row r="11" spans="1:48" s="8" customFormat="1" ht="18" customHeight="1" x14ac:dyDescent="0.25">
      <c r="A11" s="1">
        <v>2001</v>
      </c>
      <c r="B11" s="6"/>
      <c r="C11" s="6"/>
      <c r="D11" s="6"/>
      <c r="E11" s="6"/>
      <c r="F11" s="6"/>
      <c r="G11" s="6"/>
      <c r="H11" s="154">
        <v>1033</v>
      </c>
      <c r="I11" s="154">
        <v>962</v>
      </c>
      <c r="J11" s="154">
        <v>455</v>
      </c>
      <c r="K11" s="154">
        <v>136</v>
      </c>
      <c r="L11" s="154">
        <v>269</v>
      </c>
      <c r="M11" s="6"/>
      <c r="N11" s="127">
        <v>0</v>
      </c>
      <c r="O11" s="154">
        <v>0</v>
      </c>
      <c r="P11" s="6"/>
      <c r="Q11" s="6"/>
      <c r="R11" s="154">
        <v>0</v>
      </c>
      <c r="S11" s="6"/>
      <c r="T11" s="1"/>
      <c r="U11" s="1"/>
      <c r="V11" s="1"/>
      <c r="W11" s="1"/>
      <c r="X11" s="7">
        <v>1536</v>
      </c>
      <c r="Y11" s="7" t="s">
        <v>5</v>
      </c>
      <c r="Z11" s="10">
        <v>22.5</v>
      </c>
      <c r="AA11" s="8">
        <f t="shared" si="0"/>
        <v>1033</v>
      </c>
      <c r="AB11" s="72">
        <f t="shared" si="1"/>
        <v>1.4869312681510165</v>
      </c>
      <c r="AC11" t="s">
        <v>338</v>
      </c>
      <c r="AD11" s="227">
        <v>1247</v>
      </c>
      <c r="AE11" t="s">
        <v>336</v>
      </c>
      <c r="AF11"/>
      <c r="AG11"/>
      <c r="AH11" s="229">
        <v>44104</v>
      </c>
      <c r="AI11" s="384">
        <v>805</v>
      </c>
      <c r="AJ11"/>
      <c r="AK11" s="171">
        <v>0.8</v>
      </c>
      <c r="AL11" s="172">
        <f t="shared" si="2"/>
        <v>1006.25</v>
      </c>
      <c r="AM11"/>
      <c r="AN11" s="172">
        <f t="shared" si="3"/>
        <v>17848</v>
      </c>
      <c r="AO11"/>
      <c r="AP11" s="172">
        <f t="shared" si="4"/>
        <v>20725.555555555555</v>
      </c>
      <c r="AQ11"/>
      <c r="AR11"/>
      <c r="AS11"/>
      <c r="AT11"/>
      <c r="AU11"/>
      <c r="AV11"/>
    </row>
    <row r="12" spans="1:48" s="8" customFormat="1" ht="18" customHeight="1" x14ac:dyDescent="0.25">
      <c r="A12" s="1">
        <v>2002</v>
      </c>
      <c r="B12" s="131"/>
      <c r="C12" s="131"/>
      <c r="D12" s="131"/>
      <c r="E12" s="131"/>
      <c r="F12" s="131"/>
      <c r="G12" s="889">
        <v>1887</v>
      </c>
      <c r="H12" s="131"/>
      <c r="I12" s="889">
        <v>1861</v>
      </c>
      <c r="J12" s="889">
        <v>2240</v>
      </c>
      <c r="K12" s="133">
        <v>0</v>
      </c>
      <c r="L12" s="889">
        <v>153</v>
      </c>
      <c r="M12" s="133">
        <v>0</v>
      </c>
      <c r="N12" s="889">
        <v>34</v>
      </c>
      <c r="O12" s="133">
        <v>0</v>
      </c>
      <c r="P12" s="133">
        <v>0</v>
      </c>
      <c r="Q12" s="131"/>
      <c r="R12" s="131"/>
      <c r="S12" s="131"/>
      <c r="T12" s="134"/>
      <c r="U12" s="134"/>
      <c r="V12" s="134"/>
      <c r="W12" s="134"/>
      <c r="X12" s="7">
        <v>3299</v>
      </c>
      <c r="Y12" s="7" t="s">
        <v>5</v>
      </c>
      <c r="Z12" s="10">
        <v>25</v>
      </c>
      <c r="AA12" s="8">
        <f t="shared" si="0"/>
        <v>2240</v>
      </c>
      <c r="AB12" s="72">
        <f t="shared" si="1"/>
        <v>1.4727678571428571</v>
      </c>
      <c r="AC12" t="s">
        <v>337</v>
      </c>
      <c r="AD12" s="227">
        <v>2968</v>
      </c>
      <c r="AE12">
        <v>3473</v>
      </c>
      <c r="AF12"/>
      <c r="AG12"/>
      <c r="AH12" s="229">
        <v>44110</v>
      </c>
      <c r="AI12" s="384">
        <v>1574</v>
      </c>
      <c r="AJ12"/>
      <c r="AK12" s="171">
        <v>0.9</v>
      </c>
      <c r="AL12" s="172">
        <f t="shared" si="2"/>
        <v>1748.8888888888889</v>
      </c>
      <c r="AM12"/>
      <c r="AN12" s="172">
        <f t="shared" si="3"/>
        <v>14274</v>
      </c>
      <c r="AO12"/>
      <c r="AP12" s="172">
        <f t="shared" si="4"/>
        <v>16530.833333333332</v>
      </c>
      <c r="AQ12"/>
      <c r="AR12"/>
      <c r="AS12"/>
      <c r="AT12"/>
      <c r="AU12"/>
      <c r="AV12"/>
    </row>
    <row r="13" spans="1:48" s="8" customFormat="1" ht="18" customHeight="1" x14ac:dyDescent="0.2">
      <c r="A13" s="1">
        <v>2003</v>
      </c>
      <c r="B13" s="131"/>
      <c r="C13" s="131"/>
      <c r="D13" s="131"/>
      <c r="E13" s="131"/>
      <c r="F13" s="131"/>
      <c r="G13" s="889">
        <v>24</v>
      </c>
      <c r="H13" s="889">
        <v>94</v>
      </c>
      <c r="I13" s="889">
        <v>1375</v>
      </c>
      <c r="J13" s="889">
        <v>2164</v>
      </c>
      <c r="K13" s="135">
        <v>0</v>
      </c>
      <c r="L13" s="135">
        <v>20</v>
      </c>
      <c r="M13" s="135">
        <v>0</v>
      </c>
      <c r="N13" s="131"/>
      <c r="O13" s="131"/>
      <c r="P13" s="131"/>
      <c r="Q13" s="131"/>
      <c r="R13" s="131"/>
      <c r="S13" s="131"/>
      <c r="T13" s="134"/>
      <c r="U13" s="134"/>
      <c r="V13" s="134"/>
      <c r="W13" s="134"/>
      <c r="X13" s="7">
        <v>3705</v>
      </c>
      <c r="Y13" s="7" t="s">
        <v>5</v>
      </c>
      <c r="Z13" s="10">
        <v>17</v>
      </c>
      <c r="AA13" s="8">
        <f t="shared" si="0"/>
        <v>2164</v>
      </c>
      <c r="AB13" s="72">
        <f t="shared" si="1"/>
        <v>1.7121072088724585</v>
      </c>
      <c r="AC13" t="s">
        <v>339</v>
      </c>
      <c r="AD13" s="227">
        <v>3380</v>
      </c>
      <c r="AE13">
        <v>3999</v>
      </c>
      <c r="AF13"/>
      <c r="AH13" s="229">
        <v>44119</v>
      </c>
      <c r="AI13" s="8">
        <v>180</v>
      </c>
      <c r="AK13" s="171">
        <v>0.9</v>
      </c>
      <c r="AL13" s="172">
        <f t="shared" si="2"/>
        <v>200</v>
      </c>
      <c r="AM13"/>
      <c r="AN13" s="172">
        <f t="shared" si="3"/>
        <v>15786</v>
      </c>
      <c r="AO13"/>
      <c r="AP13" s="172">
        <f t="shared" si="4"/>
        <v>17540</v>
      </c>
      <c r="AQ13"/>
      <c r="AR13"/>
      <c r="AS13"/>
      <c r="AT13"/>
      <c r="AU13"/>
      <c r="AV13"/>
    </row>
    <row r="14" spans="1:48" s="8" customFormat="1" ht="18" customHeight="1" x14ac:dyDescent="0.25">
      <c r="A14" s="1">
        <v>2004</v>
      </c>
      <c r="B14" s="131"/>
      <c r="C14" s="131"/>
      <c r="D14" s="131"/>
      <c r="E14" s="131"/>
      <c r="F14" s="131"/>
      <c r="G14" s="131"/>
      <c r="H14" s="131"/>
      <c r="I14" s="889">
        <v>2335</v>
      </c>
      <c r="J14" s="889">
        <v>2771</v>
      </c>
      <c r="K14" s="133">
        <v>0</v>
      </c>
      <c r="L14" s="889">
        <v>492</v>
      </c>
      <c r="M14" s="135">
        <v>0</v>
      </c>
      <c r="N14" s="135">
        <v>0</v>
      </c>
      <c r="O14" s="131"/>
      <c r="P14" s="131"/>
      <c r="Q14" s="131"/>
      <c r="R14" s="131"/>
      <c r="S14" s="131"/>
      <c r="T14" s="134"/>
      <c r="U14" s="134"/>
      <c r="V14" s="134"/>
      <c r="W14" s="134"/>
      <c r="X14" s="11">
        <v>3445</v>
      </c>
      <c r="Y14" s="7" t="s">
        <v>5</v>
      </c>
      <c r="Z14" s="57">
        <v>22</v>
      </c>
      <c r="AA14" s="8">
        <f t="shared" si="0"/>
        <v>2771</v>
      </c>
      <c r="AB14" s="72">
        <f t="shared" si="1"/>
        <v>1.2432334897149044</v>
      </c>
      <c r="AC14" t="s">
        <v>337</v>
      </c>
      <c r="AD14" s="227">
        <v>3104</v>
      </c>
      <c r="AE14">
        <v>3661</v>
      </c>
      <c r="AF14"/>
      <c r="AG14"/>
      <c r="AH14" s="229">
        <v>44124</v>
      </c>
      <c r="AI14" s="384">
        <v>12</v>
      </c>
      <c r="AJ14"/>
      <c r="AK14" s="171">
        <v>0.9</v>
      </c>
      <c r="AL14" s="172">
        <f t="shared" si="2"/>
        <v>13.333333333333332</v>
      </c>
      <c r="AM14"/>
      <c r="AN14" s="172">
        <f t="shared" si="3"/>
        <v>960</v>
      </c>
      <c r="AO14"/>
      <c r="AP14" s="172">
        <f t="shared" si="4"/>
        <v>1066.6666666666667</v>
      </c>
      <c r="AQ14"/>
      <c r="AR14"/>
      <c r="AS14"/>
      <c r="AT14"/>
      <c r="AU14"/>
      <c r="AV14"/>
    </row>
    <row r="15" spans="1:48" s="8" customFormat="1" ht="18" customHeight="1" x14ac:dyDescent="0.25">
      <c r="A15" s="1">
        <v>2005</v>
      </c>
      <c r="B15" s="131"/>
      <c r="C15" s="131"/>
      <c r="D15" s="131"/>
      <c r="E15" s="131"/>
      <c r="F15" s="131"/>
      <c r="G15" s="889">
        <v>108</v>
      </c>
      <c r="H15" s="889">
        <v>160</v>
      </c>
      <c r="I15" s="889">
        <v>555</v>
      </c>
      <c r="J15" s="131"/>
      <c r="K15" s="135">
        <v>0</v>
      </c>
      <c r="L15" s="135">
        <v>0</v>
      </c>
      <c r="M15" s="131"/>
      <c r="N15" s="135">
        <v>0</v>
      </c>
      <c r="O15" s="131"/>
      <c r="P15" s="131"/>
      <c r="Q15" s="131"/>
      <c r="R15" s="131"/>
      <c r="S15" s="131"/>
      <c r="T15" s="134"/>
      <c r="U15" s="134"/>
      <c r="V15" s="134"/>
      <c r="W15" s="134"/>
      <c r="X15" s="11">
        <v>1138</v>
      </c>
      <c r="Y15" s="11" t="s">
        <v>6</v>
      </c>
      <c r="Z15" s="52"/>
      <c r="AA15" s="8">
        <f t="shared" si="0"/>
        <v>555</v>
      </c>
      <c r="AB15" s="72">
        <f t="shared" si="1"/>
        <v>2.0504504504504504</v>
      </c>
      <c r="AC15" t="s">
        <v>337</v>
      </c>
      <c r="AD15" s="1">
        <v>1000</v>
      </c>
      <c r="AE15">
        <v>1328</v>
      </c>
      <c r="AF15" s="72" t="s">
        <v>265</v>
      </c>
      <c r="AG15" t="s">
        <v>457</v>
      </c>
      <c r="AH15" s="229">
        <v>44130</v>
      </c>
      <c r="AI15" s="384">
        <v>2</v>
      </c>
      <c r="AJ15"/>
      <c r="AK15" s="171">
        <v>0.9</v>
      </c>
      <c r="AL15" s="172">
        <f t="shared" si="2"/>
        <v>2.2222222222222223</v>
      </c>
      <c r="AM15"/>
      <c r="AN15" s="172">
        <f t="shared" si="3"/>
        <v>84</v>
      </c>
      <c r="AO15"/>
      <c r="AP15" s="172">
        <f t="shared" si="4"/>
        <v>93.333333333333314</v>
      </c>
      <c r="AQ15"/>
      <c r="AR15"/>
      <c r="AS15"/>
      <c r="AT15"/>
      <c r="AU15"/>
      <c r="AV15"/>
    </row>
    <row r="16" spans="1:48" s="8" customFormat="1" ht="18" customHeight="1" x14ac:dyDescent="0.2">
      <c r="A16" s="1">
        <v>2006</v>
      </c>
      <c r="B16" s="131"/>
      <c r="C16" s="131"/>
      <c r="D16" s="131"/>
      <c r="E16" s="131"/>
      <c r="F16" s="131"/>
      <c r="G16" s="889">
        <v>7</v>
      </c>
      <c r="H16" s="889">
        <v>381</v>
      </c>
      <c r="I16" s="131"/>
      <c r="J16" s="889">
        <v>2503</v>
      </c>
      <c r="K16" s="131"/>
      <c r="L16" s="889">
        <v>1265</v>
      </c>
      <c r="M16" s="889">
        <v>36</v>
      </c>
      <c r="N16" s="131"/>
      <c r="O16" s="131"/>
      <c r="P16" s="131"/>
      <c r="Q16" s="131"/>
      <c r="R16" s="131"/>
      <c r="S16" s="131"/>
      <c r="T16" s="134"/>
      <c r="U16" s="134"/>
      <c r="V16" s="134"/>
      <c r="W16" s="134"/>
      <c r="X16" s="12">
        <v>3304</v>
      </c>
      <c r="Y16" s="12" t="s">
        <v>5</v>
      </c>
      <c r="Z16" s="53">
        <v>20</v>
      </c>
      <c r="AA16" s="8">
        <f t="shared" si="0"/>
        <v>2503</v>
      </c>
      <c r="AB16" s="72">
        <f t="shared" si="1"/>
        <v>1.3200159808230123</v>
      </c>
      <c r="AC16" t="s">
        <v>337</v>
      </c>
      <c r="AD16" s="434">
        <v>2904</v>
      </c>
      <c r="AE16">
        <v>3363</v>
      </c>
      <c r="AF16"/>
      <c r="AG16"/>
      <c r="AH16" s="229">
        <v>44136</v>
      </c>
      <c r="AI16" s="369">
        <v>0</v>
      </c>
      <c r="AJ16"/>
      <c r="AK16" s="171">
        <v>0.9</v>
      </c>
      <c r="AL16" s="172">
        <f t="shared" si="2"/>
        <v>0</v>
      </c>
      <c r="AM16"/>
      <c r="AN16" s="172">
        <f t="shared" si="3"/>
        <v>12</v>
      </c>
      <c r="AO16"/>
      <c r="AP16" s="172">
        <f t="shared" si="4"/>
        <v>13.333333333333334</v>
      </c>
      <c r="AQ16"/>
      <c r="AR16"/>
      <c r="AS16"/>
      <c r="AT16"/>
      <c r="AU16"/>
      <c r="AV16"/>
    </row>
    <row r="17" spans="1:48" s="8" customFormat="1" ht="18" customHeight="1" x14ac:dyDescent="0.2">
      <c r="A17" s="1">
        <v>2007</v>
      </c>
      <c r="B17" s="131"/>
      <c r="C17" s="131"/>
      <c r="D17" s="131"/>
      <c r="E17" s="131"/>
      <c r="F17" s="131"/>
      <c r="G17" s="131"/>
      <c r="H17" s="889">
        <v>905</v>
      </c>
      <c r="I17" s="131"/>
      <c r="J17" s="131"/>
      <c r="K17" s="131"/>
      <c r="L17" s="889">
        <v>850</v>
      </c>
      <c r="M17" s="131"/>
      <c r="N17" s="889">
        <v>0</v>
      </c>
      <c r="O17" s="131"/>
      <c r="P17" s="131"/>
      <c r="Q17" s="131"/>
      <c r="R17" s="131"/>
      <c r="S17" s="131"/>
      <c r="T17" s="134"/>
      <c r="U17" s="134"/>
      <c r="V17" s="134"/>
      <c r="W17" s="134"/>
      <c r="X17" s="12">
        <v>1630</v>
      </c>
      <c r="Y17" s="11" t="s">
        <v>6</v>
      </c>
      <c r="Z17" s="52"/>
      <c r="AA17" s="8">
        <f t="shared" si="0"/>
        <v>905</v>
      </c>
      <c r="AB17" s="72">
        <f t="shared" si="1"/>
        <v>1.8011049723756907</v>
      </c>
      <c r="AC17" t="s">
        <v>337</v>
      </c>
      <c r="AD17" s="434">
        <v>1300</v>
      </c>
      <c r="AE17">
        <v>1630</v>
      </c>
      <c r="AF17"/>
      <c r="AG17" s="165" t="s">
        <v>128</v>
      </c>
      <c r="AH17" s="229"/>
      <c r="AI17" s="176"/>
      <c r="AJ17"/>
      <c r="AK17" s="177"/>
      <c r="AL17" s="178">
        <v>0</v>
      </c>
      <c r="AM17" s="179"/>
      <c r="AN17" s="172">
        <f t="shared" si="3"/>
        <v>0</v>
      </c>
      <c r="AO17"/>
      <c r="AP17" s="172">
        <f t="shared" si="4"/>
        <v>0</v>
      </c>
      <c r="AQ17"/>
      <c r="AR17"/>
      <c r="AS17"/>
      <c r="AT17"/>
      <c r="AU17"/>
      <c r="AV17"/>
    </row>
    <row r="18" spans="1:48" s="8" customFormat="1" ht="18" customHeight="1" x14ac:dyDescent="0.2">
      <c r="A18" s="13">
        <v>2008</v>
      </c>
      <c r="B18" s="1"/>
      <c r="C18" s="1"/>
      <c r="D18" s="1"/>
      <c r="E18" s="1"/>
      <c r="F18" s="106">
        <v>351</v>
      </c>
      <c r="G18" s="106">
        <v>461</v>
      </c>
      <c r="H18" s="106">
        <v>511</v>
      </c>
      <c r="I18" s="106">
        <v>705</v>
      </c>
      <c r="J18" s="106">
        <v>439</v>
      </c>
      <c r="K18" s="131"/>
      <c r="L18" s="106">
        <v>302</v>
      </c>
      <c r="M18" s="106">
        <v>46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>
        <v>998</v>
      </c>
      <c r="Y18" s="14" t="s">
        <v>5</v>
      </c>
      <c r="Z18" s="54">
        <v>28</v>
      </c>
      <c r="AA18" s="8">
        <f t="shared" si="0"/>
        <v>705</v>
      </c>
      <c r="AB18" s="72">
        <f t="shared" si="1"/>
        <v>1.4156028368794327</v>
      </c>
      <c r="AC18" t="s">
        <v>337</v>
      </c>
      <c r="AD18" s="434">
        <v>718</v>
      </c>
      <c r="AE18">
        <v>1053</v>
      </c>
      <c r="AF18"/>
      <c r="AG18" s="165" t="s">
        <v>2</v>
      </c>
      <c r="AH18" s="167">
        <v>7</v>
      </c>
      <c r="AI18" s="167"/>
      <c r="AJ18" s="167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8" customFormat="1" ht="18" customHeight="1" x14ac:dyDescent="0.2">
      <c r="A19" s="13">
        <v>2009</v>
      </c>
      <c r="B19" s="1"/>
      <c r="C19" s="1"/>
      <c r="D19" s="1"/>
      <c r="E19" s="1"/>
      <c r="F19" s="1"/>
      <c r="G19" s="1"/>
      <c r="H19" s="1"/>
      <c r="I19" s="106">
        <v>425</v>
      </c>
      <c r="J19" s="106">
        <v>194</v>
      </c>
      <c r="K19" s="1"/>
      <c r="L19" s="106">
        <v>24</v>
      </c>
      <c r="M19" s="106">
        <v>72</v>
      </c>
      <c r="N19" s="106">
        <v>26</v>
      </c>
      <c r="O19" s="1"/>
      <c r="P19" s="1"/>
      <c r="Q19" s="1"/>
      <c r="R19" s="1"/>
      <c r="S19" s="1"/>
      <c r="T19" s="1"/>
      <c r="U19" s="1"/>
      <c r="V19" s="1"/>
      <c r="W19" s="1"/>
      <c r="X19" s="1">
        <v>505</v>
      </c>
      <c r="Y19" s="14" t="s">
        <v>5</v>
      </c>
      <c r="Z19" s="54">
        <v>25</v>
      </c>
      <c r="AA19" s="8">
        <f t="shared" si="0"/>
        <v>425</v>
      </c>
      <c r="AB19" s="72">
        <f t="shared" si="1"/>
        <v>1.1882352941176471</v>
      </c>
      <c r="AC19" t="s">
        <v>341</v>
      </c>
      <c r="AD19" s="434">
        <v>505</v>
      </c>
      <c r="AE19">
        <v>820</v>
      </c>
      <c r="AF19"/>
      <c r="AG19" s="165" t="s">
        <v>129</v>
      </c>
      <c r="AH19" s="167"/>
      <c r="AI19" s="167">
        <f>MAX(AI7:AI17)</f>
        <v>1574</v>
      </c>
      <c r="AJ19" s="167"/>
      <c r="AK19" s="167"/>
      <c r="AL19" s="167">
        <f>MAX(AL7:AL17)</f>
        <v>1748.8888888888889</v>
      </c>
      <c r="AM19" s="167"/>
      <c r="AN19" s="167"/>
      <c r="AO19"/>
      <c r="AP19"/>
      <c r="AQ19"/>
      <c r="AR19"/>
      <c r="AS19"/>
      <c r="AT19"/>
      <c r="AU19"/>
      <c r="AV19"/>
    </row>
    <row r="20" spans="1:48" s="8" customFormat="1" ht="18" customHeight="1" x14ac:dyDescent="0.2">
      <c r="A20" s="13">
        <v>2010</v>
      </c>
      <c r="B20" s="1"/>
      <c r="C20" s="1"/>
      <c r="D20" s="1"/>
      <c r="E20" s="1"/>
      <c r="F20" s="1"/>
      <c r="G20" s="1"/>
      <c r="H20" s="106">
        <v>293</v>
      </c>
      <c r="I20" s="1"/>
      <c r="J20" s="1"/>
      <c r="K20" s="106">
        <v>874</v>
      </c>
      <c r="L20" s="1"/>
      <c r="M20" s="106">
        <v>17</v>
      </c>
      <c r="N20" s="1"/>
      <c r="O20" s="106">
        <v>4</v>
      </c>
      <c r="P20" s="1"/>
      <c r="Q20" s="1"/>
      <c r="R20" s="1"/>
      <c r="S20" s="1"/>
      <c r="T20" s="1"/>
      <c r="U20" s="1"/>
      <c r="V20" s="1"/>
      <c r="W20" s="1"/>
      <c r="X20" s="1">
        <f>725+175</f>
        <v>900</v>
      </c>
      <c r="Y20" s="14" t="s">
        <v>5</v>
      </c>
      <c r="Z20" s="54">
        <v>25</v>
      </c>
      <c r="AA20" s="8">
        <f t="shared" si="0"/>
        <v>874</v>
      </c>
      <c r="AB20" s="72">
        <f t="shared" si="1"/>
        <v>1.0297482837528604</v>
      </c>
      <c r="AC20" t="s">
        <v>337</v>
      </c>
      <c r="AD20" s="434">
        <v>725</v>
      </c>
      <c r="AE20">
        <v>900</v>
      </c>
      <c r="AF20"/>
      <c r="AG20" s="165" t="s">
        <v>130</v>
      </c>
      <c r="AH20" s="167"/>
      <c r="AI20" s="169">
        <v>20</v>
      </c>
      <c r="AJ20" s="167"/>
      <c r="AK20"/>
      <c r="AL20" s="169">
        <v>20</v>
      </c>
      <c r="AN20" s="8" t="s">
        <v>97</v>
      </c>
      <c r="AO20">
        <v>25</v>
      </c>
      <c r="AP20" s="8">
        <v>20</v>
      </c>
      <c r="AQ20">
        <v>15</v>
      </c>
      <c r="AR20"/>
      <c r="AS20"/>
      <c r="AT20"/>
      <c r="AU20"/>
      <c r="AV20"/>
    </row>
    <row r="21" spans="1:48" s="8" customFormat="1" ht="18" customHeight="1" x14ac:dyDescent="0.2">
      <c r="A21" s="13">
        <v>2011</v>
      </c>
      <c r="B21" s="1"/>
      <c r="C21" s="1"/>
      <c r="D21" s="1"/>
      <c r="E21" s="1"/>
      <c r="F21" s="1"/>
      <c r="G21" s="1"/>
      <c r="H21" s="1"/>
      <c r="I21" s="106">
        <v>469</v>
      </c>
      <c r="J21" s="106">
        <v>549</v>
      </c>
      <c r="K21" s="106">
        <v>611</v>
      </c>
      <c r="L21" s="1"/>
      <c r="M21" s="1"/>
      <c r="N21" s="106">
        <v>144</v>
      </c>
      <c r="O21" s="1"/>
      <c r="P21" s="1"/>
      <c r="Q21" s="1"/>
      <c r="R21" s="1"/>
      <c r="S21" s="1"/>
      <c r="T21" s="1"/>
      <c r="U21" s="1"/>
      <c r="V21" s="1"/>
      <c r="W21" s="1"/>
      <c r="X21" s="1">
        <v>1500</v>
      </c>
      <c r="Y21" s="14" t="s">
        <v>6</v>
      </c>
      <c r="Z21" s="54"/>
      <c r="AA21" s="8">
        <f t="shared" si="0"/>
        <v>611</v>
      </c>
      <c r="AB21" s="72">
        <f t="shared" si="1"/>
        <v>2.4549918166939442</v>
      </c>
      <c r="AC21" t="s">
        <v>341</v>
      </c>
      <c r="AD21" s="434">
        <v>1300</v>
      </c>
      <c r="AE21">
        <v>1535</v>
      </c>
      <c r="AF21"/>
      <c r="AG21" s="165" t="s">
        <v>131</v>
      </c>
      <c r="AH21" s="167"/>
      <c r="AI21" s="230">
        <f>(0.5*SUM(AN8:AN17))/AI20</f>
        <v>2241.0500000000002</v>
      </c>
      <c r="AJ21" s="167"/>
      <c r="AK21"/>
      <c r="AL21" s="230">
        <f>(0.5*SUM(AP8:AP17))/AL20</f>
        <v>2529.1875</v>
      </c>
      <c r="AN21" s="8" t="s">
        <v>488</v>
      </c>
      <c r="AO21">
        <v>2023</v>
      </c>
      <c r="AP21" s="8">
        <v>2529</v>
      </c>
      <c r="AQ21">
        <v>3372</v>
      </c>
      <c r="AR21"/>
      <c r="AS21"/>
      <c r="AT21"/>
      <c r="AU21"/>
      <c r="AV21"/>
    </row>
    <row r="22" spans="1:48" s="8" customFormat="1" ht="18" customHeight="1" x14ac:dyDescent="0.2">
      <c r="A22" s="13">
        <v>2012</v>
      </c>
      <c r="B22" s="1"/>
      <c r="C22" s="1"/>
      <c r="D22" s="1"/>
      <c r="E22" s="1"/>
      <c r="F22" s="1"/>
      <c r="G22" s="1"/>
      <c r="H22" s="106">
        <v>492</v>
      </c>
      <c r="I22" s="106">
        <v>250</v>
      </c>
      <c r="J22" s="106">
        <v>87</v>
      </c>
      <c r="K22" s="106">
        <v>648</v>
      </c>
      <c r="L22" s="1"/>
      <c r="M22" s="106">
        <v>4</v>
      </c>
      <c r="N22" s="104">
        <v>0</v>
      </c>
      <c r="O22" s="1"/>
      <c r="P22" s="106">
        <v>0</v>
      </c>
      <c r="Q22" s="1"/>
      <c r="R22" s="1"/>
      <c r="S22" s="1"/>
      <c r="T22" s="1"/>
      <c r="U22" s="1"/>
      <c r="V22" s="1"/>
      <c r="W22" s="1"/>
      <c r="X22" s="1">
        <f>1484</f>
        <v>1484</v>
      </c>
      <c r="Y22" s="14" t="s">
        <v>5</v>
      </c>
      <c r="Z22" s="54">
        <v>20</v>
      </c>
      <c r="AA22" s="8">
        <f t="shared" si="0"/>
        <v>648</v>
      </c>
      <c r="AB22" s="72">
        <f t="shared" si="1"/>
        <v>2.2901234567901234</v>
      </c>
      <c r="AC22" t="s">
        <v>339</v>
      </c>
      <c r="AD22" s="434">
        <v>1484</v>
      </c>
      <c r="AE22">
        <v>1830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8" customFormat="1" ht="18" customHeight="1" x14ac:dyDescent="0.2">
      <c r="A23" s="13">
        <v>2013</v>
      </c>
      <c r="B23" s="1"/>
      <c r="C23" s="1"/>
      <c r="D23" s="1"/>
      <c r="E23" s="1"/>
      <c r="F23" s="106">
        <v>61</v>
      </c>
      <c r="G23" s="1"/>
      <c r="H23" s="1"/>
      <c r="I23" s="106">
        <v>704</v>
      </c>
      <c r="J23" s="106">
        <v>291</v>
      </c>
      <c r="K23" s="106">
        <v>522</v>
      </c>
      <c r="L23" s="106">
        <v>0</v>
      </c>
      <c r="M23" s="1"/>
      <c r="N23" s="104">
        <v>0</v>
      </c>
      <c r="O23" s="106">
        <v>0</v>
      </c>
      <c r="P23" s="1"/>
      <c r="Q23" s="1"/>
      <c r="R23" s="1"/>
      <c r="S23" s="1"/>
      <c r="T23" s="1"/>
      <c r="U23" s="1"/>
      <c r="V23" s="1"/>
      <c r="W23" s="1"/>
      <c r="X23" s="1">
        <v>1171</v>
      </c>
      <c r="Y23" s="14" t="s">
        <v>5</v>
      </c>
      <c r="Z23" s="54">
        <v>20</v>
      </c>
      <c r="AA23" s="8">
        <f t="shared" si="0"/>
        <v>704</v>
      </c>
      <c r="AB23" s="72">
        <f t="shared" si="1"/>
        <v>1.6633522727272727</v>
      </c>
      <c r="AC23" t="s">
        <v>337</v>
      </c>
      <c r="AD23" s="434">
        <v>1171</v>
      </c>
      <c r="AE23">
        <v>1473</v>
      </c>
      <c r="AF23"/>
      <c r="AG23" s="299" t="s">
        <v>9</v>
      </c>
      <c r="AH23"/>
      <c r="AI23" s="169">
        <v>1574</v>
      </c>
      <c r="AJ23"/>
      <c r="AK23"/>
      <c r="AL23" s="169">
        <v>1744</v>
      </c>
      <c r="AM23"/>
      <c r="AN23"/>
      <c r="AO23"/>
      <c r="AP23"/>
      <c r="AQ23"/>
      <c r="AR23"/>
      <c r="AS23"/>
      <c r="AT23"/>
      <c r="AU23"/>
      <c r="AV23"/>
    </row>
    <row r="24" spans="1:48" s="8" customFormat="1" ht="18" customHeight="1" x14ac:dyDescent="0.2">
      <c r="A24" s="13">
        <v>2014</v>
      </c>
      <c r="B24" s="1"/>
      <c r="C24" s="1"/>
      <c r="D24" s="1"/>
      <c r="E24" s="1"/>
      <c r="F24" s="1"/>
      <c r="G24" s="1"/>
      <c r="H24" s="106">
        <v>93</v>
      </c>
      <c r="I24" s="106">
        <v>98</v>
      </c>
      <c r="J24" s="106">
        <v>150</v>
      </c>
      <c r="K24" s="106">
        <v>180</v>
      </c>
      <c r="L24" s="1"/>
      <c r="M24" s="1"/>
      <c r="N24" s="1"/>
      <c r="O24" s="106">
        <v>8</v>
      </c>
      <c r="P24" s="106">
        <v>0</v>
      </c>
      <c r="Q24" s="1"/>
      <c r="R24" s="1"/>
      <c r="S24" s="1"/>
      <c r="T24" s="1"/>
      <c r="U24" s="1"/>
      <c r="V24" s="1"/>
      <c r="W24" s="1"/>
      <c r="X24" s="1">
        <v>384</v>
      </c>
      <c r="Y24" s="14" t="s">
        <v>5</v>
      </c>
      <c r="Z24" s="54">
        <v>20</v>
      </c>
      <c r="AA24" s="8">
        <f t="shared" si="0"/>
        <v>180</v>
      </c>
      <c r="AB24" s="72">
        <f t="shared" si="1"/>
        <v>2.1333333333333333</v>
      </c>
      <c r="AC24" t="s">
        <v>337</v>
      </c>
      <c r="AD24" s="434">
        <v>384</v>
      </c>
      <c r="AE24">
        <v>638</v>
      </c>
      <c r="AF24"/>
      <c r="AG24" s="299" t="s">
        <v>250</v>
      </c>
      <c r="AH24"/>
      <c r="AI24" s="370">
        <v>28</v>
      </c>
      <c r="AJ24" s="371"/>
      <c r="AK24" s="371"/>
      <c r="AL24" s="370">
        <v>29</v>
      </c>
      <c r="AM24"/>
      <c r="AN24"/>
      <c r="AO24"/>
      <c r="AP24"/>
      <c r="AQ24"/>
      <c r="AR24"/>
      <c r="AS24"/>
      <c r="AT24"/>
      <c r="AU24"/>
      <c r="AV24"/>
    </row>
    <row r="25" spans="1:48" s="8" customFormat="1" ht="18" customHeight="1" x14ac:dyDescent="0.2">
      <c r="A25" s="13">
        <v>2015</v>
      </c>
      <c r="B25" s="1"/>
      <c r="C25" s="1"/>
      <c r="D25" s="1"/>
      <c r="E25" s="1"/>
      <c r="F25" s="1"/>
      <c r="G25" s="1"/>
      <c r="H25" s="106">
        <v>1287</v>
      </c>
      <c r="I25" s="106">
        <v>132</v>
      </c>
      <c r="J25" s="536">
        <v>1515</v>
      </c>
      <c r="K25" s="1"/>
      <c r="L25" s="156">
        <v>227</v>
      </c>
      <c r="M25" s="156">
        <v>49</v>
      </c>
      <c r="N25" s="156">
        <v>2</v>
      </c>
      <c r="O25" s="156">
        <v>1</v>
      </c>
      <c r="P25" s="1"/>
      <c r="Q25" s="1"/>
      <c r="R25" s="1"/>
      <c r="S25" s="1"/>
      <c r="T25" s="1"/>
      <c r="U25" s="1"/>
      <c r="V25" s="1"/>
      <c r="W25" s="1"/>
      <c r="X25" s="1">
        <v>2517</v>
      </c>
      <c r="Y25" s="14" t="s">
        <v>5</v>
      </c>
      <c r="Z25" s="54">
        <v>20</v>
      </c>
      <c r="AA25" s="8">
        <f t="shared" si="0"/>
        <v>1515</v>
      </c>
      <c r="AB25" s="72">
        <f t="shared" si="1"/>
        <v>1.6613861386138613</v>
      </c>
      <c r="AC25" t="s">
        <v>337</v>
      </c>
      <c r="AD25" s="434">
        <v>2517</v>
      </c>
      <c r="AE25">
        <v>2857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s="8" customFormat="1" ht="18" customHeight="1" x14ac:dyDescent="0.2">
      <c r="A26" s="13">
        <v>2016</v>
      </c>
      <c r="B26" s="1"/>
      <c r="C26" s="1"/>
      <c r="D26" s="1"/>
      <c r="E26" s="1"/>
      <c r="F26" s="1"/>
      <c r="G26" s="106">
        <v>1186</v>
      </c>
      <c r="H26" s="106">
        <v>1045</v>
      </c>
      <c r="I26" s="427">
        <v>1268</v>
      </c>
      <c r="J26" s="536">
        <v>1220</v>
      </c>
      <c r="K26" s="1"/>
      <c r="L26" s="156">
        <v>1224</v>
      </c>
      <c r="M26" s="1"/>
      <c r="N26" s="1"/>
      <c r="O26" s="106">
        <v>0</v>
      </c>
      <c r="P26" s="1"/>
      <c r="Q26" s="106">
        <v>1</v>
      </c>
      <c r="R26" s="1"/>
      <c r="S26" s="1"/>
      <c r="T26" s="1"/>
      <c r="U26" s="1"/>
      <c r="V26" s="1"/>
      <c r="W26" s="1"/>
      <c r="X26" s="1">
        <v>2661</v>
      </c>
      <c r="Y26" s="14" t="s">
        <v>5</v>
      </c>
      <c r="Z26" s="54">
        <v>20</v>
      </c>
      <c r="AA26" s="8">
        <f t="shared" si="0"/>
        <v>1268</v>
      </c>
      <c r="AB26" s="72">
        <f t="shared" si="1"/>
        <v>2.0985804416403786</v>
      </c>
      <c r="AC26"/>
      <c r="AD26"/>
      <c r="AE26"/>
      <c r="AF26"/>
      <c r="AG26"/>
      <c r="AH26"/>
      <c r="AI26">
        <v>30</v>
      </c>
      <c r="AJ26"/>
      <c r="AK26">
        <v>0.8</v>
      </c>
      <c r="AL26" s="172">
        <f>AI26/AK26</f>
        <v>37.5</v>
      </c>
      <c r="AM26"/>
      <c r="AN26"/>
      <c r="AO26"/>
      <c r="AP26"/>
      <c r="AQ26"/>
      <c r="AR26"/>
      <c r="AS26"/>
      <c r="AT26"/>
      <c r="AU26"/>
      <c r="AV26"/>
    </row>
    <row r="27" spans="1:48" s="8" customFormat="1" ht="18" customHeight="1" x14ac:dyDescent="0.2">
      <c r="A27" s="13">
        <v>2017</v>
      </c>
      <c r="B27" s="1"/>
      <c r="C27" s="1"/>
      <c r="D27" s="1"/>
      <c r="E27" s="1"/>
      <c r="F27" s="1"/>
      <c r="G27" s="106">
        <v>230</v>
      </c>
      <c r="H27" s="106">
        <v>523</v>
      </c>
      <c r="I27" s="106">
        <v>681</v>
      </c>
      <c r="J27" s="106">
        <v>785</v>
      </c>
      <c r="K27" s="106">
        <v>1460</v>
      </c>
      <c r="L27" s="1"/>
      <c r="M27" s="512">
        <v>1070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>
        <v>2683</v>
      </c>
      <c r="Y27" s="14" t="s">
        <v>5</v>
      </c>
      <c r="Z27" s="54">
        <v>25</v>
      </c>
      <c r="AA27" s="8">
        <f t="shared" ref="AA27:AA32" si="5">MAX(B27:W27)</f>
        <v>1460</v>
      </c>
      <c r="AB27" s="72">
        <f t="shared" ref="AB27:AB32" si="6">X27/AA27</f>
        <v>1.8376712328767124</v>
      </c>
      <c r="AC27"/>
      <c r="AD27"/>
      <c r="AE27"/>
      <c r="AF27"/>
      <c r="AG27"/>
      <c r="AH27"/>
      <c r="AI27">
        <v>200</v>
      </c>
      <c r="AJ27"/>
      <c r="AK27">
        <v>0.75</v>
      </c>
      <c r="AL27" s="172">
        <f>AI27/AK27</f>
        <v>266.66666666666669</v>
      </c>
      <c r="AM27"/>
      <c r="AN27"/>
      <c r="AO27"/>
      <c r="AP27"/>
      <c r="AQ27"/>
      <c r="AR27"/>
      <c r="AS27"/>
      <c r="AT27"/>
      <c r="AU27"/>
      <c r="AV27"/>
    </row>
    <row r="28" spans="1:48" s="8" customFormat="1" ht="18" customHeight="1" x14ac:dyDescent="0.2">
      <c r="A28" s="13">
        <v>2018</v>
      </c>
      <c r="B28" s="1"/>
      <c r="C28" s="1"/>
      <c r="D28" s="1"/>
      <c r="E28" s="1"/>
      <c r="F28" s="1"/>
      <c r="G28" s="106">
        <v>373</v>
      </c>
      <c r="H28" s="1"/>
      <c r="I28" s="106">
        <v>657</v>
      </c>
      <c r="J28" s="1"/>
      <c r="K28" s="156">
        <v>805</v>
      </c>
      <c r="L28" s="536">
        <v>538</v>
      </c>
      <c r="M28" s="156">
        <v>418</v>
      </c>
      <c r="N28" s="772">
        <v>10</v>
      </c>
      <c r="O28" s="585">
        <v>0</v>
      </c>
      <c r="P28" s="1"/>
      <c r="Q28" s="1"/>
      <c r="R28" s="1"/>
      <c r="S28" s="1"/>
      <c r="T28" s="1"/>
      <c r="U28" s="1"/>
      <c r="V28" s="1"/>
      <c r="W28" s="1"/>
      <c r="X28" s="1">
        <v>2060</v>
      </c>
      <c r="Y28" s="14" t="s">
        <v>5</v>
      </c>
      <c r="Z28" s="54">
        <v>25</v>
      </c>
      <c r="AA28" s="8">
        <f t="shared" si="5"/>
        <v>805</v>
      </c>
      <c r="AB28" s="72">
        <f t="shared" si="6"/>
        <v>2.5590062111801242</v>
      </c>
      <c r="AC28"/>
      <c r="AD28"/>
      <c r="AE28"/>
      <c r="AF28"/>
      <c r="AG28"/>
      <c r="AH28"/>
      <c r="AI28">
        <v>800</v>
      </c>
      <c r="AJ28"/>
      <c r="AK28">
        <v>0.5</v>
      </c>
      <c r="AL28" s="172">
        <f>AI28/AK28</f>
        <v>1600</v>
      </c>
      <c r="AM28"/>
      <c r="AN28"/>
      <c r="AO28"/>
      <c r="AP28"/>
      <c r="AQ28"/>
      <c r="AR28"/>
      <c r="AS28"/>
      <c r="AT28"/>
      <c r="AU28"/>
      <c r="AV28"/>
    </row>
    <row r="29" spans="1:48" s="8" customFormat="1" ht="18" customHeight="1" x14ac:dyDescent="0.2">
      <c r="A29" s="13">
        <v>2019</v>
      </c>
      <c r="B29" s="1"/>
      <c r="C29" s="1"/>
      <c r="D29" s="110">
        <v>4</v>
      </c>
      <c r="E29" s="110">
        <v>88</v>
      </c>
      <c r="F29" s="106">
        <v>551</v>
      </c>
      <c r="G29" s="106">
        <v>650</v>
      </c>
      <c r="H29" s="1"/>
      <c r="I29" s="156">
        <v>529</v>
      </c>
      <c r="J29" s="536">
        <v>983</v>
      </c>
      <c r="K29" s="156">
        <v>343</v>
      </c>
      <c r="L29" s="156">
        <v>328</v>
      </c>
      <c r="M29" s="772">
        <v>6</v>
      </c>
      <c r="N29" s="106">
        <v>0</v>
      </c>
      <c r="O29" s="106">
        <v>3</v>
      </c>
      <c r="P29" s="1"/>
      <c r="Q29" s="1"/>
      <c r="R29" s="1"/>
      <c r="S29" s="1"/>
      <c r="T29" s="1"/>
      <c r="U29" s="1"/>
      <c r="V29" s="1"/>
      <c r="W29" s="1"/>
      <c r="X29" s="1">
        <v>1868</v>
      </c>
      <c r="Y29" s="14" t="s">
        <v>5</v>
      </c>
      <c r="Z29" s="54">
        <v>25</v>
      </c>
      <c r="AA29" s="8">
        <f t="shared" si="5"/>
        <v>983</v>
      </c>
      <c r="AB29" s="72">
        <f t="shared" si="6"/>
        <v>1.9003051881993895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s="8" customFormat="1" ht="18" customHeight="1" x14ac:dyDescent="0.2">
      <c r="A30" s="13">
        <v>2020</v>
      </c>
      <c r="B30" s="1"/>
      <c r="C30" s="1"/>
      <c r="D30" s="1"/>
      <c r="E30" s="1"/>
      <c r="F30" s="1"/>
      <c r="G30" s="106">
        <v>1030</v>
      </c>
      <c r="H30" s="106">
        <v>1252</v>
      </c>
      <c r="I30" s="536">
        <v>1442</v>
      </c>
      <c r="J30" s="156">
        <v>805</v>
      </c>
      <c r="K30" s="156">
        <v>1574</v>
      </c>
      <c r="L30" s="156">
        <v>180</v>
      </c>
      <c r="M30" s="156">
        <v>12</v>
      </c>
      <c r="N30" s="156">
        <v>2</v>
      </c>
      <c r="O30" s="1"/>
      <c r="P30" s="1"/>
      <c r="Q30" s="1"/>
      <c r="R30" s="1"/>
      <c r="S30" s="1"/>
      <c r="T30" s="1"/>
      <c r="U30" s="1"/>
      <c r="V30" s="1"/>
      <c r="W30" s="1"/>
      <c r="X30" s="1">
        <v>1982</v>
      </c>
      <c r="Y30" s="14" t="s">
        <v>5</v>
      </c>
      <c r="Z30" s="54">
        <v>25</v>
      </c>
      <c r="AA30" s="8">
        <f t="shared" si="5"/>
        <v>1574</v>
      </c>
      <c r="AB30" s="72">
        <f t="shared" si="6"/>
        <v>1.2592121982210926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s="94" customFormat="1" ht="18" customHeight="1" x14ac:dyDescent="0.2">
      <c r="A31" s="89">
        <v>2021</v>
      </c>
      <c r="B31" s="227"/>
      <c r="C31" s="227"/>
      <c r="D31" s="770">
        <v>0</v>
      </c>
      <c r="E31" s="770">
        <v>0</v>
      </c>
      <c r="F31" s="770">
        <v>0</v>
      </c>
      <c r="G31" s="770">
        <v>1310</v>
      </c>
      <c r="H31" s="106">
        <v>1733</v>
      </c>
      <c r="I31" s="536">
        <v>1334</v>
      </c>
      <c r="J31" s="558"/>
      <c r="K31" s="772">
        <v>767</v>
      </c>
      <c r="L31" s="683">
        <v>1346</v>
      </c>
      <c r="M31" s="683">
        <v>224</v>
      </c>
      <c r="N31" s="558"/>
      <c r="O31" s="156">
        <v>16</v>
      </c>
      <c r="P31" s="227"/>
      <c r="Q31" s="227"/>
      <c r="R31" s="227"/>
      <c r="S31" s="227"/>
      <c r="T31" s="227"/>
      <c r="U31" s="227"/>
      <c r="V31" s="227"/>
      <c r="W31" s="227"/>
      <c r="X31" s="227">
        <v>3667</v>
      </c>
      <c r="Y31" s="14" t="s">
        <v>5</v>
      </c>
      <c r="Z31" s="210">
        <v>25</v>
      </c>
      <c r="AA31" s="8">
        <f t="shared" si="5"/>
        <v>1733</v>
      </c>
      <c r="AB31" s="72">
        <f t="shared" si="6"/>
        <v>2.1159838430467399</v>
      </c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</row>
    <row r="32" spans="1:48" s="94" customFormat="1" ht="18" customHeight="1" x14ac:dyDescent="0.2">
      <c r="A32" s="89">
        <v>2022</v>
      </c>
      <c r="B32" s="227"/>
      <c r="C32" s="227"/>
      <c r="D32" s="105">
        <v>0</v>
      </c>
      <c r="E32" s="105">
        <v>0</v>
      </c>
      <c r="F32" s="106">
        <v>55</v>
      </c>
      <c r="G32" s="106">
        <v>1215</v>
      </c>
      <c r="H32" s="106">
        <v>1640</v>
      </c>
      <c r="I32" s="240">
        <v>1192</v>
      </c>
      <c r="J32" s="427">
        <v>1470</v>
      </c>
      <c r="K32" s="692">
        <v>2197</v>
      </c>
      <c r="L32" s="868"/>
      <c r="M32" s="864">
        <v>717</v>
      </c>
      <c r="N32" s="772">
        <v>35</v>
      </c>
      <c r="O32" s="772">
        <v>1</v>
      </c>
      <c r="P32" s="106">
        <v>0</v>
      </c>
      <c r="Q32" s="227"/>
      <c r="R32" s="227"/>
      <c r="S32" s="227"/>
      <c r="T32" s="227"/>
      <c r="U32" s="227"/>
      <c r="V32" s="227"/>
      <c r="W32" s="227"/>
      <c r="X32" s="227">
        <v>4429</v>
      </c>
      <c r="Y32" s="734"/>
      <c r="Z32" s="210"/>
      <c r="AA32" s="8">
        <f t="shared" si="5"/>
        <v>2197</v>
      </c>
      <c r="AB32" s="72">
        <f t="shared" si="6"/>
        <v>2.0159308147473829</v>
      </c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</row>
    <row r="33" spans="1:53" s="94" customFormat="1" ht="18" customHeight="1" x14ac:dyDescent="0.2">
      <c r="A33" s="89">
        <v>2023</v>
      </c>
      <c r="B33" s="227"/>
      <c r="C33" s="227"/>
      <c r="D33" s="109">
        <v>0</v>
      </c>
      <c r="E33" s="109">
        <v>0</v>
      </c>
      <c r="F33" s="109">
        <v>0</v>
      </c>
      <c r="G33" s="109">
        <v>0</v>
      </c>
      <c r="H33" s="109">
        <v>341</v>
      </c>
      <c r="I33" s="590">
        <v>3609</v>
      </c>
      <c r="J33" s="155">
        <v>3061</v>
      </c>
      <c r="K33" s="156">
        <v>1700</v>
      </c>
      <c r="L33" s="227"/>
      <c r="M33" s="683">
        <v>2</v>
      </c>
      <c r="N33" s="712">
        <v>0</v>
      </c>
      <c r="O33" s="712">
        <v>0</v>
      </c>
      <c r="P33" s="106">
        <v>0</v>
      </c>
      <c r="Q33" s="227"/>
      <c r="R33" s="227"/>
      <c r="S33" s="227"/>
      <c r="T33" s="227"/>
      <c r="U33" s="227"/>
      <c r="V33" s="227"/>
      <c r="W33" s="227"/>
      <c r="X33" s="227"/>
      <c r="Y33" s="734"/>
      <c r="Z33" s="210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</row>
    <row r="34" spans="1:53" s="52" customFormat="1" ht="18" customHeight="1" x14ac:dyDescent="0.2">
      <c r="A34" s="64" t="s">
        <v>17</v>
      </c>
      <c r="B34" s="16"/>
      <c r="C34" s="16">
        <f>AVERAGE(C5:C19)</f>
        <v>0</v>
      </c>
      <c r="D34" s="16">
        <f>AVERAGE(D5:D19)</f>
        <v>0</v>
      </c>
      <c r="E34" s="16"/>
      <c r="F34" s="16">
        <f t="shared" ref="F34:Q34" si="7">AVERAGE(F5:F19)</f>
        <v>348.5</v>
      </c>
      <c r="G34" s="16">
        <f t="shared" si="7"/>
        <v>357.11111111111109</v>
      </c>
      <c r="H34" s="16">
        <f t="shared" si="7"/>
        <v>427.4</v>
      </c>
      <c r="I34" s="16">
        <f t="shared" si="7"/>
        <v>803.58333333333337</v>
      </c>
      <c r="J34" s="16">
        <f t="shared" si="7"/>
        <v>1059.6363636363637</v>
      </c>
      <c r="K34" s="16">
        <f t="shared" si="7"/>
        <v>277.77777777777777</v>
      </c>
      <c r="L34" s="16">
        <f t="shared" si="7"/>
        <v>377.84615384615387</v>
      </c>
      <c r="M34" s="16">
        <f t="shared" si="7"/>
        <v>100.09090909090909</v>
      </c>
      <c r="N34" s="16">
        <f t="shared" si="7"/>
        <v>89.2</v>
      </c>
      <c r="O34" s="16">
        <f t="shared" si="7"/>
        <v>0</v>
      </c>
      <c r="P34" s="16">
        <f t="shared" si="7"/>
        <v>0</v>
      </c>
      <c r="Q34" s="16">
        <f t="shared" si="7"/>
        <v>0</v>
      </c>
      <c r="R34" s="16"/>
      <c r="S34" s="16">
        <f>AVERAGE(S5:S19)</f>
        <v>0</v>
      </c>
      <c r="T34" s="16"/>
      <c r="U34" s="16"/>
      <c r="V34" s="16">
        <f>AVERAGE(V5:V19)</f>
        <v>0</v>
      </c>
      <c r="W34" s="16"/>
      <c r="X34" s="16">
        <f>AVERAGE(X5:X19)</f>
        <v>1702.8666666666666</v>
      </c>
      <c r="Y34" s="16"/>
      <c r="Z34" s="16">
        <f>AVERAGE(Z5:Z19)</f>
        <v>21.076923076923077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53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53" ht="18" customHeight="1" x14ac:dyDescent="0.2">
      <c r="A36" s="1002" t="s">
        <v>515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53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53" ht="18" customHeight="1" thickTop="1" x14ac:dyDescent="0.25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  <c r="AB38"/>
      <c r="AC38" t="s">
        <v>334</v>
      </c>
      <c r="AE38"/>
      <c r="AF38"/>
      <c r="AG38" s="378" t="s">
        <v>117</v>
      </c>
      <c r="AH38" s="378" t="s">
        <v>118</v>
      </c>
      <c r="AI38" s="380" t="s">
        <v>119</v>
      </c>
      <c r="AJ38"/>
      <c r="AK38" s="380" t="s">
        <v>120</v>
      </c>
      <c r="AL38" s="380"/>
      <c r="AM38"/>
      <c r="AN38" s="160" t="s">
        <v>121</v>
      </c>
      <c r="AO38"/>
      <c r="AP38" s="161" t="s">
        <v>122</v>
      </c>
      <c r="AQ38"/>
      <c r="AR38" s="378" t="s">
        <v>117</v>
      </c>
      <c r="AS38" s="378" t="s">
        <v>118</v>
      </c>
      <c r="AT38" s="380" t="s">
        <v>119</v>
      </c>
      <c r="AU38"/>
      <c r="AV38" s="380" t="s">
        <v>120</v>
      </c>
      <c r="AW38" s="380"/>
      <c r="AX38"/>
      <c r="AY38" s="160" t="s">
        <v>121</v>
      </c>
      <c r="AZ38"/>
      <c r="BA38" s="161" t="s">
        <v>122</v>
      </c>
    </row>
    <row r="39" spans="1:53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A39" s="68" t="s">
        <v>141</v>
      </c>
      <c r="AB39" t="s">
        <v>63</v>
      </c>
      <c r="AC39" s="2" t="s">
        <v>335</v>
      </c>
      <c r="AD39" t="s">
        <v>340</v>
      </c>
      <c r="AE39" s="2" t="s">
        <v>151</v>
      </c>
      <c r="AF39" t="s">
        <v>234</v>
      </c>
      <c r="AG39" s="379"/>
      <c r="AH39" s="379"/>
      <c r="AI39" s="379" t="s">
        <v>146</v>
      </c>
      <c r="AJ39"/>
      <c r="AK39" s="163" t="s">
        <v>148</v>
      </c>
      <c r="AL39" s="163" t="s">
        <v>147</v>
      </c>
      <c r="AM39"/>
      <c r="AN39" s="164"/>
      <c r="AO39"/>
      <c r="AP39" s="164"/>
      <c r="AQ39"/>
      <c r="AR39" s="379"/>
      <c r="AS39" s="379"/>
      <c r="AT39" s="379" t="s">
        <v>146</v>
      </c>
      <c r="AU39"/>
      <c r="AV39" s="163" t="s">
        <v>148</v>
      </c>
      <c r="AW39" s="163" t="s">
        <v>147</v>
      </c>
      <c r="AX39"/>
      <c r="AY39" s="164"/>
      <c r="AZ39"/>
      <c r="BA39" s="164"/>
    </row>
    <row r="40" spans="1:53" ht="18" customHeight="1" x14ac:dyDescent="0.2">
      <c r="A40" s="1">
        <v>1995</v>
      </c>
      <c r="B40" s="6"/>
      <c r="C40" s="6"/>
      <c r="D40" s="6"/>
      <c r="E40" s="6"/>
      <c r="F40" s="6"/>
      <c r="G40" s="114">
        <v>0</v>
      </c>
      <c r="H40" s="111">
        <v>19</v>
      </c>
      <c r="I40" s="111">
        <v>36</v>
      </c>
      <c r="J40" s="111">
        <v>23</v>
      </c>
      <c r="K40" s="6"/>
      <c r="L40" s="113">
        <v>0</v>
      </c>
      <c r="M40" s="6"/>
      <c r="N40" s="113">
        <v>0</v>
      </c>
      <c r="O40" s="111">
        <v>0</v>
      </c>
      <c r="P40" s="6"/>
      <c r="Q40" s="6"/>
      <c r="R40" s="6"/>
      <c r="S40" s="113">
        <v>70</v>
      </c>
      <c r="T40" s="1"/>
      <c r="U40" s="1"/>
      <c r="V40" s="1"/>
      <c r="W40" s="13"/>
      <c r="X40" s="13">
        <v>125</v>
      </c>
      <c r="Y40" s="7" t="s">
        <v>5</v>
      </c>
      <c r="Z40" s="58">
        <v>15</v>
      </c>
      <c r="AA40" s="8">
        <f>MAX(B40:W40)</f>
        <v>70</v>
      </c>
      <c r="AB40" s="72">
        <f>X40/AA40</f>
        <v>1.7857142857142858</v>
      </c>
      <c r="AC40" t="s">
        <v>342</v>
      </c>
      <c r="AD40">
        <v>125</v>
      </c>
      <c r="AE40" t="s">
        <v>336</v>
      </c>
      <c r="AF40"/>
      <c r="AG40" s="165"/>
      <c r="AH40" s="166"/>
      <c r="AI40" s="167"/>
      <c r="AJ40"/>
      <c r="AK40"/>
      <c r="AL40"/>
      <c r="AM40"/>
      <c r="AN40"/>
      <c r="AO40"/>
      <c r="AP40"/>
      <c r="AQ40"/>
      <c r="AR40" s="165"/>
      <c r="AS40" s="166"/>
      <c r="AT40" s="167"/>
      <c r="AU40"/>
      <c r="AV40"/>
      <c r="AW40"/>
      <c r="AX40"/>
      <c r="AY40"/>
      <c r="AZ40"/>
      <c r="BA40"/>
    </row>
    <row r="41" spans="1:53" ht="18" customHeight="1" x14ac:dyDescent="0.2">
      <c r="A41" s="1">
        <v>1996</v>
      </c>
      <c r="B41" s="6"/>
      <c r="C41" s="6"/>
      <c r="D41" s="111">
        <v>0</v>
      </c>
      <c r="E41" s="6"/>
      <c r="F41" s="6"/>
      <c r="G41" s="111">
        <v>4</v>
      </c>
      <c r="H41" s="6"/>
      <c r="I41" s="111">
        <v>18</v>
      </c>
      <c r="J41" s="111">
        <v>12</v>
      </c>
      <c r="K41" s="113">
        <v>0</v>
      </c>
      <c r="L41" s="113">
        <v>0</v>
      </c>
      <c r="M41" s="111">
        <v>3</v>
      </c>
      <c r="N41" s="111">
        <v>2</v>
      </c>
      <c r="O41" s="113">
        <v>0</v>
      </c>
      <c r="P41" s="113">
        <v>0</v>
      </c>
      <c r="Q41" s="111">
        <v>35</v>
      </c>
      <c r="R41" s="6"/>
      <c r="S41" s="6"/>
      <c r="T41" s="1"/>
      <c r="U41" s="1"/>
      <c r="V41" s="1"/>
      <c r="W41" s="13"/>
      <c r="X41" s="13">
        <v>58</v>
      </c>
      <c r="Y41" s="19" t="s">
        <v>7</v>
      </c>
      <c r="AA41" s="8">
        <f t="shared" ref="AA41:AA60" si="8">MAX(B41:W41)</f>
        <v>35</v>
      </c>
      <c r="AB41" s="72">
        <f t="shared" ref="AB41:AB60" si="9">X41/AA41</f>
        <v>1.6571428571428573</v>
      </c>
      <c r="AC41" t="s">
        <v>338</v>
      </c>
      <c r="AD41">
        <v>58</v>
      </c>
      <c r="AE41"/>
      <c r="AF41"/>
      <c r="AG41" s="165" t="s">
        <v>24</v>
      </c>
      <c r="AH41" s="166"/>
      <c r="AI41" s="167"/>
      <c r="AJ41"/>
      <c r="AK41"/>
      <c r="AL41"/>
      <c r="AM41"/>
      <c r="AN41"/>
      <c r="AO41"/>
      <c r="AP41"/>
      <c r="AQ41"/>
      <c r="AR41" s="165" t="s">
        <v>24</v>
      </c>
      <c r="AS41" s="166"/>
      <c r="AT41" s="167"/>
      <c r="AU41"/>
      <c r="AV41"/>
      <c r="AW41"/>
      <c r="AX41"/>
      <c r="AY41"/>
      <c r="AZ41"/>
      <c r="BA41"/>
    </row>
    <row r="42" spans="1:53" ht="18" customHeight="1" x14ac:dyDescent="0.25">
      <c r="A42" s="1">
        <v>1997</v>
      </c>
      <c r="B42" s="6"/>
      <c r="C42" s="111">
        <v>0</v>
      </c>
      <c r="D42" s="6"/>
      <c r="E42" s="6"/>
      <c r="F42" s="111">
        <v>3</v>
      </c>
      <c r="G42" s="111">
        <v>10</v>
      </c>
      <c r="H42" s="111">
        <v>45</v>
      </c>
      <c r="I42" s="111">
        <v>65</v>
      </c>
      <c r="J42" s="6"/>
      <c r="K42" s="6"/>
      <c r="L42" s="6"/>
      <c r="M42" s="111">
        <v>1</v>
      </c>
      <c r="N42" s="113">
        <v>0</v>
      </c>
      <c r="O42" s="113">
        <v>0</v>
      </c>
      <c r="P42" s="111">
        <v>47</v>
      </c>
      <c r="Q42" s="111">
        <v>102</v>
      </c>
      <c r="R42" s="6"/>
      <c r="S42" s="6"/>
      <c r="T42" s="1"/>
      <c r="U42" s="1"/>
      <c r="V42" s="1"/>
      <c r="W42" s="13"/>
      <c r="X42" s="13">
        <v>162</v>
      </c>
      <c r="Y42" s="7" t="s">
        <v>5</v>
      </c>
      <c r="Z42" s="58">
        <v>30</v>
      </c>
      <c r="AA42" s="8">
        <f t="shared" si="8"/>
        <v>102</v>
      </c>
      <c r="AB42" s="72">
        <f t="shared" si="9"/>
        <v>1.588235294117647</v>
      </c>
      <c r="AC42" t="s">
        <v>342</v>
      </c>
      <c r="AD42">
        <v>162</v>
      </c>
      <c r="AE42">
        <v>247</v>
      </c>
      <c r="AF42"/>
      <c r="AG42" s="165" t="s">
        <v>127</v>
      </c>
      <c r="AH42" s="229">
        <v>42614</v>
      </c>
      <c r="AI42" s="385"/>
      <c r="AJ42"/>
      <c r="AK42"/>
      <c r="AL42" s="169">
        <v>0</v>
      </c>
      <c r="AM42"/>
      <c r="AN42"/>
      <c r="AO42"/>
      <c r="AP42"/>
      <c r="AQ42"/>
      <c r="AR42" s="165" t="s">
        <v>127</v>
      </c>
      <c r="AS42" s="229">
        <v>42614</v>
      </c>
      <c r="AT42" s="385"/>
      <c r="AU42"/>
      <c r="AV42"/>
      <c r="AW42" s="169">
        <v>0</v>
      </c>
      <c r="AX42"/>
      <c r="AY42"/>
      <c r="AZ42"/>
      <c r="BA42"/>
    </row>
    <row r="43" spans="1:53" ht="18" customHeight="1" x14ac:dyDescent="0.25">
      <c r="A43" s="1">
        <v>1998</v>
      </c>
      <c r="B43" s="6"/>
      <c r="C43" s="6"/>
      <c r="D43" s="111">
        <v>0</v>
      </c>
      <c r="E43" s="6"/>
      <c r="F43" s="6"/>
      <c r="G43" s="113">
        <v>0</v>
      </c>
      <c r="H43" s="125">
        <v>0</v>
      </c>
      <c r="I43" s="6"/>
      <c r="J43" s="111">
        <v>1</v>
      </c>
      <c r="K43" s="111">
        <v>19</v>
      </c>
      <c r="L43" s="127">
        <v>0</v>
      </c>
      <c r="M43" s="111">
        <v>193</v>
      </c>
      <c r="N43" s="127">
        <v>664</v>
      </c>
      <c r="O43" s="113">
        <v>0</v>
      </c>
      <c r="P43" s="113">
        <v>0</v>
      </c>
      <c r="Q43" s="6"/>
      <c r="R43" s="6"/>
      <c r="S43" s="6"/>
      <c r="T43" s="1"/>
      <c r="U43" s="1"/>
      <c r="V43" s="128">
        <v>2</v>
      </c>
      <c r="W43" s="13"/>
      <c r="X43" s="13">
        <v>895</v>
      </c>
      <c r="Y43" s="7" t="s">
        <v>5</v>
      </c>
      <c r="Z43" s="58">
        <v>30</v>
      </c>
      <c r="AA43" s="8">
        <f t="shared" si="8"/>
        <v>664</v>
      </c>
      <c r="AB43" s="72">
        <f t="shared" si="9"/>
        <v>1.3478915662650603</v>
      </c>
      <c r="AC43" t="s">
        <v>342</v>
      </c>
      <c r="AD43">
        <v>895</v>
      </c>
      <c r="AE43">
        <v>960</v>
      </c>
      <c r="AF43"/>
      <c r="AG43" s="165"/>
      <c r="AH43" s="229">
        <v>42620</v>
      </c>
      <c r="AI43" s="384">
        <v>15</v>
      </c>
      <c r="AJ43"/>
      <c r="AK43" s="171">
        <v>0.9</v>
      </c>
      <c r="AL43" s="172">
        <f t="shared" ref="AL43:AL50" si="10">AI43/AK43</f>
        <v>16.666666666666668</v>
      </c>
      <c r="AM43"/>
      <c r="AN43" s="172">
        <f t="shared" ref="AN43:AN51" si="11">(AH43-AH42)*(AI43+AI42)</f>
        <v>90</v>
      </c>
      <c r="AO43"/>
      <c r="AP43" s="172">
        <f t="shared" ref="AP43:AP51" si="12">(AH43-AH42)*(AL43+AL42)</f>
        <v>100</v>
      </c>
      <c r="AQ43"/>
      <c r="AR43" s="165"/>
      <c r="AS43" s="229">
        <v>42620</v>
      </c>
      <c r="AT43" s="384">
        <v>15</v>
      </c>
      <c r="AU43"/>
      <c r="AV43" s="171">
        <v>0.9</v>
      </c>
      <c r="AW43" s="172">
        <f t="shared" ref="AW43:AW50" si="13">AT43/AV43</f>
        <v>16.666666666666668</v>
      </c>
      <c r="AX43"/>
      <c r="AY43" s="172">
        <f t="shared" ref="AY43:AY51" si="14">(AS43-AS42)*(AT43+AT42)</f>
        <v>90</v>
      </c>
      <c r="AZ43"/>
      <c r="BA43" s="172">
        <f t="shared" ref="BA43:BA51" si="15">(AS43-AS42)*(AW43+AW42)</f>
        <v>100</v>
      </c>
    </row>
    <row r="44" spans="1:53" ht="18" customHeight="1" x14ac:dyDescent="0.25">
      <c r="A44" s="1">
        <v>1999</v>
      </c>
      <c r="B44" s="6"/>
      <c r="C44" s="6"/>
      <c r="D44" s="6"/>
      <c r="E44" s="6"/>
      <c r="F44" s="6"/>
      <c r="G44" s="6"/>
      <c r="H44" s="111">
        <v>0</v>
      </c>
      <c r="I44" s="114">
        <v>6</v>
      </c>
      <c r="J44" s="111">
        <v>182</v>
      </c>
      <c r="K44" s="111">
        <v>244</v>
      </c>
      <c r="L44" s="6"/>
      <c r="M44" s="111">
        <v>397</v>
      </c>
      <c r="N44" s="6"/>
      <c r="O44" s="6"/>
      <c r="P44" s="6"/>
      <c r="Q44" s="6"/>
      <c r="R44" s="6"/>
      <c r="S44" s="6"/>
      <c r="T44" s="1"/>
      <c r="U44" s="1"/>
      <c r="V44" s="1"/>
      <c r="W44" s="13"/>
      <c r="X44" s="13">
        <v>786</v>
      </c>
      <c r="Y44" s="7" t="s">
        <v>5</v>
      </c>
      <c r="Z44" s="58">
        <v>25</v>
      </c>
      <c r="AA44" s="8">
        <f t="shared" si="8"/>
        <v>397</v>
      </c>
      <c r="AB44" s="72">
        <f t="shared" si="9"/>
        <v>1.9798488664987406</v>
      </c>
      <c r="AC44" t="s">
        <v>342</v>
      </c>
      <c r="AD44">
        <v>786</v>
      </c>
      <c r="AE44" t="s">
        <v>336</v>
      </c>
      <c r="AF44"/>
      <c r="AG44" s="165"/>
      <c r="AH44" s="229">
        <v>42628</v>
      </c>
      <c r="AI44" s="384">
        <v>49</v>
      </c>
      <c r="AJ44"/>
      <c r="AK44" s="171">
        <v>0.9</v>
      </c>
      <c r="AL44" s="172">
        <f t="shared" si="10"/>
        <v>54.444444444444443</v>
      </c>
      <c r="AM44"/>
      <c r="AN44" s="172">
        <f t="shared" si="11"/>
        <v>512</v>
      </c>
      <c r="AO44"/>
      <c r="AP44" s="172">
        <f t="shared" si="12"/>
        <v>568.88888888888891</v>
      </c>
      <c r="AQ44"/>
      <c r="AR44" s="165"/>
      <c r="AS44" s="229">
        <v>42628</v>
      </c>
      <c r="AT44" s="384">
        <v>49</v>
      </c>
      <c r="AU44"/>
      <c r="AV44" s="171">
        <v>0.9</v>
      </c>
      <c r="AW44" s="172">
        <f t="shared" si="13"/>
        <v>54.444444444444443</v>
      </c>
      <c r="AX44"/>
      <c r="AY44" s="172">
        <f t="shared" si="14"/>
        <v>512</v>
      </c>
      <c r="AZ44"/>
      <c r="BA44" s="172">
        <f t="shared" si="15"/>
        <v>568.88888888888891</v>
      </c>
    </row>
    <row r="45" spans="1:53" ht="18" customHeight="1" x14ac:dyDescent="0.25">
      <c r="A45" s="1">
        <v>2000</v>
      </c>
      <c r="B45" s="6"/>
      <c r="C45" s="6"/>
      <c r="D45" s="6"/>
      <c r="E45" s="6"/>
      <c r="F45" s="6"/>
      <c r="G45" s="6"/>
      <c r="H45" s="6"/>
      <c r="I45" s="111">
        <v>42</v>
      </c>
      <c r="J45" s="6"/>
      <c r="K45" s="111">
        <v>433</v>
      </c>
      <c r="L45" s="111">
        <v>516</v>
      </c>
      <c r="M45" s="110">
        <v>0</v>
      </c>
      <c r="N45" s="6"/>
      <c r="O45" s="6"/>
      <c r="P45" s="111">
        <v>88</v>
      </c>
      <c r="Q45" s="111">
        <v>134</v>
      </c>
      <c r="R45" s="6"/>
      <c r="S45" s="6"/>
      <c r="T45" s="1"/>
      <c r="U45" s="1"/>
      <c r="V45" s="1"/>
      <c r="W45" s="13"/>
      <c r="X45" s="13">
        <v>814</v>
      </c>
      <c r="Y45" s="7" t="s">
        <v>5</v>
      </c>
      <c r="Z45" s="58">
        <v>15</v>
      </c>
      <c r="AA45" s="8">
        <f t="shared" si="8"/>
        <v>516</v>
      </c>
      <c r="AB45" s="72">
        <f t="shared" si="9"/>
        <v>1.5775193798449612</v>
      </c>
      <c r="AC45" t="s">
        <v>342</v>
      </c>
      <c r="AD45">
        <v>814</v>
      </c>
      <c r="AE45" t="s">
        <v>336</v>
      </c>
      <c r="AF45"/>
      <c r="AG45" s="173"/>
      <c r="AH45" s="229">
        <v>42634</v>
      </c>
      <c r="AI45" s="384">
        <v>373</v>
      </c>
      <c r="AJ45"/>
      <c r="AK45" s="171">
        <v>0.9</v>
      </c>
      <c r="AL45" s="172">
        <f t="shared" si="10"/>
        <v>414.44444444444446</v>
      </c>
      <c r="AM45"/>
      <c r="AN45" s="172">
        <f t="shared" si="11"/>
        <v>2532</v>
      </c>
      <c r="AO45"/>
      <c r="AP45" s="172">
        <f t="shared" si="12"/>
        <v>2813.3333333333335</v>
      </c>
      <c r="AQ45"/>
      <c r="AR45" s="173"/>
      <c r="AS45" s="229">
        <v>42634</v>
      </c>
      <c r="AT45" s="384">
        <v>373</v>
      </c>
      <c r="AU45"/>
      <c r="AV45" s="171">
        <v>0.9</v>
      </c>
      <c r="AW45" s="172">
        <f t="shared" si="13"/>
        <v>414.44444444444446</v>
      </c>
      <c r="AX45"/>
      <c r="AY45" s="172">
        <f t="shared" si="14"/>
        <v>2532</v>
      </c>
      <c r="AZ45"/>
      <c r="BA45" s="172">
        <f t="shared" si="15"/>
        <v>2813.3333333333335</v>
      </c>
    </row>
    <row r="46" spans="1:53" ht="18" customHeight="1" x14ac:dyDescent="0.25">
      <c r="A46" s="1">
        <v>2001</v>
      </c>
      <c r="B46" s="6"/>
      <c r="C46" s="6"/>
      <c r="D46" s="6"/>
      <c r="E46" s="6"/>
      <c r="F46" s="6"/>
      <c r="G46" s="6"/>
      <c r="H46" s="111">
        <v>0</v>
      </c>
      <c r="I46" s="111">
        <v>121</v>
      </c>
      <c r="J46" s="111">
        <v>444</v>
      </c>
      <c r="K46" s="111">
        <v>2</v>
      </c>
      <c r="L46" s="111">
        <v>1533</v>
      </c>
      <c r="M46" s="6"/>
      <c r="N46" s="127">
        <v>20</v>
      </c>
      <c r="O46" s="111">
        <v>442</v>
      </c>
      <c r="P46" s="6"/>
      <c r="Q46" s="6"/>
      <c r="R46" s="111">
        <v>286</v>
      </c>
      <c r="S46" s="6"/>
      <c r="T46" s="1"/>
      <c r="U46" s="1"/>
      <c r="V46" s="1"/>
      <c r="W46" s="13"/>
      <c r="X46" s="13">
        <v>1863</v>
      </c>
      <c r="Y46" s="7" t="s">
        <v>5</v>
      </c>
      <c r="Z46" s="58">
        <v>25</v>
      </c>
      <c r="AA46" s="8">
        <f t="shared" si="8"/>
        <v>1533</v>
      </c>
      <c r="AB46" s="72">
        <f t="shared" si="9"/>
        <v>1.2152641878669277</v>
      </c>
      <c r="AC46" t="s">
        <v>338</v>
      </c>
      <c r="AD46">
        <v>1863</v>
      </c>
      <c r="AE46"/>
      <c r="AF46"/>
      <c r="AG46"/>
      <c r="AH46" s="229">
        <v>42643</v>
      </c>
      <c r="AI46" s="384">
        <v>500</v>
      </c>
      <c r="AJ46"/>
      <c r="AK46" s="171">
        <v>0.9</v>
      </c>
      <c r="AL46" s="172">
        <f t="shared" si="10"/>
        <v>555.55555555555554</v>
      </c>
      <c r="AM46"/>
      <c r="AN46" s="172">
        <f t="shared" si="11"/>
        <v>7857</v>
      </c>
      <c r="AO46"/>
      <c r="AP46" s="172">
        <f t="shared" si="12"/>
        <v>8730</v>
      </c>
      <c r="AQ46"/>
      <c r="AR46"/>
      <c r="AS46" s="229">
        <v>42643</v>
      </c>
      <c r="AT46" s="384">
        <v>500</v>
      </c>
      <c r="AU46"/>
      <c r="AV46" s="171">
        <v>0.9</v>
      </c>
      <c r="AW46" s="172">
        <f t="shared" si="13"/>
        <v>555.55555555555554</v>
      </c>
      <c r="AX46"/>
      <c r="AY46" s="172">
        <f t="shared" si="14"/>
        <v>7857</v>
      </c>
      <c r="AZ46"/>
      <c r="BA46" s="172">
        <f t="shared" si="15"/>
        <v>8730</v>
      </c>
    </row>
    <row r="47" spans="1:53" ht="18" customHeight="1" x14ac:dyDescent="0.25">
      <c r="A47" s="1">
        <v>2002</v>
      </c>
      <c r="B47" s="131"/>
      <c r="C47" s="131"/>
      <c r="D47" s="131"/>
      <c r="E47" s="131"/>
      <c r="F47" s="131"/>
      <c r="G47" s="132">
        <v>132</v>
      </c>
      <c r="H47" s="131"/>
      <c r="I47" s="132">
        <v>240</v>
      </c>
      <c r="J47" s="132">
        <v>244</v>
      </c>
      <c r="K47" s="133">
        <v>0</v>
      </c>
      <c r="L47" s="132">
        <v>0</v>
      </c>
      <c r="M47" s="133">
        <v>0</v>
      </c>
      <c r="N47" s="132">
        <v>153</v>
      </c>
      <c r="O47" s="133">
        <v>0</v>
      </c>
      <c r="P47" s="133">
        <v>0</v>
      </c>
      <c r="Q47" s="131"/>
      <c r="R47" s="131"/>
      <c r="S47" s="131"/>
      <c r="T47" s="129"/>
      <c r="U47" s="129"/>
      <c r="V47" s="129"/>
      <c r="W47" s="130"/>
      <c r="X47" s="13">
        <v>1000</v>
      </c>
      <c r="Y47" s="20" t="s">
        <v>8</v>
      </c>
      <c r="AA47" s="8">
        <f t="shared" si="8"/>
        <v>244</v>
      </c>
      <c r="AB47" s="72">
        <f t="shared" si="9"/>
        <v>4.0983606557377046</v>
      </c>
      <c r="AC47" t="s">
        <v>337</v>
      </c>
      <c r="AD47">
        <v>1000</v>
      </c>
      <c r="AE47">
        <v>1232</v>
      </c>
      <c r="AF47">
        <v>232</v>
      </c>
      <c r="AG47"/>
      <c r="AH47" s="229">
        <v>42655</v>
      </c>
      <c r="AI47" s="384">
        <v>456</v>
      </c>
      <c r="AJ47"/>
      <c r="AK47" s="171">
        <v>0.65</v>
      </c>
      <c r="AL47" s="172">
        <f t="shared" si="10"/>
        <v>701.53846153846155</v>
      </c>
      <c r="AM47"/>
      <c r="AN47" s="172">
        <f t="shared" si="11"/>
        <v>11472</v>
      </c>
      <c r="AO47"/>
      <c r="AP47" s="172">
        <f t="shared" si="12"/>
        <v>15085.128205128205</v>
      </c>
      <c r="AQ47"/>
      <c r="AR47"/>
      <c r="AS47" s="229">
        <v>42655</v>
      </c>
      <c r="AT47" s="384">
        <v>456</v>
      </c>
      <c r="AU47"/>
      <c r="AV47" s="171">
        <v>0.65</v>
      </c>
      <c r="AW47" s="172">
        <f t="shared" si="13"/>
        <v>701.53846153846155</v>
      </c>
      <c r="AX47"/>
      <c r="AY47" s="172">
        <f t="shared" si="14"/>
        <v>11472</v>
      </c>
      <c r="AZ47"/>
      <c r="BA47" s="172">
        <f t="shared" si="15"/>
        <v>15085.128205128205</v>
      </c>
    </row>
    <row r="48" spans="1:53" ht="18" customHeight="1" x14ac:dyDescent="0.25">
      <c r="A48" s="1">
        <v>2003</v>
      </c>
      <c r="B48" s="131"/>
      <c r="C48" s="131"/>
      <c r="D48" s="131"/>
      <c r="E48" s="131"/>
      <c r="F48" s="131"/>
      <c r="G48" s="132">
        <v>4</v>
      </c>
      <c r="H48" s="132">
        <v>11</v>
      </c>
      <c r="I48" s="132">
        <v>103</v>
      </c>
      <c r="J48" s="132">
        <v>156</v>
      </c>
      <c r="K48" s="135">
        <v>0</v>
      </c>
      <c r="L48" s="135">
        <v>0</v>
      </c>
      <c r="M48" s="135">
        <v>0</v>
      </c>
      <c r="N48" s="131"/>
      <c r="O48" s="131"/>
      <c r="P48" s="131"/>
      <c r="Q48" s="131"/>
      <c r="R48" s="131"/>
      <c r="S48" s="131"/>
      <c r="T48" s="129"/>
      <c r="U48" s="129"/>
      <c r="V48" s="129"/>
      <c r="W48" s="130"/>
      <c r="X48" s="13">
        <v>184</v>
      </c>
      <c r="Y48" s="7" t="s">
        <v>5</v>
      </c>
      <c r="Z48" s="58">
        <v>37</v>
      </c>
      <c r="AA48" s="8">
        <f t="shared" si="8"/>
        <v>156</v>
      </c>
      <c r="AB48" s="72">
        <f t="shared" si="9"/>
        <v>1.1794871794871795</v>
      </c>
      <c r="AC48" t="s">
        <v>337</v>
      </c>
      <c r="AD48">
        <v>184</v>
      </c>
      <c r="AE48">
        <v>207</v>
      </c>
      <c r="AF48">
        <v>23</v>
      </c>
      <c r="AG48"/>
      <c r="AH48" s="229">
        <v>42675</v>
      </c>
      <c r="AI48" s="384">
        <v>3</v>
      </c>
      <c r="AJ48"/>
      <c r="AK48" s="171">
        <v>0.5</v>
      </c>
      <c r="AL48" s="172">
        <f t="shared" si="10"/>
        <v>6</v>
      </c>
      <c r="AM48"/>
      <c r="AN48" s="172">
        <f t="shared" si="11"/>
        <v>9180</v>
      </c>
      <c r="AO48"/>
      <c r="AP48" s="172">
        <f t="shared" si="12"/>
        <v>14150.76923076923</v>
      </c>
      <c r="AQ48"/>
      <c r="AR48"/>
      <c r="AS48" s="229">
        <v>42719</v>
      </c>
      <c r="AT48" s="384">
        <v>0</v>
      </c>
      <c r="AU48"/>
      <c r="AV48" s="171">
        <v>0.5</v>
      </c>
      <c r="AW48" s="172">
        <f t="shared" si="13"/>
        <v>0</v>
      </c>
      <c r="AX48"/>
      <c r="AY48" s="172">
        <f t="shared" si="14"/>
        <v>29184</v>
      </c>
      <c r="AZ48"/>
      <c r="BA48" s="172">
        <f t="shared" si="15"/>
        <v>44898.461538461539</v>
      </c>
    </row>
    <row r="49" spans="1:53" ht="18" customHeight="1" x14ac:dyDescent="0.25">
      <c r="A49" s="1">
        <v>2004</v>
      </c>
      <c r="B49" s="131"/>
      <c r="C49" s="131"/>
      <c r="D49" s="131"/>
      <c r="E49" s="131"/>
      <c r="F49" s="131"/>
      <c r="G49" s="131"/>
      <c r="H49" s="131"/>
      <c r="I49" s="132">
        <v>92</v>
      </c>
      <c r="J49" s="132">
        <v>279</v>
      </c>
      <c r="K49" s="133">
        <v>0</v>
      </c>
      <c r="L49" s="132">
        <v>88</v>
      </c>
      <c r="M49" s="135">
        <v>0</v>
      </c>
      <c r="N49" s="135">
        <v>0</v>
      </c>
      <c r="O49" s="131"/>
      <c r="P49" s="131"/>
      <c r="Q49" s="131"/>
      <c r="R49" s="131"/>
      <c r="S49" s="131"/>
      <c r="T49" s="129"/>
      <c r="U49" s="129"/>
      <c r="V49" s="129"/>
      <c r="W49" s="130"/>
      <c r="X49" s="21">
        <v>314</v>
      </c>
      <c r="Y49" s="7" t="s">
        <v>5</v>
      </c>
      <c r="Z49" s="59">
        <v>28</v>
      </c>
      <c r="AA49" s="8">
        <f t="shared" si="8"/>
        <v>279</v>
      </c>
      <c r="AB49" s="72">
        <f t="shared" si="9"/>
        <v>1.1254480286738351</v>
      </c>
      <c r="AC49" t="s">
        <v>337</v>
      </c>
      <c r="AD49">
        <v>314</v>
      </c>
      <c r="AE49">
        <v>342</v>
      </c>
      <c r="AF49">
        <v>28</v>
      </c>
      <c r="AG49"/>
      <c r="AH49" s="229">
        <v>42692</v>
      </c>
      <c r="AI49" s="384">
        <v>25</v>
      </c>
      <c r="AJ49"/>
      <c r="AK49" s="171">
        <v>0.5</v>
      </c>
      <c r="AL49" s="172">
        <f t="shared" si="10"/>
        <v>50</v>
      </c>
      <c r="AM49"/>
      <c r="AN49" s="172">
        <f t="shared" si="11"/>
        <v>476</v>
      </c>
      <c r="AO49"/>
      <c r="AP49" s="172">
        <f t="shared" si="12"/>
        <v>952</v>
      </c>
      <c r="AQ49"/>
      <c r="AR49"/>
      <c r="AS49" s="229">
        <v>42692</v>
      </c>
      <c r="AT49" s="384">
        <v>0</v>
      </c>
      <c r="AU49"/>
      <c r="AV49" s="171">
        <v>0.5</v>
      </c>
      <c r="AW49" s="172">
        <f t="shared" si="13"/>
        <v>0</v>
      </c>
      <c r="AX49"/>
      <c r="AY49" s="172">
        <f t="shared" si="14"/>
        <v>0</v>
      </c>
      <c r="AZ49"/>
      <c r="BA49" s="172">
        <f t="shared" si="15"/>
        <v>0</v>
      </c>
    </row>
    <row r="50" spans="1:53" ht="18" customHeight="1" x14ac:dyDescent="0.2">
      <c r="A50" s="1">
        <v>2005</v>
      </c>
      <c r="B50" s="131"/>
      <c r="C50" s="131"/>
      <c r="D50" s="131"/>
      <c r="E50" s="131"/>
      <c r="F50" s="131"/>
      <c r="G50" s="132">
        <v>0</v>
      </c>
      <c r="H50" s="131"/>
      <c r="I50" s="132">
        <v>0</v>
      </c>
      <c r="J50" s="131"/>
      <c r="K50" s="135">
        <v>0</v>
      </c>
      <c r="L50" s="135">
        <v>0</v>
      </c>
      <c r="M50" s="131"/>
      <c r="N50" s="135">
        <v>2184</v>
      </c>
      <c r="O50" s="131"/>
      <c r="P50" s="131"/>
      <c r="Q50" s="131"/>
      <c r="R50" s="131"/>
      <c r="S50" s="131"/>
      <c r="T50" s="129"/>
      <c r="U50" s="129"/>
      <c r="V50" s="129"/>
      <c r="W50" s="130"/>
      <c r="X50" s="13"/>
      <c r="Y50" s="19" t="s">
        <v>9</v>
      </c>
      <c r="AA50" s="8">
        <f t="shared" si="8"/>
        <v>2184</v>
      </c>
      <c r="AB50" s="72">
        <f t="shared" si="9"/>
        <v>0</v>
      </c>
      <c r="AC50" t="s">
        <v>343</v>
      </c>
      <c r="AD50"/>
      <c r="AE50"/>
      <c r="AF50"/>
      <c r="AG50"/>
      <c r="AH50" s="229">
        <v>42694</v>
      </c>
      <c r="AI50" s="369">
        <v>0</v>
      </c>
      <c r="AJ50"/>
      <c r="AK50" s="171">
        <v>0.9</v>
      </c>
      <c r="AL50" s="172">
        <f t="shared" si="10"/>
        <v>0</v>
      </c>
      <c r="AM50"/>
      <c r="AN50" s="172">
        <f t="shared" si="11"/>
        <v>50</v>
      </c>
      <c r="AO50"/>
      <c r="AP50" s="172">
        <f t="shared" si="12"/>
        <v>100</v>
      </c>
      <c r="AQ50"/>
      <c r="AR50"/>
      <c r="AS50" s="229">
        <v>42694</v>
      </c>
      <c r="AT50" s="369">
        <v>0</v>
      </c>
      <c r="AU50"/>
      <c r="AV50" s="171">
        <v>0.9</v>
      </c>
      <c r="AW50" s="172">
        <f t="shared" si="13"/>
        <v>0</v>
      </c>
      <c r="AX50"/>
      <c r="AY50" s="172">
        <f t="shared" si="14"/>
        <v>0</v>
      </c>
      <c r="AZ50"/>
      <c r="BA50" s="172">
        <f t="shared" si="15"/>
        <v>0</v>
      </c>
    </row>
    <row r="51" spans="1:53" ht="18" customHeight="1" x14ac:dyDescent="0.2">
      <c r="A51" s="1">
        <v>2006</v>
      </c>
      <c r="B51" s="131"/>
      <c r="C51" s="131"/>
      <c r="D51" s="131"/>
      <c r="E51" s="131"/>
      <c r="F51" s="131"/>
      <c r="G51" s="132">
        <v>0</v>
      </c>
      <c r="H51" s="132">
        <v>8</v>
      </c>
      <c r="I51" s="131"/>
      <c r="J51" s="132">
        <v>94</v>
      </c>
      <c r="K51" s="131"/>
      <c r="L51" s="132">
        <v>93</v>
      </c>
      <c r="M51" s="132">
        <v>1</v>
      </c>
      <c r="N51" s="131"/>
      <c r="O51" s="131"/>
      <c r="P51" s="131"/>
      <c r="Q51" s="131"/>
      <c r="R51" s="131"/>
      <c r="S51" s="131"/>
      <c r="T51" s="129"/>
      <c r="U51" s="129"/>
      <c r="V51" s="129"/>
      <c r="W51" s="130"/>
      <c r="X51" s="12">
        <v>176</v>
      </c>
      <c r="Y51" s="7" t="s">
        <v>5</v>
      </c>
      <c r="Z51" s="53">
        <v>15</v>
      </c>
      <c r="AA51" s="8">
        <f t="shared" si="8"/>
        <v>94</v>
      </c>
      <c r="AB51" s="72">
        <f t="shared" si="9"/>
        <v>1.8723404255319149</v>
      </c>
      <c r="AC51" t="s">
        <v>337</v>
      </c>
      <c r="AD51">
        <v>176</v>
      </c>
      <c r="AE51">
        <v>526</v>
      </c>
      <c r="AF51">
        <v>350</v>
      </c>
      <c r="AG51" s="165" t="s">
        <v>128</v>
      </c>
      <c r="AH51" s="229"/>
      <c r="AI51" s="176"/>
      <c r="AJ51"/>
      <c r="AK51" s="177"/>
      <c r="AL51" s="178">
        <v>0</v>
      </c>
      <c r="AM51" s="179"/>
      <c r="AN51" s="172">
        <f t="shared" si="11"/>
        <v>0</v>
      </c>
      <c r="AO51"/>
      <c r="AP51" s="172">
        <f t="shared" si="12"/>
        <v>0</v>
      </c>
      <c r="AQ51"/>
      <c r="AR51" s="165" t="s">
        <v>128</v>
      </c>
      <c r="AS51" s="229"/>
      <c r="AT51" s="176"/>
      <c r="AU51"/>
      <c r="AV51" s="177"/>
      <c r="AW51" s="178">
        <v>0</v>
      </c>
      <c r="AX51" s="179"/>
      <c r="AY51" s="172">
        <f t="shared" si="14"/>
        <v>0</v>
      </c>
      <c r="AZ51"/>
      <c r="BA51" s="172">
        <f t="shared" si="15"/>
        <v>0</v>
      </c>
    </row>
    <row r="52" spans="1:53" ht="18" customHeight="1" x14ac:dyDescent="0.2">
      <c r="A52" s="1">
        <v>2007</v>
      </c>
      <c r="B52" s="131"/>
      <c r="C52" s="131"/>
      <c r="D52" s="131"/>
      <c r="E52" s="131"/>
      <c r="F52" s="131"/>
      <c r="G52" s="131"/>
      <c r="H52" s="132">
        <v>5</v>
      </c>
      <c r="I52" s="131"/>
      <c r="J52" s="131"/>
      <c r="K52" s="131"/>
      <c r="L52" s="132">
        <v>36</v>
      </c>
      <c r="M52" s="131"/>
      <c r="N52" s="132">
        <v>3</v>
      </c>
      <c r="O52" s="131"/>
      <c r="P52" s="131"/>
      <c r="Q52" s="131"/>
      <c r="R52" s="131"/>
      <c r="S52" s="131"/>
      <c r="T52" s="129"/>
      <c r="U52" s="129"/>
      <c r="V52" s="129"/>
      <c r="W52" s="130"/>
      <c r="X52" s="12">
        <v>16</v>
      </c>
      <c r="Y52" s="19" t="s">
        <v>9</v>
      </c>
      <c r="AA52" s="8">
        <f t="shared" si="8"/>
        <v>36</v>
      </c>
      <c r="AB52" s="72">
        <f t="shared" si="9"/>
        <v>0.44444444444444442</v>
      </c>
      <c r="AC52" t="s">
        <v>344</v>
      </c>
      <c r="AD52">
        <v>16</v>
      </c>
      <c r="AE52"/>
      <c r="AF52">
        <v>3</v>
      </c>
      <c r="AG52" s="165" t="s">
        <v>2</v>
      </c>
      <c r="AH52" s="167">
        <v>7</v>
      </c>
      <c r="AI52" s="167"/>
      <c r="AJ52" s="167"/>
      <c r="AK52"/>
      <c r="AL52"/>
      <c r="AM52"/>
      <c r="AN52"/>
      <c r="AO52"/>
      <c r="AP52"/>
      <c r="AQ52"/>
      <c r="AR52" s="165" t="s">
        <v>2</v>
      </c>
      <c r="AS52" s="167">
        <v>7</v>
      </c>
      <c r="AT52" s="167"/>
      <c r="AU52" s="167"/>
      <c r="AV52"/>
      <c r="AW52"/>
      <c r="AX52"/>
      <c r="AY52"/>
      <c r="AZ52"/>
      <c r="BA52"/>
    </row>
    <row r="53" spans="1:53" s="55" customFormat="1" ht="18" customHeight="1" x14ac:dyDescent="0.2">
      <c r="A53" s="13">
        <v>2008</v>
      </c>
      <c r="B53" s="13"/>
      <c r="C53" s="1"/>
      <c r="D53" s="1"/>
      <c r="E53" s="1"/>
      <c r="F53" s="128">
        <v>0</v>
      </c>
      <c r="G53" s="128">
        <v>0</v>
      </c>
      <c r="H53" s="128">
        <v>0</v>
      </c>
      <c r="I53" s="128">
        <v>15</v>
      </c>
      <c r="J53" s="128">
        <v>145</v>
      </c>
      <c r="K53" s="131"/>
      <c r="L53" s="128">
        <v>723</v>
      </c>
      <c r="M53" s="128">
        <v>63</v>
      </c>
      <c r="N53" s="1"/>
      <c r="O53" s="1"/>
      <c r="P53" s="1"/>
      <c r="Q53" s="1"/>
      <c r="R53" s="1"/>
      <c r="S53" s="1"/>
      <c r="T53" s="1"/>
      <c r="U53" s="1"/>
      <c r="V53" s="1"/>
      <c r="W53" s="13"/>
      <c r="X53" s="13">
        <v>770</v>
      </c>
      <c r="Y53" s="7" t="s">
        <v>5</v>
      </c>
      <c r="Z53" s="58">
        <v>20</v>
      </c>
      <c r="AA53" s="8">
        <f t="shared" si="8"/>
        <v>723</v>
      </c>
      <c r="AB53" s="72">
        <f t="shared" si="9"/>
        <v>1.0650069156293223</v>
      </c>
      <c r="AC53" t="s">
        <v>341</v>
      </c>
      <c r="AD53">
        <v>770</v>
      </c>
      <c r="AE53" t="s">
        <v>336</v>
      </c>
      <c r="AF53">
        <v>39</v>
      </c>
      <c r="AG53" s="165" t="s">
        <v>129</v>
      </c>
      <c r="AH53" s="167"/>
      <c r="AI53" s="167">
        <f>MAX(AI42:AI51)</f>
        <v>500</v>
      </c>
      <c r="AJ53" s="167"/>
      <c r="AK53" s="167"/>
      <c r="AL53" s="167">
        <f>MAX(AL42:AL51)</f>
        <v>701.53846153846155</v>
      </c>
      <c r="AM53" s="167"/>
      <c r="AN53" s="167"/>
      <c r="AO53"/>
      <c r="AP53"/>
      <c r="AQ53"/>
      <c r="AR53" s="165" t="s">
        <v>129</v>
      </c>
      <c r="AS53" s="167"/>
      <c r="AT53" s="167">
        <f>MAX(AT42:AT51)</f>
        <v>500</v>
      </c>
      <c r="AU53" s="167"/>
      <c r="AV53" s="167"/>
      <c r="AW53" s="167">
        <f>MAX(AW42:AW51)</f>
        <v>701.53846153846155</v>
      </c>
      <c r="AX53" s="167"/>
      <c r="AY53" s="167"/>
      <c r="AZ53"/>
      <c r="BA53"/>
    </row>
    <row r="54" spans="1:53" ht="18" customHeight="1" x14ac:dyDescent="0.2">
      <c r="A54" s="13">
        <v>2009</v>
      </c>
      <c r="B54" s="13"/>
      <c r="C54" s="1"/>
      <c r="D54" s="1"/>
      <c r="E54" s="1"/>
      <c r="F54" s="1"/>
      <c r="G54" s="1"/>
      <c r="H54" s="1"/>
      <c r="I54" s="128">
        <v>43</v>
      </c>
      <c r="J54" s="128">
        <v>382</v>
      </c>
      <c r="K54" s="1"/>
      <c r="L54" s="128">
        <v>44</v>
      </c>
      <c r="M54" s="128">
        <v>15</v>
      </c>
      <c r="N54" s="128">
        <v>67</v>
      </c>
      <c r="O54" s="1"/>
      <c r="P54" s="1"/>
      <c r="Q54" s="1"/>
      <c r="R54" s="1"/>
      <c r="S54" s="1"/>
      <c r="T54" s="1"/>
      <c r="U54" s="1"/>
      <c r="V54" s="1"/>
      <c r="W54" s="13"/>
      <c r="X54" s="13">
        <v>650</v>
      </c>
      <c r="Y54" s="7" t="s">
        <v>5</v>
      </c>
      <c r="Z54" s="58">
        <v>20</v>
      </c>
      <c r="AA54" s="8">
        <f t="shared" si="8"/>
        <v>382</v>
      </c>
      <c r="AB54" s="72">
        <f t="shared" si="9"/>
        <v>1.7015706806282722</v>
      </c>
      <c r="AC54" t="s">
        <v>341</v>
      </c>
      <c r="AD54">
        <v>650</v>
      </c>
      <c r="AE54">
        <v>695</v>
      </c>
      <c r="AF54">
        <v>45</v>
      </c>
      <c r="AG54" s="165" t="s">
        <v>130</v>
      </c>
      <c r="AH54" s="167"/>
      <c r="AI54" s="169">
        <v>32</v>
      </c>
      <c r="AJ54" s="167"/>
      <c r="AK54"/>
      <c r="AL54" s="169">
        <v>30</v>
      </c>
      <c r="AM54" s="8"/>
      <c r="AN54" s="8"/>
      <c r="AO54"/>
      <c r="AP54"/>
      <c r="AQ54"/>
      <c r="AR54" s="165" t="s">
        <v>130</v>
      </c>
      <c r="AS54" s="167"/>
      <c r="AT54" s="169">
        <v>32</v>
      </c>
      <c r="AU54" s="167"/>
      <c r="AV54"/>
      <c r="AW54" s="169">
        <v>30</v>
      </c>
      <c r="AX54" s="8"/>
      <c r="AY54" s="8"/>
      <c r="AZ54"/>
      <c r="BA54"/>
    </row>
    <row r="55" spans="1:53" ht="18" customHeight="1" x14ac:dyDescent="0.2">
      <c r="A55" s="13">
        <v>2010</v>
      </c>
      <c r="B55" s="13"/>
      <c r="C55" s="1"/>
      <c r="D55" s="1"/>
      <c r="E55" s="1"/>
      <c r="F55" s="1"/>
      <c r="G55" s="1"/>
      <c r="H55" s="128">
        <v>0</v>
      </c>
      <c r="I55" s="1"/>
      <c r="J55" s="1"/>
      <c r="K55" s="128">
        <v>594</v>
      </c>
      <c r="L55" s="1"/>
      <c r="M55" s="128">
        <v>965</v>
      </c>
      <c r="N55" s="1"/>
      <c r="O55" s="128">
        <v>1</v>
      </c>
      <c r="P55" s="1"/>
      <c r="Q55" s="1"/>
      <c r="R55" s="1"/>
      <c r="S55" s="1"/>
      <c r="T55" s="1"/>
      <c r="U55" s="1"/>
      <c r="V55" s="1"/>
      <c r="W55" s="13"/>
      <c r="X55" s="13">
        <v>1470</v>
      </c>
      <c r="Y55" s="7" t="s">
        <v>5</v>
      </c>
      <c r="Z55" s="58">
        <v>22</v>
      </c>
      <c r="AA55" s="8">
        <f t="shared" si="8"/>
        <v>965</v>
      </c>
      <c r="AB55" s="72">
        <f t="shared" si="9"/>
        <v>1.5233160621761659</v>
      </c>
      <c r="AC55" t="s">
        <v>337</v>
      </c>
      <c r="AD55">
        <v>1470</v>
      </c>
      <c r="AE55">
        <v>1470</v>
      </c>
      <c r="AF55">
        <v>0</v>
      </c>
      <c r="AG55" s="165" t="s">
        <v>131</v>
      </c>
      <c r="AH55" s="167"/>
      <c r="AI55" s="230">
        <f>(0.5*SUM(AN43:AN51))/AI54</f>
        <v>502.640625</v>
      </c>
      <c r="AJ55" s="167"/>
      <c r="AK55"/>
      <c r="AL55" s="230">
        <f>(0.5*SUM(AP43:AP51))/AL54</f>
        <v>708.33532763532764</v>
      </c>
      <c r="AM55" s="8"/>
      <c r="AN55" s="8"/>
      <c r="AO55"/>
      <c r="AP55"/>
      <c r="AQ55"/>
      <c r="AR55" s="165" t="s">
        <v>131</v>
      </c>
      <c r="AS55" s="167"/>
      <c r="AT55" s="230">
        <f>(0.5*SUM(AY43:AY51))/AT54</f>
        <v>806.984375</v>
      </c>
      <c r="AU55" s="167"/>
      <c r="AV55"/>
      <c r="AW55" s="230">
        <f>(0.5*SUM(BA43:BA51))/AW54</f>
        <v>1203.2635327635328</v>
      </c>
      <c r="AX55" s="8"/>
      <c r="AY55" s="8"/>
      <c r="AZ55"/>
      <c r="BA55"/>
    </row>
    <row r="56" spans="1:53" ht="18" customHeight="1" x14ac:dyDescent="0.2">
      <c r="A56" s="13">
        <v>2011</v>
      </c>
      <c r="B56" s="13"/>
      <c r="C56" s="1"/>
      <c r="D56" s="1"/>
      <c r="E56" s="1"/>
      <c r="F56" s="1"/>
      <c r="G56" s="1"/>
      <c r="H56" s="1"/>
      <c r="I56" s="128">
        <v>212</v>
      </c>
      <c r="J56" s="128">
        <v>116</v>
      </c>
      <c r="K56" s="128">
        <v>0</v>
      </c>
      <c r="L56" s="1"/>
      <c r="M56" s="1"/>
      <c r="N56" s="128">
        <v>338</v>
      </c>
      <c r="O56" s="1"/>
      <c r="P56" s="1"/>
      <c r="Q56" s="1"/>
      <c r="R56" s="1"/>
      <c r="S56" s="1"/>
      <c r="T56" s="1"/>
      <c r="U56" s="1"/>
      <c r="V56" s="1"/>
      <c r="W56" s="13"/>
      <c r="X56" s="13">
        <v>450</v>
      </c>
      <c r="Y56" s="7" t="s">
        <v>9</v>
      </c>
      <c r="Z56" s="58"/>
      <c r="AA56" s="8">
        <f t="shared" si="8"/>
        <v>338</v>
      </c>
      <c r="AB56" s="72">
        <f t="shared" si="9"/>
        <v>1.331360946745562</v>
      </c>
      <c r="AC56" t="s">
        <v>341</v>
      </c>
      <c r="AD56">
        <v>745</v>
      </c>
      <c r="AE56">
        <v>745</v>
      </c>
      <c r="AF56">
        <v>0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ht="18" customHeight="1" x14ac:dyDescent="0.2">
      <c r="A57" s="13">
        <v>2012</v>
      </c>
      <c r="B57" s="13"/>
      <c r="C57" s="1"/>
      <c r="D57" s="1"/>
      <c r="E57" s="1"/>
      <c r="F57" s="1"/>
      <c r="G57" s="1"/>
      <c r="H57" s="128">
        <v>47</v>
      </c>
      <c r="I57" s="128">
        <v>60</v>
      </c>
      <c r="J57" s="128">
        <v>35</v>
      </c>
      <c r="K57" s="128">
        <v>0</v>
      </c>
      <c r="L57" s="1"/>
      <c r="M57" s="128">
        <v>0</v>
      </c>
      <c r="N57" s="104">
        <v>5</v>
      </c>
      <c r="O57" s="1"/>
      <c r="P57" s="128">
        <v>54</v>
      </c>
      <c r="Q57" s="1"/>
      <c r="R57" s="1"/>
      <c r="S57" s="1"/>
      <c r="T57" s="1"/>
      <c r="U57" s="1"/>
      <c r="V57" s="1"/>
      <c r="W57" s="13"/>
      <c r="X57" s="13">
        <v>297</v>
      </c>
      <c r="Y57" s="7" t="s">
        <v>5</v>
      </c>
      <c r="Z57" s="58">
        <v>35</v>
      </c>
      <c r="AA57" s="8">
        <f t="shared" si="8"/>
        <v>60</v>
      </c>
      <c r="AB57" s="72">
        <f t="shared" si="9"/>
        <v>4.95</v>
      </c>
      <c r="AC57" t="s">
        <v>339</v>
      </c>
      <c r="AD57">
        <v>297</v>
      </c>
      <c r="AE57">
        <v>306</v>
      </c>
      <c r="AF57">
        <v>9</v>
      </c>
      <c r="AG57" s="299" t="s">
        <v>9</v>
      </c>
      <c r="AH57"/>
      <c r="AI57" s="169">
        <v>500</v>
      </c>
      <c r="AJ57"/>
      <c r="AK57"/>
      <c r="AL57" s="169">
        <v>702</v>
      </c>
      <c r="AM57"/>
      <c r="AN57"/>
      <c r="AO57"/>
      <c r="AP57"/>
      <c r="AQ57"/>
      <c r="AR57" s="299" t="s">
        <v>9</v>
      </c>
      <c r="AS57"/>
      <c r="AT57" s="169">
        <v>500</v>
      </c>
      <c r="AU57"/>
      <c r="AV57"/>
      <c r="AW57" s="169">
        <v>702</v>
      </c>
      <c r="AX57"/>
      <c r="AY57"/>
      <c r="AZ57"/>
      <c r="BA57"/>
    </row>
    <row r="58" spans="1:53" ht="18" customHeight="1" x14ac:dyDescent="0.2">
      <c r="A58" s="13">
        <v>2013</v>
      </c>
      <c r="B58" s="13"/>
      <c r="C58" s="13"/>
      <c r="D58" s="13"/>
      <c r="E58" s="13"/>
      <c r="F58" s="13">
        <v>8</v>
      </c>
      <c r="G58" s="13"/>
      <c r="H58" s="13"/>
      <c r="I58" s="13">
        <v>48</v>
      </c>
      <c r="J58" s="13">
        <v>175</v>
      </c>
      <c r="K58" s="13">
        <v>340</v>
      </c>
      <c r="L58" s="13">
        <v>20</v>
      </c>
      <c r="M58" s="13"/>
      <c r="N58" s="13">
        <v>822</v>
      </c>
      <c r="O58" s="13">
        <v>322</v>
      </c>
      <c r="P58" s="13"/>
      <c r="Q58" s="13"/>
      <c r="R58" s="13"/>
      <c r="S58" s="13"/>
      <c r="T58" s="13"/>
      <c r="U58" s="13"/>
      <c r="V58" s="13"/>
      <c r="W58" s="13"/>
      <c r="X58" s="13">
        <v>1251</v>
      </c>
      <c r="Y58" s="7" t="s">
        <v>5</v>
      </c>
      <c r="Z58" s="58">
        <v>30</v>
      </c>
      <c r="AA58" s="8">
        <f t="shared" si="8"/>
        <v>822</v>
      </c>
      <c r="AB58" s="72">
        <f t="shared" si="9"/>
        <v>1.5218978102189782</v>
      </c>
      <c r="AC58" t="s">
        <v>337</v>
      </c>
      <c r="AD58">
        <v>1251</v>
      </c>
      <c r="AE58">
        <v>1362</v>
      </c>
      <c r="AF58">
        <v>111</v>
      </c>
      <c r="AG58" s="299" t="s">
        <v>250</v>
      </c>
      <c r="AH58"/>
      <c r="AI58" s="370">
        <v>32</v>
      </c>
      <c r="AJ58" s="371"/>
      <c r="AK58" s="371"/>
      <c r="AL58" s="370">
        <v>30</v>
      </c>
      <c r="AM58"/>
      <c r="AN58"/>
      <c r="AO58"/>
      <c r="AP58"/>
      <c r="AQ58"/>
      <c r="AR58" s="299" t="s">
        <v>250</v>
      </c>
      <c r="AS58"/>
      <c r="AT58" s="370">
        <v>32</v>
      </c>
      <c r="AU58" s="371"/>
      <c r="AV58" s="371"/>
      <c r="AW58" s="370">
        <v>30</v>
      </c>
      <c r="AX58"/>
      <c r="AY58"/>
      <c r="AZ58"/>
      <c r="BA58"/>
    </row>
    <row r="59" spans="1:53" ht="18" customHeight="1" x14ac:dyDescent="0.2">
      <c r="A59" s="13">
        <v>2014</v>
      </c>
      <c r="B59" s="13"/>
      <c r="C59" s="13"/>
      <c r="D59" s="13"/>
      <c r="E59" s="13"/>
      <c r="F59" s="13"/>
      <c r="G59" s="13"/>
      <c r="H59" s="192">
        <v>7</v>
      </c>
      <c r="I59" s="192">
        <v>22</v>
      </c>
      <c r="J59" s="192">
        <v>399</v>
      </c>
      <c r="K59" s="192">
        <v>932</v>
      </c>
      <c r="L59" s="13"/>
      <c r="M59" s="13"/>
      <c r="N59" s="13"/>
      <c r="O59" s="192">
        <v>2</v>
      </c>
      <c r="P59" s="192">
        <v>0</v>
      </c>
      <c r="Q59" s="13"/>
      <c r="R59" s="13"/>
      <c r="S59" s="13"/>
      <c r="T59" s="13"/>
      <c r="U59" s="13"/>
      <c r="V59" s="13"/>
      <c r="W59" s="13"/>
      <c r="X59" s="13">
        <v>1618</v>
      </c>
      <c r="Y59" s="7" t="s">
        <v>5</v>
      </c>
      <c r="Z59" s="58">
        <v>30</v>
      </c>
      <c r="AA59" s="8">
        <f t="shared" si="8"/>
        <v>932</v>
      </c>
      <c r="AB59" s="72">
        <f t="shared" si="9"/>
        <v>1.7360515021459229</v>
      </c>
      <c r="AC59" t="s">
        <v>337</v>
      </c>
      <c r="AD59">
        <v>1618</v>
      </c>
      <c r="AE59">
        <v>1731</v>
      </c>
      <c r="AF59">
        <v>113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3" ht="18" customHeight="1" x14ac:dyDescent="0.2">
      <c r="A60" s="13">
        <v>2015</v>
      </c>
      <c r="B60" s="13"/>
      <c r="C60" s="13"/>
      <c r="D60" s="13"/>
      <c r="E60" s="13"/>
      <c r="F60" s="13"/>
      <c r="G60" s="13"/>
      <c r="H60" s="123">
        <v>333</v>
      </c>
      <c r="I60" s="123">
        <v>15</v>
      </c>
      <c r="J60" s="123">
        <v>95</v>
      </c>
      <c r="K60" s="1"/>
      <c r="L60" s="123">
        <v>26</v>
      </c>
      <c r="M60" s="123">
        <v>123</v>
      </c>
      <c r="N60" s="355">
        <v>352</v>
      </c>
      <c r="O60" s="355">
        <v>35</v>
      </c>
      <c r="P60" s="13"/>
      <c r="Q60" s="13"/>
      <c r="R60" s="13"/>
      <c r="S60" s="13"/>
      <c r="T60" s="13"/>
      <c r="U60" s="13"/>
      <c r="V60" s="13"/>
      <c r="W60" s="13"/>
      <c r="X60" s="13">
        <v>470</v>
      </c>
      <c r="Y60" s="7" t="s">
        <v>5</v>
      </c>
      <c r="Z60" s="58">
        <v>25</v>
      </c>
      <c r="AA60" s="8">
        <f t="shared" si="8"/>
        <v>352</v>
      </c>
      <c r="AB60" s="72">
        <f t="shared" si="9"/>
        <v>1.3352272727272727</v>
      </c>
      <c r="AC60" t="s">
        <v>337</v>
      </c>
      <c r="AD60">
        <v>470</v>
      </c>
      <c r="AE60">
        <v>516</v>
      </c>
      <c r="AF60">
        <v>46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3" ht="18" customHeight="1" x14ac:dyDescent="0.2">
      <c r="A61" s="13">
        <v>2016</v>
      </c>
      <c r="B61" s="13"/>
      <c r="C61" s="13"/>
      <c r="D61" s="13"/>
      <c r="E61" s="13"/>
      <c r="F61" s="13"/>
      <c r="G61" s="123">
        <v>15</v>
      </c>
      <c r="H61" s="123">
        <v>49</v>
      </c>
      <c r="I61" s="123">
        <v>373</v>
      </c>
      <c r="J61" s="123">
        <v>494</v>
      </c>
      <c r="K61" s="13"/>
      <c r="L61" s="123">
        <v>459</v>
      </c>
      <c r="M61" s="13"/>
      <c r="N61" s="13"/>
      <c r="O61" s="123">
        <v>3</v>
      </c>
      <c r="P61" s="13"/>
      <c r="Q61" s="123">
        <v>25</v>
      </c>
      <c r="R61" s="13"/>
      <c r="S61" s="13"/>
      <c r="T61" s="13"/>
      <c r="U61" s="13"/>
      <c r="V61" s="13"/>
      <c r="W61" s="13"/>
      <c r="X61" s="13">
        <v>1247</v>
      </c>
      <c r="Y61" s="7" t="s">
        <v>5</v>
      </c>
      <c r="Z61" s="58">
        <v>25</v>
      </c>
      <c r="AA61" s="8">
        <f>MAX(B61:W61)</f>
        <v>494</v>
      </c>
      <c r="AB61" s="72">
        <f>X61/AA61</f>
        <v>2.5242914979757085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3" ht="18" customHeight="1" x14ac:dyDescent="0.2">
      <c r="A62" s="13">
        <v>2017</v>
      </c>
      <c r="B62" s="13"/>
      <c r="C62" s="13"/>
      <c r="D62" s="13"/>
      <c r="E62" s="13"/>
      <c r="F62" s="13"/>
      <c r="G62" s="124">
        <v>4</v>
      </c>
      <c r="H62" s="124">
        <v>7</v>
      </c>
      <c r="I62" s="124">
        <v>26</v>
      </c>
      <c r="J62" s="124">
        <v>33</v>
      </c>
      <c r="K62" s="124">
        <v>180</v>
      </c>
      <c r="L62" s="13"/>
      <c r="M62" s="475">
        <v>10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>
        <v>225</v>
      </c>
      <c r="Y62" s="7"/>
      <c r="Z62" s="58"/>
      <c r="AA62" s="8">
        <f>MAX(B62:W62)</f>
        <v>180</v>
      </c>
      <c r="AB62" s="72">
        <f>X62/AA62</f>
        <v>1.25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3" ht="18" customHeight="1" x14ac:dyDescent="0.2">
      <c r="A63" s="13">
        <v>2018</v>
      </c>
      <c r="B63" s="13"/>
      <c r="C63" s="13"/>
      <c r="D63" s="13"/>
      <c r="E63" s="13"/>
      <c r="F63" s="13"/>
      <c r="G63" s="124">
        <v>60</v>
      </c>
      <c r="H63" s="13"/>
      <c r="I63" s="124">
        <v>147</v>
      </c>
      <c r="J63" s="13"/>
      <c r="K63" s="124">
        <v>116</v>
      </c>
      <c r="L63" s="538">
        <v>100</v>
      </c>
      <c r="M63" s="538">
        <v>172</v>
      </c>
      <c r="N63" s="474">
        <v>42</v>
      </c>
      <c r="O63" s="474">
        <v>4</v>
      </c>
      <c r="P63" s="13"/>
      <c r="Q63" s="13"/>
      <c r="R63" s="13"/>
      <c r="S63" s="13"/>
      <c r="T63" s="13"/>
      <c r="U63" s="13"/>
      <c r="V63" s="13"/>
      <c r="W63" s="13"/>
      <c r="X63" s="13">
        <v>267</v>
      </c>
      <c r="Y63" s="7"/>
      <c r="Z63" s="58">
        <v>30</v>
      </c>
      <c r="AA63" s="8">
        <f>MAX(B63:W63)</f>
        <v>172</v>
      </c>
      <c r="AB63" s="72">
        <f>X63/AA63</f>
        <v>1.5523255813953489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3" ht="18" customHeight="1" x14ac:dyDescent="0.2">
      <c r="A64" s="13">
        <v>2019</v>
      </c>
      <c r="B64" s="13"/>
      <c r="C64" s="13"/>
      <c r="D64" s="110">
        <v>0</v>
      </c>
      <c r="E64" s="110">
        <v>0</v>
      </c>
      <c r="F64" s="123">
        <v>66</v>
      </c>
      <c r="G64" s="123">
        <v>60</v>
      </c>
      <c r="H64" s="13"/>
      <c r="I64" s="123">
        <v>35</v>
      </c>
      <c r="J64" s="123">
        <v>93</v>
      </c>
      <c r="K64" s="475">
        <v>10</v>
      </c>
      <c r="L64" s="565">
        <v>132</v>
      </c>
      <c r="M64" s="475">
        <v>2</v>
      </c>
      <c r="N64" s="565">
        <v>81</v>
      </c>
      <c r="O64" s="565">
        <v>102</v>
      </c>
      <c r="P64" s="13"/>
      <c r="Q64" s="13"/>
      <c r="R64" s="13"/>
      <c r="S64" s="13"/>
      <c r="T64" s="13"/>
      <c r="U64" s="13"/>
      <c r="V64" s="13"/>
      <c r="W64" s="13"/>
      <c r="X64" s="13">
        <v>224</v>
      </c>
      <c r="Y64" s="7" t="s">
        <v>5</v>
      </c>
      <c r="Z64" s="58">
        <v>30</v>
      </c>
      <c r="AA64" s="8">
        <f>MAX(B64:W64)</f>
        <v>132</v>
      </c>
      <c r="AB64" s="72">
        <f>X64/AA64</f>
        <v>1.696969696969697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ht="18" customHeight="1" x14ac:dyDescent="0.2">
      <c r="A65" s="13">
        <v>2020</v>
      </c>
      <c r="B65" s="13"/>
      <c r="C65" s="13"/>
      <c r="D65" s="13"/>
      <c r="E65" s="13"/>
      <c r="F65" s="13"/>
      <c r="G65" s="109">
        <v>0</v>
      </c>
      <c r="H65" s="109">
        <v>0</v>
      </c>
      <c r="I65" s="109">
        <v>125</v>
      </c>
      <c r="J65" s="338">
        <v>105</v>
      </c>
      <c r="K65" s="109">
        <v>196</v>
      </c>
      <c r="L65" s="109">
        <v>185</v>
      </c>
      <c r="M65" s="590">
        <v>101</v>
      </c>
      <c r="N65" s="338">
        <v>94</v>
      </c>
      <c r="O65" s="13"/>
      <c r="P65" s="13"/>
      <c r="Q65" s="13"/>
      <c r="R65" s="13"/>
      <c r="S65" s="13"/>
      <c r="T65" s="13"/>
      <c r="U65" s="13"/>
      <c r="V65" s="13"/>
      <c r="W65" s="13"/>
      <c r="X65" s="13">
        <v>237</v>
      </c>
      <c r="Y65" s="7"/>
      <c r="Z65" s="58"/>
      <c r="AA65" s="8">
        <f t="shared" ref="AA65:AA67" si="16">MAX(B65:W65)</f>
        <v>196</v>
      </c>
      <c r="AB65" s="72">
        <f t="shared" ref="AB65:AB67" si="17">X65/AA65</f>
        <v>1.2091836734693877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150" customFormat="1" ht="18" customHeight="1" x14ac:dyDescent="0.2">
      <c r="A66" s="89">
        <v>2021</v>
      </c>
      <c r="B66" s="89"/>
      <c r="C66" s="89"/>
      <c r="D66" s="770">
        <v>0</v>
      </c>
      <c r="E66" s="770">
        <v>0</v>
      </c>
      <c r="F66" s="770">
        <v>0</v>
      </c>
      <c r="G66" s="770">
        <v>6</v>
      </c>
      <c r="H66" s="106">
        <v>0</v>
      </c>
      <c r="I66" s="109">
        <v>28</v>
      </c>
      <c r="J66" s="735"/>
      <c r="K66" s="447">
        <v>17</v>
      </c>
      <c r="L66" s="686">
        <v>174</v>
      </c>
      <c r="M66" s="685">
        <v>30</v>
      </c>
      <c r="N66" s="735"/>
      <c r="O66" s="590">
        <v>204</v>
      </c>
      <c r="P66" s="89"/>
      <c r="Q66" s="89"/>
      <c r="R66" s="89"/>
      <c r="S66" s="89"/>
      <c r="T66" s="89"/>
      <c r="U66" s="89"/>
      <c r="V66" s="89"/>
      <c r="W66" s="89"/>
      <c r="X66" s="89">
        <v>145</v>
      </c>
      <c r="Y66" s="11"/>
      <c r="Z66" s="92"/>
      <c r="AA66" s="8">
        <f t="shared" si="16"/>
        <v>204</v>
      </c>
      <c r="AB66" s="72">
        <f t="shared" si="17"/>
        <v>0.71078431372549022</v>
      </c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</row>
    <row r="67" spans="1:50" s="150" customFormat="1" ht="18" customHeight="1" x14ac:dyDescent="0.2">
      <c r="A67" s="89">
        <v>2022</v>
      </c>
      <c r="B67" s="89"/>
      <c r="C67" s="89"/>
      <c r="D67" s="105">
        <v>0</v>
      </c>
      <c r="E67" s="105">
        <v>0</v>
      </c>
      <c r="F67" s="106">
        <v>0</v>
      </c>
      <c r="G67" s="106">
        <v>10</v>
      </c>
      <c r="H67" s="106">
        <v>23</v>
      </c>
      <c r="I67" s="109">
        <v>30</v>
      </c>
      <c r="J67" s="437">
        <v>20</v>
      </c>
      <c r="K67" s="589">
        <v>0</v>
      </c>
      <c r="L67" s="846"/>
      <c r="M67" s="589">
        <v>148</v>
      </c>
      <c r="N67" s="447">
        <v>0</v>
      </c>
      <c r="O67" s="447">
        <v>0</v>
      </c>
      <c r="P67" s="155">
        <v>92</v>
      </c>
      <c r="Q67" s="89"/>
      <c r="R67" s="89"/>
      <c r="S67" s="89"/>
      <c r="T67" s="89"/>
      <c r="U67" s="89"/>
      <c r="V67" s="89"/>
      <c r="W67" s="89"/>
      <c r="X67" s="89">
        <v>231</v>
      </c>
      <c r="Y67" s="11"/>
      <c r="Z67" s="92"/>
      <c r="AA67" s="8">
        <f t="shared" si="16"/>
        <v>148</v>
      </c>
      <c r="AB67" s="72">
        <f t="shared" si="17"/>
        <v>1.5608108108108107</v>
      </c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</row>
    <row r="68" spans="1:50" s="150" customFormat="1" ht="18" customHeight="1" x14ac:dyDescent="0.2">
      <c r="A68" s="89">
        <v>2023</v>
      </c>
      <c r="B68" s="89"/>
      <c r="C68" s="89"/>
      <c r="D68" s="109">
        <v>0</v>
      </c>
      <c r="E68" s="109">
        <v>0</v>
      </c>
      <c r="F68" s="109">
        <v>0</v>
      </c>
      <c r="G68" s="109">
        <v>0</v>
      </c>
      <c r="H68" s="109">
        <v>0</v>
      </c>
      <c r="I68" s="109">
        <v>0</v>
      </c>
      <c r="J68" s="109">
        <v>375</v>
      </c>
      <c r="K68" s="109">
        <v>22</v>
      </c>
      <c r="L68" s="89"/>
      <c r="M68" s="685">
        <v>0</v>
      </c>
      <c r="N68" s="685">
        <v>0</v>
      </c>
      <c r="O68" s="685">
        <v>0</v>
      </c>
      <c r="P68" s="109">
        <v>0</v>
      </c>
      <c r="Q68" s="89"/>
      <c r="R68" s="89"/>
      <c r="S68" s="89"/>
      <c r="T68" s="89"/>
      <c r="U68" s="89"/>
      <c r="V68" s="89"/>
      <c r="W68" s="89"/>
      <c r="X68" s="89"/>
      <c r="Y68" s="11"/>
      <c r="Z68" s="92"/>
      <c r="AA68" s="94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</row>
    <row r="69" spans="1:50" s="52" customFormat="1" ht="18" customHeight="1" x14ac:dyDescent="0.2">
      <c r="A69" s="64" t="s">
        <v>17</v>
      </c>
      <c r="B69" s="16"/>
      <c r="C69" s="16">
        <f>AVERAGE(C40:C54)</f>
        <v>0</v>
      </c>
      <c r="D69" s="16">
        <f>AVERAGE(D40:D54)</f>
        <v>0</v>
      </c>
      <c r="E69" s="16"/>
      <c r="F69" s="16">
        <f t="shared" ref="F69:S69" si="18">AVERAGE(F40:F54)</f>
        <v>1.5</v>
      </c>
      <c r="G69" s="16">
        <f t="shared" si="18"/>
        <v>16.666666666666668</v>
      </c>
      <c r="H69" s="16">
        <f t="shared" si="18"/>
        <v>9.7777777777777786</v>
      </c>
      <c r="I69" s="16">
        <f t="shared" si="18"/>
        <v>65.083333333333329</v>
      </c>
      <c r="J69" s="16">
        <f t="shared" si="18"/>
        <v>178.36363636363637</v>
      </c>
      <c r="K69" s="16">
        <f t="shared" si="18"/>
        <v>77.555555555555557</v>
      </c>
      <c r="L69" s="16">
        <f t="shared" si="18"/>
        <v>233.30769230769232</v>
      </c>
      <c r="M69" s="16">
        <f t="shared" si="18"/>
        <v>61.18181818181818</v>
      </c>
      <c r="N69" s="16">
        <f t="shared" si="18"/>
        <v>309.3</v>
      </c>
      <c r="O69" s="16">
        <f t="shared" si="18"/>
        <v>73.666666666666671</v>
      </c>
      <c r="P69" s="16">
        <f t="shared" si="18"/>
        <v>27</v>
      </c>
      <c r="Q69" s="16">
        <f t="shared" si="18"/>
        <v>90.333333333333329</v>
      </c>
      <c r="R69" s="16">
        <f t="shared" si="18"/>
        <v>286</v>
      </c>
      <c r="S69" s="16">
        <f t="shared" si="18"/>
        <v>70</v>
      </c>
      <c r="T69" s="16"/>
      <c r="U69" s="16"/>
      <c r="V69" s="16">
        <f>AVERAGE(V40:V54)</f>
        <v>2</v>
      </c>
      <c r="W69" s="16"/>
      <c r="X69" s="16">
        <f>AVERAGE(X40:X54)</f>
        <v>558.07142857142856</v>
      </c>
      <c r="Y69" s="16"/>
      <c r="Z69" s="16">
        <f>AVERAGE(Z40:Z54)</f>
        <v>23.636363636363637</v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1:50" ht="18" customHeight="1" x14ac:dyDescent="0.2">
      <c r="A71" s="1002" t="s">
        <v>455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1:50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spans="1:50" ht="18" customHeight="1" thickTop="1" x14ac:dyDescent="0.2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  <c r="AB73"/>
      <c r="AC73" t="s">
        <v>334</v>
      </c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 ht="18" customHeight="1" x14ac:dyDescent="0.25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A74" s="68" t="s">
        <v>141</v>
      </c>
      <c r="AB74" t="s">
        <v>63</v>
      </c>
      <c r="AC74" s="2" t="s">
        <v>335</v>
      </c>
      <c r="AD74" t="s">
        <v>340</v>
      </c>
      <c r="AE74" s="2" t="s">
        <v>151</v>
      </c>
      <c r="AF74" t="s">
        <v>234</v>
      </c>
      <c r="AG74" s="350" t="s">
        <v>117</v>
      </c>
      <c r="AH74" s="350" t="s">
        <v>118</v>
      </c>
      <c r="AI74" s="352" t="s">
        <v>119</v>
      </c>
      <c r="AJ74"/>
      <c r="AK74" s="352" t="s">
        <v>120</v>
      </c>
      <c r="AL74" s="352"/>
      <c r="AM74"/>
      <c r="AN74" s="160" t="s">
        <v>121</v>
      </c>
      <c r="AO74"/>
      <c r="AP74" s="161" t="s">
        <v>122</v>
      </c>
      <c r="AQ74"/>
      <c r="AR74"/>
      <c r="AS74"/>
      <c r="AT74"/>
      <c r="AU74"/>
      <c r="AV74"/>
      <c r="AW74"/>
      <c r="AX74"/>
    </row>
    <row r="75" spans="1:50" ht="18" customHeight="1" x14ac:dyDescent="0.2">
      <c r="A75" s="1">
        <v>1995</v>
      </c>
      <c r="B75" s="6"/>
      <c r="C75" s="6"/>
      <c r="D75" s="6"/>
      <c r="E75" s="6"/>
      <c r="F75" s="6"/>
      <c r="G75" s="114">
        <v>0</v>
      </c>
      <c r="H75" s="111">
        <v>0</v>
      </c>
      <c r="I75" s="111">
        <v>3</v>
      </c>
      <c r="J75" s="111">
        <v>158</v>
      </c>
      <c r="K75" s="6"/>
      <c r="L75" s="113">
        <v>976</v>
      </c>
      <c r="M75" s="6"/>
      <c r="N75" s="305">
        <v>3145</v>
      </c>
      <c r="O75" s="111">
        <v>132</v>
      </c>
      <c r="P75" s="6"/>
      <c r="Q75" s="6"/>
      <c r="R75" s="6"/>
      <c r="S75" s="113">
        <v>22</v>
      </c>
      <c r="T75" s="1"/>
      <c r="U75" s="1"/>
      <c r="V75" s="1"/>
      <c r="W75" s="13"/>
      <c r="X75" s="142">
        <v>3721</v>
      </c>
      <c r="Y75" s="7" t="s">
        <v>5</v>
      </c>
      <c r="Z75" s="10">
        <v>14.5</v>
      </c>
      <c r="AA75" s="8">
        <f>MAX(B75:W75)</f>
        <v>3145</v>
      </c>
      <c r="AB75" s="72">
        <f>X75/AA75</f>
        <v>1.1831478537360891</v>
      </c>
      <c r="AC75" t="s">
        <v>338</v>
      </c>
      <c r="AD75">
        <v>3721</v>
      </c>
      <c r="AE75"/>
      <c r="AF75"/>
      <c r="AG75" s="351"/>
      <c r="AH75" s="351"/>
      <c r="AI75" s="351" t="s">
        <v>146</v>
      </c>
      <c r="AJ75"/>
      <c r="AK75" s="163" t="s">
        <v>148</v>
      </c>
      <c r="AL75" s="163" t="s">
        <v>147</v>
      </c>
      <c r="AM75"/>
      <c r="AN75" s="164"/>
      <c r="AO75"/>
      <c r="AP75" s="164"/>
      <c r="AQ75"/>
      <c r="AR75"/>
      <c r="AS75"/>
      <c r="AT75"/>
      <c r="AU75"/>
      <c r="AV75"/>
      <c r="AW75"/>
      <c r="AX75"/>
    </row>
    <row r="76" spans="1:50" ht="18" customHeight="1" x14ac:dyDescent="0.2">
      <c r="A76" s="1">
        <v>1996</v>
      </c>
      <c r="B76" s="6"/>
      <c r="C76" s="6"/>
      <c r="D76" s="111">
        <v>0</v>
      </c>
      <c r="E76" s="6"/>
      <c r="F76" s="6"/>
      <c r="G76" s="111">
        <v>1</v>
      </c>
      <c r="H76" s="6"/>
      <c r="I76" s="111">
        <v>8</v>
      </c>
      <c r="J76" s="111">
        <v>4</v>
      </c>
      <c r="K76" s="113">
        <v>60</v>
      </c>
      <c r="L76" s="113">
        <v>150</v>
      </c>
      <c r="M76" s="111">
        <v>2209</v>
      </c>
      <c r="N76" s="314">
        <v>4387</v>
      </c>
      <c r="O76" s="113">
        <v>2200</v>
      </c>
      <c r="P76" s="113">
        <v>70</v>
      </c>
      <c r="Q76" s="111">
        <v>199</v>
      </c>
      <c r="R76" s="6"/>
      <c r="S76" s="6"/>
      <c r="T76" s="1"/>
      <c r="U76" s="1"/>
      <c r="V76" s="1"/>
      <c r="W76" s="13"/>
      <c r="X76" s="142">
        <v>8473</v>
      </c>
      <c r="Y76" s="7" t="s">
        <v>5</v>
      </c>
      <c r="Z76" s="10">
        <v>20</v>
      </c>
      <c r="AA76" s="8">
        <f t="shared" ref="AA76:AA97" si="19">MAX(B76:W76)</f>
        <v>4387</v>
      </c>
      <c r="AB76" s="72">
        <f t="shared" ref="AB76:AB97" si="20">X76/AA76</f>
        <v>1.9313881923865968</v>
      </c>
      <c r="AC76" t="s">
        <v>338</v>
      </c>
      <c r="AD76">
        <v>8473</v>
      </c>
      <c r="AE76"/>
      <c r="AF76"/>
      <c r="AG76" s="165"/>
      <c r="AH76" s="166"/>
      <c r="AI76" s="167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:50" ht="18" customHeight="1" x14ac:dyDescent="0.2">
      <c r="A77" s="1">
        <v>1997</v>
      </c>
      <c r="B77" s="6"/>
      <c r="C77" s="111">
        <v>1</v>
      </c>
      <c r="D77" s="6"/>
      <c r="E77" s="6"/>
      <c r="F77" s="111">
        <v>6</v>
      </c>
      <c r="G77" s="111">
        <v>10</v>
      </c>
      <c r="H77" s="111">
        <v>0</v>
      </c>
      <c r="I77" s="111">
        <v>38</v>
      </c>
      <c r="J77" s="6"/>
      <c r="K77" s="6"/>
      <c r="L77" s="6"/>
      <c r="M77" s="314">
        <v>5948</v>
      </c>
      <c r="N77" s="113">
        <v>2000</v>
      </c>
      <c r="O77" s="113">
        <v>500</v>
      </c>
      <c r="P77" s="111">
        <v>4292</v>
      </c>
      <c r="Q77" s="111">
        <v>434</v>
      </c>
      <c r="R77" s="6"/>
      <c r="S77" s="6"/>
      <c r="T77" s="1"/>
      <c r="U77" s="1"/>
      <c r="V77" s="1"/>
      <c r="W77" s="13"/>
      <c r="X77" s="142">
        <v>14411</v>
      </c>
      <c r="Y77" s="7" t="s">
        <v>5</v>
      </c>
      <c r="Z77" s="10">
        <v>15</v>
      </c>
      <c r="AA77" s="8">
        <f t="shared" si="19"/>
        <v>5948</v>
      </c>
      <c r="AB77" s="72">
        <f t="shared" si="20"/>
        <v>2.4228312037659716</v>
      </c>
      <c r="AC77" t="s">
        <v>338</v>
      </c>
      <c r="AD77">
        <v>14411</v>
      </c>
      <c r="AE77"/>
      <c r="AF77"/>
      <c r="AG77" s="165" t="s">
        <v>24</v>
      </c>
      <c r="AH77" s="166"/>
      <c r="AI77" s="16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:50" ht="18" customHeight="1" x14ac:dyDescent="0.2">
      <c r="A78" s="1">
        <v>1998</v>
      </c>
      <c r="B78" s="6"/>
      <c r="C78" s="6"/>
      <c r="D78" s="111">
        <v>0</v>
      </c>
      <c r="E78" s="6"/>
      <c r="F78" s="6"/>
      <c r="G78" s="113">
        <v>0</v>
      </c>
      <c r="H78" s="125">
        <v>0</v>
      </c>
      <c r="I78" s="6"/>
      <c r="J78" s="111">
        <v>1</v>
      </c>
      <c r="K78" s="111">
        <v>3250</v>
      </c>
      <c r="L78" s="127">
        <v>650</v>
      </c>
      <c r="M78" s="111">
        <v>6159</v>
      </c>
      <c r="N78" s="313">
        <v>14600</v>
      </c>
      <c r="O78" s="113">
        <v>3700</v>
      </c>
      <c r="P78" s="113">
        <v>4500</v>
      </c>
      <c r="Q78" s="6"/>
      <c r="R78" s="6"/>
      <c r="S78" s="6"/>
      <c r="T78" s="1"/>
      <c r="U78" s="1"/>
      <c r="V78" s="128">
        <v>0</v>
      </c>
      <c r="W78" s="13"/>
      <c r="X78" s="142">
        <v>31566</v>
      </c>
      <c r="Y78" s="7" t="s">
        <v>5</v>
      </c>
      <c r="Z78" s="10">
        <v>15</v>
      </c>
      <c r="AA78" s="8">
        <f t="shared" si="19"/>
        <v>14600</v>
      </c>
      <c r="AB78" s="72">
        <f t="shared" si="20"/>
        <v>2.1620547945205479</v>
      </c>
      <c r="AC78" t="s">
        <v>338</v>
      </c>
      <c r="AD78">
        <v>31566</v>
      </c>
      <c r="AE78"/>
      <c r="AF78"/>
      <c r="AG78" s="165" t="s">
        <v>127</v>
      </c>
      <c r="AH78" s="229">
        <v>42614</v>
      </c>
      <c r="AI78" s="167"/>
      <c r="AJ78"/>
      <c r="AK78"/>
      <c r="AL78" s="169">
        <v>0</v>
      </c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ht="18" customHeight="1" x14ac:dyDescent="0.2">
      <c r="A79" s="1">
        <v>1999</v>
      </c>
      <c r="B79" s="6"/>
      <c r="C79" s="6"/>
      <c r="D79" s="6"/>
      <c r="E79" s="6"/>
      <c r="F79" s="6"/>
      <c r="G79" s="6"/>
      <c r="H79" s="111">
        <v>0</v>
      </c>
      <c r="I79" s="97"/>
      <c r="J79" s="114">
        <v>500</v>
      </c>
      <c r="K79" s="111">
        <v>219</v>
      </c>
      <c r="L79" s="114">
        <v>1500</v>
      </c>
      <c r="M79" s="314">
        <v>4162</v>
      </c>
      <c r="N79" s="6"/>
      <c r="O79" s="6"/>
      <c r="P79" s="6"/>
      <c r="Q79" s="6"/>
      <c r="R79" s="6"/>
      <c r="S79" s="6"/>
      <c r="T79" s="1"/>
      <c r="U79" s="1"/>
      <c r="V79" s="1"/>
      <c r="W79" s="13"/>
      <c r="X79" s="142">
        <v>11896</v>
      </c>
      <c r="Y79" s="9" t="s">
        <v>7</v>
      </c>
      <c r="AA79" s="8">
        <f t="shared" si="19"/>
        <v>4162</v>
      </c>
      <c r="AB79" s="72">
        <f t="shared" si="20"/>
        <v>2.8582412301777991</v>
      </c>
      <c r="AC79" t="s">
        <v>338</v>
      </c>
      <c r="AD79">
        <v>11896</v>
      </c>
      <c r="AE79"/>
      <c r="AF79"/>
      <c r="AG79" s="165"/>
      <c r="AH79" s="229">
        <v>42620</v>
      </c>
      <c r="AI79" s="170">
        <v>2</v>
      </c>
      <c r="AJ79"/>
      <c r="AK79" s="171">
        <v>0.9</v>
      </c>
      <c r="AL79" s="172">
        <f t="shared" ref="AL79:AL86" si="21">AI79/AK79</f>
        <v>2.2222222222222223</v>
      </c>
      <c r="AM79"/>
      <c r="AN79" s="172">
        <f t="shared" ref="AN79:AN87" si="22">(AH79-AH78)*(AI79+AI78)</f>
        <v>12</v>
      </c>
      <c r="AO79"/>
      <c r="AP79" s="172">
        <f t="shared" ref="AP79:AP87" si="23">(AH79-AH78)*(AL79+AL78)</f>
        <v>13.333333333333334</v>
      </c>
      <c r="AQ79"/>
      <c r="AR79"/>
      <c r="AS79"/>
      <c r="AT79"/>
      <c r="AU79"/>
      <c r="AV79"/>
      <c r="AW79"/>
      <c r="AX79"/>
    </row>
    <row r="80" spans="1:50" ht="18" customHeight="1" x14ac:dyDescent="0.2">
      <c r="A80" s="1">
        <v>2000</v>
      </c>
      <c r="B80" s="6"/>
      <c r="C80" s="6"/>
      <c r="D80" s="6"/>
      <c r="E80" s="6"/>
      <c r="F80" s="6"/>
      <c r="G80" s="6"/>
      <c r="H80" s="6"/>
      <c r="I80" s="111">
        <v>1</v>
      </c>
      <c r="J80" s="6"/>
      <c r="K80" s="111">
        <v>890</v>
      </c>
      <c r="L80" s="111">
        <v>458</v>
      </c>
      <c r="M80" s="306">
        <v>1200</v>
      </c>
      <c r="N80" s="6"/>
      <c r="O80" s="6"/>
      <c r="P80" s="111">
        <v>340</v>
      </c>
      <c r="Q80" s="111">
        <v>129</v>
      </c>
      <c r="R80" s="6"/>
      <c r="S80" s="6"/>
      <c r="T80" s="1"/>
      <c r="U80" s="1"/>
      <c r="V80" s="1"/>
      <c r="W80" s="13"/>
      <c r="X80" s="142">
        <v>3266</v>
      </c>
      <c r="Y80" s="10" t="s">
        <v>7</v>
      </c>
      <c r="AA80" s="8">
        <f t="shared" si="19"/>
        <v>1200</v>
      </c>
      <c r="AB80" s="72">
        <f t="shared" si="20"/>
        <v>2.7216666666666667</v>
      </c>
      <c r="AC80" t="s">
        <v>338</v>
      </c>
      <c r="AD80">
        <v>3266</v>
      </c>
      <c r="AE80"/>
      <c r="AF80"/>
      <c r="AG80" s="165"/>
      <c r="AH80" s="229">
        <v>42628</v>
      </c>
      <c r="AI80" s="170">
        <v>1</v>
      </c>
      <c r="AJ80"/>
      <c r="AK80" s="171">
        <v>0.9</v>
      </c>
      <c r="AL80" s="172">
        <f t="shared" si="21"/>
        <v>1.1111111111111112</v>
      </c>
      <c r="AM80"/>
      <c r="AN80" s="172">
        <f t="shared" si="22"/>
        <v>24</v>
      </c>
      <c r="AO80"/>
      <c r="AP80" s="172">
        <f t="shared" si="23"/>
        <v>26.666666666666668</v>
      </c>
      <c r="AQ80"/>
      <c r="AR80"/>
      <c r="AS80"/>
      <c r="AT80"/>
      <c r="AU80"/>
      <c r="AV80"/>
      <c r="AW80"/>
      <c r="AX80"/>
    </row>
    <row r="81" spans="1:50" ht="18" customHeight="1" x14ac:dyDescent="0.2">
      <c r="A81" s="1">
        <v>2001</v>
      </c>
      <c r="B81" s="6"/>
      <c r="C81" s="6"/>
      <c r="D81" s="6"/>
      <c r="E81" s="6"/>
      <c r="F81" s="6"/>
      <c r="G81" s="6"/>
      <c r="H81" s="111">
        <v>0</v>
      </c>
      <c r="I81" s="111">
        <v>4</v>
      </c>
      <c r="J81" s="111">
        <v>99</v>
      </c>
      <c r="K81" s="113">
        <v>175</v>
      </c>
      <c r="L81" s="111">
        <v>1205</v>
      </c>
      <c r="M81" s="6"/>
      <c r="N81" s="313">
        <v>3300</v>
      </c>
      <c r="O81" s="111">
        <v>1021</v>
      </c>
      <c r="P81" s="6"/>
      <c r="Q81" s="6"/>
      <c r="R81" s="111">
        <v>47</v>
      </c>
      <c r="S81" s="6"/>
      <c r="T81" s="1"/>
      <c r="U81" s="1"/>
      <c r="V81" s="1"/>
      <c r="W81" s="13"/>
      <c r="X81" s="142">
        <v>5321</v>
      </c>
      <c r="Y81" s="20" t="s">
        <v>8</v>
      </c>
      <c r="AA81" s="8">
        <f t="shared" si="19"/>
        <v>3300</v>
      </c>
      <c r="AB81" s="72">
        <f t="shared" si="20"/>
        <v>1.6124242424242423</v>
      </c>
      <c r="AC81" t="s">
        <v>338</v>
      </c>
      <c r="AD81">
        <v>5321</v>
      </c>
      <c r="AE81"/>
      <c r="AF81"/>
      <c r="AG81" s="173"/>
      <c r="AH81" s="229">
        <v>42634</v>
      </c>
      <c r="AI81" s="170">
        <v>43</v>
      </c>
      <c r="AJ81"/>
      <c r="AK81" s="171">
        <v>0.9</v>
      </c>
      <c r="AL81" s="172">
        <f t="shared" si="21"/>
        <v>47.777777777777779</v>
      </c>
      <c r="AM81"/>
      <c r="AN81" s="172">
        <f t="shared" si="22"/>
        <v>264</v>
      </c>
      <c r="AO81"/>
      <c r="AP81" s="172">
        <f t="shared" si="23"/>
        <v>293.33333333333337</v>
      </c>
      <c r="AQ81"/>
      <c r="AR81"/>
      <c r="AS81"/>
      <c r="AT81"/>
      <c r="AU81"/>
      <c r="AV81"/>
      <c r="AW81"/>
      <c r="AX81"/>
    </row>
    <row r="82" spans="1:50" ht="18" customHeight="1" x14ac:dyDescent="0.2">
      <c r="A82" s="1">
        <v>2002</v>
      </c>
      <c r="B82" s="6"/>
      <c r="C82" s="6"/>
      <c r="D82" s="6"/>
      <c r="E82" s="6"/>
      <c r="F82" s="6"/>
      <c r="G82" s="132">
        <v>1</v>
      </c>
      <c r="H82" s="131"/>
      <c r="I82" s="132">
        <v>41</v>
      </c>
      <c r="J82" s="132">
        <v>9</v>
      </c>
      <c r="K82" s="133">
        <v>250</v>
      </c>
      <c r="L82" s="137">
        <v>4000</v>
      </c>
      <c r="M82" s="137">
        <v>20000</v>
      </c>
      <c r="N82" s="138">
        <v>2028</v>
      </c>
      <c r="O82" s="312">
        <v>25000</v>
      </c>
      <c r="P82" s="137">
        <v>5000</v>
      </c>
      <c r="Q82" s="6"/>
      <c r="R82" s="6"/>
      <c r="S82" s="6"/>
      <c r="T82" s="1"/>
      <c r="U82" s="1"/>
      <c r="V82" s="1"/>
      <c r="W82" s="13"/>
      <c r="X82" s="142">
        <v>35000</v>
      </c>
      <c r="Y82" s="11" t="s">
        <v>6</v>
      </c>
      <c r="AA82" s="8">
        <f t="shared" si="19"/>
        <v>25000</v>
      </c>
      <c r="AB82" s="72">
        <f t="shared" si="20"/>
        <v>1.4</v>
      </c>
      <c r="AC82" t="s">
        <v>346</v>
      </c>
      <c r="AD82">
        <v>35000</v>
      </c>
      <c r="AE82">
        <v>35000</v>
      </c>
      <c r="AF82"/>
      <c r="AG82"/>
      <c r="AH82" s="229">
        <v>42643</v>
      </c>
      <c r="AI82" s="170">
        <v>344</v>
      </c>
      <c r="AJ82"/>
      <c r="AK82" s="171">
        <v>0.9</v>
      </c>
      <c r="AL82" s="172">
        <f t="shared" si="21"/>
        <v>382.22222222222223</v>
      </c>
      <c r="AM82"/>
      <c r="AN82" s="172">
        <f t="shared" si="22"/>
        <v>3483</v>
      </c>
      <c r="AO82"/>
      <c r="AP82" s="172">
        <f t="shared" si="23"/>
        <v>3870</v>
      </c>
      <c r="AQ82"/>
      <c r="AR82"/>
      <c r="AS82"/>
      <c r="AT82"/>
      <c r="AU82"/>
      <c r="AV82"/>
      <c r="AW82"/>
      <c r="AX82"/>
    </row>
    <row r="83" spans="1:50" ht="18" customHeight="1" x14ac:dyDescent="0.2">
      <c r="A83" s="1">
        <v>2003</v>
      </c>
      <c r="B83" s="6"/>
      <c r="C83" s="6"/>
      <c r="D83" s="6"/>
      <c r="E83" s="6"/>
      <c r="F83" s="6"/>
      <c r="G83" s="132">
        <v>0</v>
      </c>
      <c r="H83" s="132">
        <v>6</v>
      </c>
      <c r="I83" s="132">
        <v>46</v>
      </c>
      <c r="J83" s="132">
        <v>27</v>
      </c>
      <c r="K83" s="135">
        <v>0</v>
      </c>
      <c r="L83" s="139">
        <v>1500</v>
      </c>
      <c r="M83" s="139">
        <v>2000</v>
      </c>
      <c r="N83" s="131"/>
      <c r="O83" s="131"/>
      <c r="P83" s="131"/>
      <c r="Q83" s="6"/>
      <c r="R83" s="6"/>
      <c r="S83" s="6"/>
      <c r="T83" s="1"/>
      <c r="U83" s="1"/>
      <c r="V83" s="1"/>
      <c r="W83" s="13"/>
      <c r="X83" s="142">
        <v>10000</v>
      </c>
      <c r="Y83" s="11" t="s">
        <v>6</v>
      </c>
      <c r="AA83" s="8">
        <f t="shared" si="19"/>
        <v>2000</v>
      </c>
      <c r="AB83" s="72">
        <f t="shared" si="20"/>
        <v>5</v>
      </c>
      <c r="AC83" t="s">
        <v>337</v>
      </c>
      <c r="AD83">
        <v>10000</v>
      </c>
      <c r="AE83">
        <v>10000</v>
      </c>
      <c r="AF83"/>
      <c r="AG83"/>
      <c r="AH83" s="229">
        <v>42655</v>
      </c>
      <c r="AI83" s="170">
        <v>4863</v>
      </c>
      <c r="AJ83"/>
      <c r="AK83" s="171">
        <v>0.8</v>
      </c>
      <c r="AL83" s="172">
        <f t="shared" si="21"/>
        <v>6078.75</v>
      </c>
      <c r="AM83"/>
      <c r="AN83" s="172">
        <f t="shared" si="22"/>
        <v>62484</v>
      </c>
      <c r="AO83"/>
      <c r="AP83" s="172">
        <f t="shared" si="23"/>
        <v>77531.666666666672</v>
      </c>
      <c r="AQ83"/>
      <c r="AR83"/>
      <c r="AS83"/>
      <c r="AT83"/>
      <c r="AU83"/>
      <c r="AV83"/>
      <c r="AW83"/>
      <c r="AX83"/>
    </row>
    <row r="84" spans="1:50" ht="18" customHeight="1" x14ac:dyDescent="0.2">
      <c r="A84" s="1">
        <v>2004</v>
      </c>
      <c r="B84" s="6"/>
      <c r="C84" s="6"/>
      <c r="D84" s="6"/>
      <c r="E84" s="6"/>
      <c r="F84" s="6"/>
      <c r="G84" s="6"/>
      <c r="H84" s="6"/>
      <c r="I84" s="132">
        <v>89</v>
      </c>
      <c r="J84" s="132">
        <v>272</v>
      </c>
      <c r="K84" s="133">
        <v>0</v>
      </c>
      <c r="L84" s="137">
        <v>7000</v>
      </c>
      <c r="M84" s="311">
        <v>10000</v>
      </c>
      <c r="N84" s="139">
        <v>4000</v>
      </c>
      <c r="O84" s="6"/>
      <c r="P84" s="6"/>
      <c r="Q84" s="6"/>
      <c r="R84" s="6"/>
      <c r="S84" s="6"/>
      <c r="T84" s="1"/>
      <c r="U84" s="1"/>
      <c r="V84" s="1"/>
      <c r="W84" s="13"/>
      <c r="X84" s="142">
        <v>22231</v>
      </c>
      <c r="Y84" s="7" t="s">
        <v>10</v>
      </c>
      <c r="AA84" s="8">
        <f t="shared" si="19"/>
        <v>10000</v>
      </c>
      <c r="AB84" s="72">
        <f t="shared" si="20"/>
        <v>2.2231000000000001</v>
      </c>
      <c r="AC84" t="s">
        <v>337</v>
      </c>
      <c r="AD84">
        <v>22231</v>
      </c>
      <c r="AE84">
        <v>22231</v>
      </c>
      <c r="AF84"/>
      <c r="AG84"/>
      <c r="AH84" s="229">
        <v>42675</v>
      </c>
      <c r="AI84" s="170">
        <v>13999</v>
      </c>
      <c r="AJ84"/>
      <c r="AK84" s="171">
        <v>0.8</v>
      </c>
      <c r="AL84" s="172">
        <f t="shared" si="21"/>
        <v>17498.75</v>
      </c>
      <c r="AM84"/>
      <c r="AN84" s="172">
        <f t="shared" si="22"/>
        <v>377240</v>
      </c>
      <c r="AO84"/>
      <c r="AP84" s="172">
        <f t="shared" si="23"/>
        <v>471550</v>
      </c>
      <c r="AQ84"/>
      <c r="AR84"/>
      <c r="AS84"/>
      <c r="AT84"/>
      <c r="AU84"/>
      <c r="AV84"/>
      <c r="AW84"/>
      <c r="AX84"/>
    </row>
    <row r="85" spans="1:50" ht="18" customHeight="1" x14ac:dyDescent="0.2">
      <c r="A85" s="1">
        <v>2005</v>
      </c>
      <c r="B85" s="6"/>
      <c r="C85" s="6"/>
      <c r="D85" s="6"/>
      <c r="E85" s="6"/>
      <c r="F85" s="131"/>
      <c r="G85" s="132">
        <v>9</v>
      </c>
      <c r="H85" s="131"/>
      <c r="I85" s="132">
        <v>9</v>
      </c>
      <c r="J85" s="131"/>
      <c r="K85" s="135">
        <v>300</v>
      </c>
      <c r="L85" s="135">
        <v>1500</v>
      </c>
      <c r="M85" s="131"/>
      <c r="N85" s="315">
        <v>5000</v>
      </c>
      <c r="O85" s="6"/>
      <c r="P85" s="6"/>
      <c r="Q85" s="6"/>
      <c r="R85" s="6"/>
      <c r="S85" s="6"/>
      <c r="T85" s="1"/>
      <c r="U85" s="1"/>
      <c r="V85" s="1"/>
      <c r="W85" s="13"/>
      <c r="X85" s="143">
        <v>15000</v>
      </c>
      <c r="Y85" s="11" t="s">
        <v>6</v>
      </c>
      <c r="AA85" s="8">
        <f t="shared" si="19"/>
        <v>5000</v>
      </c>
      <c r="AB85" s="72">
        <f t="shared" si="20"/>
        <v>3</v>
      </c>
      <c r="AC85" t="s">
        <v>316</v>
      </c>
      <c r="AD85">
        <v>15000</v>
      </c>
      <c r="AE85">
        <v>15000</v>
      </c>
      <c r="AF85"/>
      <c r="AG85"/>
      <c r="AH85" s="229">
        <v>42692</v>
      </c>
      <c r="AI85" s="170">
        <v>68</v>
      </c>
      <c r="AJ85"/>
      <c r="AK85" s="171">
        <v>0.8</v>
      </c>
      <c r="AL85" s="172">
        <f t="shared" si="21"/>
        <v>85</v>
      </c>
      <c r="AM85"/>
      <c r="AN85" s="172">
        <f t="shared" si="22"/>
        <v>239139</v>
      </c>
      <c r="AO85"/>
      <c r="AP85" s="172">
        <f t="shared" si="23"/>
        <v>298923.75</v>
      </c>
      <c r="AQ85"/>
      <c r="AR85"/>
      <c r="AS85"/>
      <c r="AT85"/>
      <c r="AU85"/>
      <c r="AV85"/>
      <c r="AW85"/>
      <c r="AX85"/>
    </row>
    <row r="86" spans="1:50" ht="18" customHeight="1" x14ac:dyDescent="0.2">
      <c r="A86" s="1">
        <v>2006</v>
      </c>
      <c r="B86" s="6"/>
      <c r="C86" s="6"/>
      <c r="D86" s="6"/>
      <c r="E86" s="6"/>
      <c r="F86" s="6"/>
      <c r="G86" s="132">
        <v>4</v>
      </c>
      <c r="H86" s="132">
        <v>9</v>
      </c>
      <c r="I86" s="131"/>
      <c r="J86" s="132">
        <v>147</v>
      </c>
      <c r="K86" s="131"/>
      <c r="L86" s="132">
        <v>1830</v>
      </c>
      <c r="M86" s="132">
        <v>429</v>
      </c>
      <c r="N86" s="6"/>
      <c r="O86" s="6"/>
      <c r="P86" s="6"/>
      <c r="Q86" s="6"/>
      <c r="R86" s="6"/>
      <c r="S86" s="6"/>
      <c r="T86" s="1"/>
      <c r="U86" s="1"/>
      <c r="V86" s="1"/>
      <c r="W86" s="13"/>
      <c r="X86" s="144">
        <v>2529</v>
      </c>
      <c r="Y86" s="7" t="s">
        <v>5</v>
      </c>
      <c r="Z86" s="53">
        <v>12</v>
      </c>
      <c r="AA86" s="8">
        <f t="shared" si="19"/>
        <v>1830</v>
      </c>
      <c r="AB86" s="72">
        <f t="shared" si="20"/>
        <v>1.381967213114754</v>
      </c>
      <c r="AC86" t="s">
        <v>337</v>
      </c>
      <c r="AD86">
        <v>2529</v>
      </c>
      <c r="AE86">
        <v>2538</v>
      </c>
      <c r="AF86"/>
      <c r="AG86"/>
      <c r="AH86" s="229">
        <v>42694</v>
      </c>
      <c r="AI86" s="369">
        <v>0</v>
      </c>
      <c r="AJ86"/>
      <c r="AK86" s="171">
        <v>0.9</v>
      </c>
      <c r="AL86" s="172">
        <f t="shared" si="21"/>
        <v>0</v>
      </c>
      <c r="AM86"/>
      <c r="AN86" s="172">
        <f t="shared" si="22"/>
        <v>136</v>
      </c>
      <c r="AO86"/>
      <c r="AP86" s="172">
        <f t="shared" si="23"/>
        <v>170</v>
      </c>
      <c r="AQ86"/>
      <c r="AR86"/>
      <c r="AS86"/>
      <c r="AT86"/>
      <c r="AU86"/>
      <c r="AV86"/>
      <c r="AW86"/>
      <c r="AX86"/>
    </row>
    <row r="87" spans="1:50" ht="18" customHeight="1" x14ac:dyDescent="0.2">
      <c r="A87" s="1">
        <v>2007</v>
      </c>
      <c r="B87" s="6"/>
      <c r="C87" s="6"/>
      <c r="D87" s="6"/>
      <c r="E87" s="6"/>
      <c r="F87" s="6"/>
      <c r="G87" s="6"/>
      <c r="H87" s="132">
        <v>1</v>
      </c>
      <c r="I87" s="131"/>
      <c r="J87" s="131"/>
      <c r="K87" s="131"/>
      <c r="L87" s="132">
        <v>2034</v>
      </c>
      <c r="M87" s="131"/>
      <c r="N87" s="132">
        <v>2035</v>
      </c>
      <c r="O87" s="6"/>
      <c r="P87" s="6"/>
      <c r="Q87" s="6"/>
      <c r="R87" s="6"/>
      <c r="S87" s="6"/>
      <c r="T87" s="1"/>
      <c r="U87" s="1"/>
      <c r="V87" s="1"/>
      <c r="W87" s="13"/>
      <c r="X87" s="144">
        <v>2500</v>
      </c>
      <c r="Y87" s="12" t="s">
        <v>7</v>
      </c>
      <c r="AA87" s="8">
        <f t="shared" si="19"/>
        <v>2035</v>
      </c>
      <c r="AB87" s="72">
        <f t="shared" si="20"/>
        <v>1.2285012285012284</v>
      </c>
      <c r="AC87" t="s">
        <v>316</v>
      </c>
      <c r="AD87" t="s">
        <v>16</v>
      </c>
      <c r="AE87" t="s">
        <v>16</v>
      </c>
      <c r="AF87"/>
      <c r="AG87" s="165" t="s">
        <v>128</v>
      </c>
      <c r="AH87" s="229"/>
      <c r="AI87" s="176"/>
      <c r="AJ87"/>
      <c r="AK87" s="177"/>
      <c r="AL87" s="178">
        <v>0</v>
      </c>
      <c r="AM87" s="179"/>
      <c r="AN87" s="172">
        <f t="shared" si="22"/>
        <v>0</v>
      </c>
      <c r="AO87"/>
      <c r="AP87" s="172">
        <f t="shared" si="23"/>
        <v>0</v>
      </c>
      <c r="AQ87"/>
      <c r="AR87"/>
      <c r="AS87"/>
      <c r="AT87"/>
      <c r="AU87"/>
      <c r="AV87"/>
      <c r="AW87"/>
      <c r="AX87"/>
    </row>
    <row r="88" spans="1:50" s="55" customFormat="1" ht="18" customHeight="1" x14ac:dyDescent="0.2">
      <c r="A88" s="13">
        <v>2008</v>
      </c>
      <c r="B88" s="13"/>
      <c r="C88" s="1"/>
      <c r="D88" s="1"/>
      <c r="E88" s="1"/>
      <c r="F88" s="128">
        <v>0</v>
      </c>
      <c r="G88" s="128">
        <v>0</v>
      </c>
      <c r="H88" s="128">
        <v>0</v>
      </c>
      <c r="I88" s="128">
        <v>1</v>
      </c>
      <c r="J88" s="128">
        <v>229</v>
      </c>
      <c r="K88" s="131"/>
      <c r="L88" s="128">
        <v>1617</v>
      </c>
      <c r="M88" s="128">
        <v>1898</v>
      </c>
      <c r="N88" s="1"/>
      <c r="O88" s="1"/>
      <c r="P88" s="1"/>
      <c r="Q88" s="1"/>
      <c r="R88" s="1"/>
      <c r="S88" s="1"/>
      <c r="T88" s="1"/>
      <c r="U88" s="1"/>
      <c r="V88" s="1"/>
      <c r="W88" s="13"/>
      <c r="X88" s="145">
        <v>4089</v>
      </c>
      <c r="Y88" s="19" t="s">
        <v>5</v>
      </c>
      <c r="Z88" s="58">
        <v>12</v>
      </c>
      <c r="AA88" s="8">
        <f t="shared" si="19"/>
        <v>1898</v>
      </c>
      <c r="AB88" s="72">
        <f t="shared" si="20"/>
        <v>2.1543730242360377</v>
      </c>
      <c r="AC88" t="s">
        <v>341</v>
      </c>
      <c r="AD88">
        <v>4089</v>
      </c>
      <c r="AE88">
        <v>4089</v>
      </c>
      <c r="AF88"/>
      <c r="AG88" s="165" t="s">
        <v>2</v>
      </c>
      <c r="AH88" s="167">
        <v>7</v>
      </c>
      <c r="AI88" s="167"/>
      <c r="AJ88" s="167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ht="18" customHeight="1" x14ac:dyDescent="0.2">
      <c r="A89" s="13">
        <v>2009</v>
      </c>
      <c r="B89" s="13"/>
      <c r="C89" s="1"/>
      <c r="D89" s="1"/>
      <c r="E89" s="1"/>
      <c r="F89" s="1"/>
      <c r="G89" s="1"/>
      <c r="H89" s="1"/>
      <c r="I89" s="128">
        <v>43</v>
      </c>
      <c r="J89" s="128">
        <v>37</v>
      </c>
      <c r="K89" s="1"/>
      <c r="L89" s="128">
        <v>473</v>
      </c>
      <c r="M89" s="128">
        <v>3645</v>
      </c>
      <c r="N89" s="310">
        <v>5006</v>
      </c>
      <c r="O89" s="1"/>
      <c r="P89" s="1"/>
      <c r="Q89" s="1"/>
      <c r="R89" s="1"/>
      <c r="S89" s="1"/>
      <c r="T89" s="1"/>
      <c r="U89" s="1"/>
      <c r="V89" s="1"/>
      <c r="W89" s="13"/>
      <c r="X89" s="145">
        <v>7655</v>
      </c>
      <c r="Y89" s="19" t="s">
        <v>5</v>
      </c>
      <c r="Z89" s="58">
        <v>15</v>
      </c>
      <c r="AA89" s="8">
        <f t="shared" si="19"/>
        <v>5006</v>
      </c>
      <c r="AB89" s="72">
        <f t="shared" si="20"/>
        <v>1.5291650019976029</v>
      </c>
      <c r="AC89" t="s">
        <v>341</v>
      </c>
      <c r="AD89">
        <v>7655</v>
      </c>
      <c r="AE89">
        <v>7655</v>
      </c>
      <c r="AF89"/>
      <c r="AG89" s="165" t="s">
        <v>129</v>
      </c>
      <c r="AH89" s="167"/>
      <c r="AI89" s="167">
        <f>MAX(AI78:AI87)</f>
        <v>13999</v>
      </c>
      <c r="AJ89" s="167"/>
      <c r="AK89" s="167"/>
      <c r="AL89" s="167">
        <f>MAX(AL78:AL87)</f>
        <v>17498.75</v>
      </c>
      <c r="AM89" s="167"/>
      <c r="AN89" s="167"/>
      <c r="AO89"/>
      <c r="AP89"/>
      <c r="AQ89"/>
      <c r="AR89"/>
      <c r="AS89"/>
      <c r="AT89"/>
      <c r="AU89"/>
      <c r="AV89"/>
      <c r="AW89"/>
      <c r="AX89"/>
    </row>
    <row r="90" spans="1:50" ht="18" customHeight="1" x14ac:dyDescent="0.2">
      <c r="A90" s="13">
        <v>2010</v>
      </c>
      <c r="B90" s="13"/>
      <c r="C90" s="1"/>
      <c r="D90" s="1"/>
      <c r="E90" s="1"/>
      <c r="F90" s="1"/>
      <c r="G90" s="1"/>
      <c r="H90" s="128">
        <v>22</v>
      </c>
      <c r="I90" s="1"/>
      <c r="J90" s="1"/>
      <c r="K90" s="128">
        <v>845</v>
      </c>
      <c r="L90" s="1"/>
      <c r="M90" s="310">
        <v>3452</v>
      </c>
      <c r="N90" s="1"/>
      <c r="O90" s="128">
        <v>895</v>
      </c>
      <c r="P90" s="1"/>
      <c r="Q90" s="1"/>
      <c r="R90" s="1"/>
      <c r="S90" s="1"/>
      <c r="T90" s="1"/>
      <c r="U90" s="1"/>
      <c r="V90" s="1"/>
      <c r="W90" s="13"/>
      <c r="X90" s="145">
        <v>6400</v>
      </c>
      <c r="Y90" s="19" t="s">
        <v>5</v>
      </c>
      <c r="Z90" s="58">
        <v>18</v>
      </c>
      <c r="AA90" s="8">
        <f t="shared" si="19"/>
        <v>3452</v>
      </c>
      <c r="AB90" s="72">
        <f t="shared" si="20"/>
        <v>1.853997682502897</v>
      </c>
      <c r="AC90" t="s">
        <v>337</v>
      </c>
      <c r="AD90">
        <v>6400</v>
      </c>
      <c r="AE90">
        <v>6400</v>
      </c>
      <c r="AF90"/>
      <c r="AG90" s="165" t="s">
        <v>130</v>
      </c>
      <c r="AH90" s="167"/>
      <c r="AI90" s="169">
        <v>13</v>
      </c>
      <c r="AJ90" s="167"/>
      <c r="AK90"/>
      <c r="AL90" s="169">
        <v>12.5</v>
      </c>
      <c r="AM90" s="8"/>
      <c r="AN90" s="8"/>
      <c r="AO90"/>
      <c r="AP90"/>
      <c r="AQ90"/>
      <c r="AR90"/>
      <c r="AS90"/>
      <c r="AT90"/>
      <c r="AU90"/>
      <c r="AV90"/>
      <c r="AW90"/>
      <c r="AX90"/>
    </row>
    <row r="91" spans="1:50" ht="18" customHeight="1" x14ac:dyDescent="0.2">
      <c r="A91" s="13">
        <v>2011</v>
      </c>
      <c r="B91" s="13"/>
      <c r="C91" s="1"/>
      <c r="D91" s="1"/>
      <c r="E91" s="1"/>
      <c r="F91" s="1"/>
      <c r="G91" s="1"/>
      <c r="H91" s="1"/>
      <c r="I91" s="128">
        <v>209</v>
      </c>
      <c r="J91" s="128">
        <v>1296</v>
      </c>
      <c r="K91" s="128">
        <v>644</v>
      </c>
      <c r="L91" s="1"/>
      <c r="M91" s="1"/>
      <c r="N91" s="309">
        <v>15288</v>
      </c>
      <c r="O91" s="1"/>
      <c r="P91" s="1"/>
      <c r="Q91" s="1"/>
      <c r="R91" s="1"/>
      <c r="S91" s="1"/>
      <c r="T91" s="1"/>
      <c r="U91" s="1"/>
      <c r="V91" s="1"/>
      <c r="W91" s="13"/>
      <c r="X91" s="145">
        <v>33700</v>
      </c>
      <c r="Y91" s="19" t="s">
        <v>9</v>
      </c>
      <c r="Z91" s="58"/>
      <c r="AA91" s="8">
        <f t="shared" si="19"/>
        <v>15288</v>
      </c>
      <c r="AB91" s="72">
        <f t="shared" si="20"/>
        <v>2.2043432757718473</v>
      </c>
      <c r="AC91" t="s">
        <v>341</v>
      </c>
      <c r="AD91">
        <v>33671</v>
      </c>
      <c r="AE91">
        <v>33671</v>
      </c>
      <c r="AF91"/>
      <c r="AG91" s="165" t="s">
        <v>131</v>
      </c>
      <c r="AH91" s="167"/>
      <c r="AI91" s="230">
        <f>(0.5*SUM(AN79:AN87))/AI90</f>
        <v>26260.846153846152</v>
      </c>
      <c r="AJ91" s="167"/>
      <c r="AK91"/>
      <c r="AL91" s="230">
        <f>(0.5*SUM(AP79:AP87))/AL90</f>
        <v>34095.15</v>
      </c>
      <c r="AM91" s="8"/>
      <c r="AN91" s="8"/>
      <c r="AO91"/>
      <c r="AP91"/>
      <c r="AQ91"/>
      <c r="AR91"/>
      <c r="AS91"/>
      <c r="AT91"/>
      <c r="AU91"/>
      <c r="AV91"/>
      <c r="AW91"/>
      <c r="AX91"/>
    </row>
    <row r="92" spans="1:50" ht="18" customHeight="1" x14ac:dyDescent="0.2">
      <c r="A92" s="13">
        <v>2012</v>
      </c>
      <c r="B92" s="13"/>
      <c r="C92" s="1"/>
      <c r="D92" s="1"/>
      <c r="E92" s="1"/>
      <c r="F92" s="1"/>
      <c r="G92" s="1"/>
      <c r="H92" s="128">
        <v>52</v>
      </c>
      <c r="I92" s="128"/>
      <c r="J92" s="128">
        <v>161</v>
      </c>
      <c r="K92" s="128">
        <v>637</v>
      </c>
      <c r="L92" s="1"/>
      <c r="M92" s="128">
        <v>1076</v>
      </c>
      <c r="N92" s="308">
        <v>1555</v>
      </c>
      <c r="O92" s="1"/>
      <c r="P92" s="128">
        <v>25</v>
      </c>
      <c r="Q92" s="1"/>
      <c r="R92" s="1"/>
      <c r="S92" s="1"/>
      <c r="T92" s="1"/>
      <c r="U92" s="1"/>
      <c r="V92" s="1"/>
      <c r="W92" s="13"/>
      <c r="X92" s="145">
        <v>6971</v>
      </c>
      <c r="Y92" s="19" t="s">
        <v>5</v>
      </c>
      <c r="Z92" s="58">
        <v>8</v>
      </c>
      <c r="AA92" s="8">
        <f t="shared" si="19"/>
        <v>1555</v>
      </c>
      <c r="AB92" s="72">
        <f t="shared" si="20"/>
        <v>4.4829581993569132</v>
      </c>
      <c r="AC92" t="s">
        <v>339</v>
      </c>
      <c r="AD92">
        <v>6971</v>
      </c>
      <c r="AE92">
        <v>6971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</row>
    <row r="93" spans="1:50" ht="18" customHeight="1" x14ac:dyDescent="0.2">
      <c r="A93" s="13">
        <v>2013</v>
      </c>
      <c r="B93" s="13"/>
      <c r="C93" s="13"/>
      <c r="D93" s="13"/>
      <c r="E93" s="13"/>
      <c r="F93" s="13">
        <v>0</v>
      </c>
      <c r="G93" s="13"/>
      <c r="H93" s="13"/>
      <c r="I93" s="13">
        <v>41</v>
      </c>
      <c r="J93" s="13">
        <v>723</v>
      </c>
      <c r="K93" s="13">
        <v>2738</v>
      </c>
      <c r="L93" s="130">
        <v>6294</v>
      </c>
      <c r="M93" s="13"/>
      <c r="N93" s="13">
        <v>940</v>
      </c>
      <c r="O93" s="13">
        <v>61</v>
      </c>
      <c r="P93" s="13"/>
      <c r="Q93" s="13"/>
      <c r="R93" s="13"/>
      <c r="S93" s="13"/>
      <c r="T93" s="13"/>
      <c r="U93" s="13"/>
      <c r="V93" s="13"/>
      <c r="W93" s="13"/>
      <c r="X93" s="145">
        <v>10036</v>
      </c>
      <c r="Y93" s="19" t="s">
        <v>5</v>
      </c>
      <c r="Z93" s="58">
        <v>15</v>
      </c>
      <c r="AA93" s="8">
        <f t="shared" si="19"/>
        <v>6294</v>
      </c>
      <c r="AB93" s="72">
        <f t="shared" si="20"/>
        <v>1.5945344772799492</v>
      </c>
      <c r="AC93" t="s">
        <v>339</v>
      </c>
      <c r="AD93">
        <v>10036</v>
      </c>
      <c r="AE93">
        <v>10036</v>
      </c>
      <c r="AF93"/>
      <c r="AG93" s="299" t="s">
        <v>9</v>
      </c>
      <c r="AH93"/>
      <c r="AI93" s="169">
        <v>26033</v>
      </c>
      <c r="AJ93"/>
      <c r="AK93"/>
      <c r="AL93" s="169">
        <v>32541</v>
      </c>
      <c r="AM93"/>
      <c r="AN93"/>
      <c r="AO93"/>
      <c r="AP93"/>
      <c r="AQ93"/>
      <c r="AR93"/>
      <c r="AS93"/>
      <c r="AT93"/>
      <c r="AU93"/>
      <c r="AV93"/>
      <c r="AW93"/>
      <c r="AX93"/>
    </row>
    <row r="94" spans="1:50" ht="18" customHeight="1" x14ac:dyDescent="0.2">
      <c r="A94" s="13">
        <v>2014</v>
      </c>
      <c r="B94" s="13"/>
      <c r="C94" s="13"/>
      <c r="D94" s="13"/>
      <c r="E94" s="13"/>
      <c r="F94" s="13"/>
      <c r="G94" s="13"/>
      <c r="H94" s="190">
        <v>1</v>
      </c>
      <c r="I94" s="190">
        <v>3</v>
      </c>
      <c r="J94" s="190">
        <v>196</v>
      </c>
      <c r="K94" s="190">
        <v>472</v>
      </c>
      <c r="L94" s="13"/>
      <c r="M94" s="13"/>
      <c r="N94" s="13"/>
      <c r="O94" s="190">
        <v>148</v>
      </c>
      <c r="P94" s="190">
        <v>20</v>
      </c>
      <c r="Q94" s="13"/>
      <c r="R94" s="13"/>
      <c r="S94" s="13"/>
      <c r="T94" s="13"/>
      <c r="U94" s="13"/>
      <c r="V94" s="13"/>
      <c r="W94" s="13"/>
      <c r="X94" s="145">
        <v>1006</v>
      </c>
      <c r="Y94" s="19" t="s">
        <v>5</v>
      </c>
      <c r="Z94" s="58">
        <v>15</v>
      </c>
      <c r="AA94" s="8">
        <f t="shared" si="19"/>
        <v>472</v>
      </c>
      <c r="AB94" s="72">
        <f t="shared" si="20"/>
        <v>2.1313559322033897</v>
      </c>
      <c r="AC94" t="s">
        <v>337</v>
      </c>
      <c r="AD94">
        <v>1006</v>
      </c>
      <c r="AE94">
        <v>1006</v>
      </c>
      <c r="AF94"/>
      <c r="AG94" s="299" t="s">
        <v>250</v>
      </c>
      <c r="AH94"/>
      <c r="AI94" s="370">
        <v>13</v>
      </c>
      <c r="AJ94" s="371"/>
      <c r="AK94" s="371"/>
      <c r="AL94" s="370">
        <v>13</v>
      </c>
      <c r="AM94"/>
      <c r="AN94"/>
      <c r="AO94"/>
      <c r="AP94"/>
      <c r="AQ94"/>
      <c r="AR94"/>
      <c r="AS94"/>
      <c r="AT94"/>
      <c r="AU94"/>
      <c r="AV94"/>
      <c r="AW94"/>
      <c r="AX94"/>
    </row>
    <row r="95" spans="1:50" ht="18" customHeight="1" x14ac:dyDescent="0.2">
      <c r="A95" s="13">
        <v>2015</v>
      </c>
      <c r="B95" s="13"/>
      <c r="C95" s="13"/>
      <c r="D95" s="13"/>
      <c r="E95" s="13"/>
      <c r="F95" s="13"/>
      <c r="G95" s="13"/>
      <c r="H95" s="123">
        <v>97</v>
      </c>
      <c r="I95" s="123">
        <v>25</v>
      </c>
      <c r="J95" s="355">
        <v>742</v>
      </c>
      <c r="K95" s="1"/>
      <c r="L95" s="307">
        <v>1528</v>
      </c>
      <c r="M95" s="307">
        <v>4773</v>
      </c>
      <c r="N95" s="307">
        <v>1759</v>
      </c>
      <c r="O95" s="307">
        <v>274</v>
      </c>
      <c r="P95" s="13"/>
      <c r="Q95" s="13"/>
      <c r="R95" s="13"/>
      <c r="S95" s="13"/>
      <c r="T95" s="13"/>
      <c r="U95" s="13"/>
      <c r="V95" s="13"/>
      <c r="W95" s="13"/>
      <c r="X95" s="145">
        <v>6378</v>
      </c>
      <c r="Y95" s="19" t="s">
        <v>5</v>
      </c>
      <c r="Z95" s="317">
        <v>12.5</v>
      </c>
      <c r="AA95" s="8">
        <f t="shared" si="19"/>
        <v>4773</v>
      </c>
      <c r="AB95" s="72">
        <f t="shared" si="20"/>
        <v>1.3362664990571966</v>
      </c>
      <c r="AC95" t="s">
        <v>339</v>
      </c>
      <c r="AD95">
        <v>6378</v>
      </c>
      <c r="AE95">
        <v>6378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</row>
    <row r="96" spans="1:50" ht="18" customHeight="1" x14ac:dyDescent="0.2">
      <c r="A96" s="13">
        <v>2016</v>
      </c>
      <c r="B96" s="13"/>
      <c r="C96" s="13"/>
      <c r="D96" s="13"/>
      <c r="E96" s="13"/>
      <c r="F96" s="13"/>
      <c r="G96" s="123">
        <v>2</v>
      </c>
      <c r="H96" s="123">
        <v>1</v>
      </c>
      <c r="I96" s="123">
        <v>43</v>
      </c>
      <c r="J96" s="123">
        <v>327</v>
      </c>
      <c r="K96" s="13"/>
      <c r="L96" s="123">
        <v>4863</v>
      </c>
      <c r="M96" s="13"/>
      <c r="N96" s="13"/>
      <c r="O96" s="304">
        <v>13999</v>
      </c>
      <c r="P96" s="13"/>
      <c r="Q96" s="123">
        <v>68</v>
      </c>
      <c r="R96" s="13"/>
      <c r="S96" s="13"/>
      <c r="T96" s="13"/>
      <c r="U96" s="13"/>
      <c r="V96" s="13"/>
      <c r="W96" s="13"/>
      <c r="X96" s="145">
        <v>34095</v>
      </c>
      <c r="Y96" s="19"/>
      <c r="Z96" s="317">
        <v>12.5</v>
      </c>
      <c r="AA96" s="8">
        <f t="shared" si="19"/>
        <v>13999</v>
      </c>
      <c r="AB96" s="72">
        <f t="shared" si="20"/>
        <v>2.4355311093649545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</row>
    <row r="97" spans="1:50" ht="18" customHeight="1" x14ac:dyDescent="0.2">
      <c r="A97" s="13">
        <v>2017</v>
      </c>
      <c r="B97" s="13"/>
      <c r="C97" s="13"/>
      <c r="D97" s="13"/>
      <c r="E97" s="13"/>
      <c r="F97" s="13"/>
      <c r="G97" s="124">
        <v>0</v>
      </c>
      <c r="H97" s="124">
        <v>6</v>
      </c>
      <c r="I97" s="124">
        <v>0</v>
      </c>
      <c r="J97" s="124">
        <v>254</v>
      </c>
      <c r="K97" s="124">
        <v>1450</v>
      </c>
      <c r="L97" s="13"/>
      <c r="M97" s="476">
        <v>2110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45">
        <v>4180</v>
      </c>
      <c r="Y97" s="19"/>
      <c r="Z97" s="317"/>
      <c r="AA97" s="8">
        <f t="shared" si="19"/>
        <v>2110</v>
      </c>
      <c r="AB97" s="72">
        <f t="shared" si="20"/>
        <v>1.981042654028436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</row>
    <row r="98" spans="1:50" ht="18" customHeight="1" x14ac:dyDescent="0.2">
      <c r="A98" s="13">
        <v>2018</v>
      </c>
      <c r="B98" s="13"/>
      <c r="C98" s="13"/>
      <c r="D98" s="13"/>
      <c r="E98" s="13"/>
      <c r="F98" s="13"/>
      <c r="G98" s="124">
        <v>0</v>
      </c>
      <c r="H98" s="13"/>
      <c r="I98" s="124">
        <v>97</v>
      </c>
      <c r="J98" s="13"/>
      <c r="K98" s="538">
        <v>332</v>
      </c>
      <c r="L98" s="124">
        <v>182</v>
      </c>
      <c r="M98" s="470">
        <v>861</v>
      </c>
      <c r="N98" s="474">
        <v>163</v>
      </c>
      <c r="O98" s="474">
        <v>20</v>
      </c>
      <c r="P98" s="13"/>
      <c r="Q98" s="13"/>
      <c r="R98" s="13"/>
      <c r="S98" s="13"/>
      <c r="T98" s="13"/>
      <c r="U98" s="13"/>
      <c r="V98" s="13"/>
      <c r="W98" s="13"/>
      <c r="X98" s="145">
        <v>1428</v>
      </c>
      <c r="Y98" s="19"/>
      <c r="Z98" s="317">
        <v>15</v>
      </c>
      <c r="AA98" s="8">
        <f>MAX(B98:W98)</f>
        <v>861</v>
      </c>
      <c r="AB98" s="72">
        <f>X98/AA98</f>
        <v>1.6585365853658536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</row>
    <row r="99" spans="1:50" ht="18" customHeight="1" x14ac:dyDescent="0.2">
      <c r="A99" s="13">
        <v>2019</v>
      </c>
      <c r="B99" s="13"/>
      <c r="C99" s="13"/>
      <c r="D99" s="110">
        <v>0</v>
      </c>
      <c r="E99" s="110">
        <v>0</v>
      </c>
      <c r="F99" s="123">
        <v>0</v>
      </c>
      <c r="G99" s="123">
        <v>0</v>
      </c>
      <c r="H99" s="13"/>
      <c r="I99" s="123">
        <v>18</v>
      </c>
      <c r="J99" s="123">
        <v>83</v>
      </c>
      <c r="K99" s="597">
        <v>13</v>
      </c>
      <c r="L99" s="565">
        <v>2054</v>
      </c>
      <c r="M99" s="474">
        <v>172</v>
      </c>
      <c r="N99" s="565">
        <v>1210</v>
      </c>
      <c r="O99" s="300">
        <v>662</v>
      </c>
      <c r="P99" s="13"/>
      <c r="Q99" s="13"/>
      <c r="R99" s="13"/>
      <c r="S99" s="13"/>
      <c r="T99" s="13"/>
      <c r="U99" s="13"/>
      <c r="V99" s="13"/>
      <c r="W99" s="13"/>
      <c r="X99" s="145">
        <v>2695</v>
      </c>
      <c r="Y99" s="19"/>
      <c r="Z99" s="317"/>
      <c r="AA99" s="8">
        <f>MAX(B99:W99)</f>
        <v>2054</v>
      </c>
      <c r="AB99" s="72">
        <f>X99/AA99</f>
        <v>1.3120740019474197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</row>
    <row r="100" spans="1:50" ht="18" customHeight="1" x14ac:dyDescent="0.2">
      <c r="A100" s="13">
        <v>2020</v>
      </c>
      <c r="B100" s="13"/>
      <c r="C100" s="13"/>
      <c r="D100" s="13"/>
      <c r="E100" s="13"/>
      <c r="F100" s="13"/>
      <c r="G100" s="109">
        <v>2</v>
      </c>
      <c r="H100" s="109">
        <v>1</v>
      </c>
      <c r="I100" s="109">
        <v>10</v>
      </c>
      <c r="J100" s="338">
        <v>530</v>
      </c>
      <c r="K100" s="590">
        <v>1148</v>
      </c>
      <c r="L100" s="155">
        <v>2928</v>
      </c>
      <c r="M100" s="155">
        <v>4118</v>
      </c>
      <c r="N100" s="155">
        <v>5104</v>
      </c>
      <c r="O100" s="13"/>
      <c r="P100" s="13"/>
      <c r="Q100" s="13"/>
      <c r="R100" s="13"/>
      <c r="S100" s="13"/>
      <c r="T100" s="13"/>
      <c r="U100" s="13"/>
      <c r="V100" s="13"/>
      <c r="W100" s="13"/>
      <c r="X100" s="145">
        <v>9029</v>
      </c>
      <c r="Y100" s="19"/>
      <c r="Z100" s="317"/>
      <c r="AA100" s="8">
        <f t="shared" ref="AA100:AA102" si="24">MAX(B100:W100)</f>
        <v>5104</v>
      </c>
      <c r="AB100" s="72">
        <f t="shared" ref="AB100:AB102" si="25">X100/AA100</f>
        <v>1.7690047021943573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</row>
    <row r="101" spans="1:50" s="150" customFormat="1" ht="18" customHeight="1" x14ac:dyDescent="0.2">
      <c r="A101" s="89">
        <v>2021</v>
      </c>
      <c r="B101" s="89"/>
      <c r="C101" s="89"/>
      <c r="D101" s="770">
        <v>0</v>
      </c>
      <c r="E101" s="770">
        <v>0</v>
      </c>
      <c r="F101" s="770">
        <v>0</v>
      </c>
      <c r="G101" s="770">
        <v>0</v>
      </c>
      <c r="H101" s="106">
        <v>0</v>
      </c>
      <c r="I101" s="109">
        <v>111</v>
      </c>
      <c r="J101" s="735"/>
      <c r="K101" s="771">
        <v>148</v>
      </c>
      <c r="L101" s="687">
        <v>1146</v>
      </c>
      <c r="M101" s="687">
        <v>1056</v>
      </c>
      <c r="N101" s="737"/>
      <c r="O101" s="155">
        <v>736</v>
      </c>
      <c r="P101" s="89"/>
      <c r="Q101" s="89"/>
      <c r="R101" s="89"/>
      <c r="S101" s="89"/>
      <c r="T101" s="89"/>
      <c r="U101" s="89"/>
      <c r="V101" s="89"/>
      <c r="W101" s="89"/>
      <c r="X101" s="738">
        <v>2007</v>
      </c>
      <c r="Y101" s="362"/>
      <c r="Z101" s="739"/>
      <c r="AA101" s="8">
        <f t="shared" si="24"/>
        <v>1146</v>
      </c>
      <c r="AB101" s="72">
        <f t="shared" si="25"/>
        <v>1.7513089005235603</v>
      </c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</row>
    <row r="102" spans="1:50" s="150" customFormat="1" ht="18" customHeight="1" x14ac:dyDescent="0.2">
      <c r="A102" s="89">
        <v>2022</v>
      </c>
      <c r="B102" s="89"/>
      <c r="C102" s="89"/>
      <c r="D102" s="105">
        <v>0</v>
      </c>
      <c r="E102" s="105">
        <v>0</v>
      </c>
      <c r="F102" s="106">
        <v>0</v>
      </c>
      <c r="G102" s="106">
        <v>0</v>
      </c>
      <c r="H102" s="106">
        <v>0</v>
      </c>
      <c r="I102" s="109">
        <v>5</v>
      </c>
      <c r="J102" s="437">
        <v>10</v>
      </c>
      <c r="K102" s="589">
        <v>30</v>
      </c>
      <c r="L102" s="742"/>
      <c r="M102" s="694">
        <v>25</v>
      </c>
      <c r="N102" s="512">
        <v>1368</v>
      </c>
      <c r="O102" s="512">
        <v>910</v>
      </c>
      <c r="P102" s="155">
        <v>693</v>
      </c>
      <c r="Q102" s="89"/>
      <c r="R102" s="89"/>
      <c r="S102" s="89"/>
      <c r="T102" s="89"/>
      <c r="U102" s="89"/>
      <c r="V102" s="89"/>
      <c r="W102" s="89"/>
      <c r="X102" s="738">
        <v>1757</v>
      </c>
      <c r="Y102" s="362"/>
      <c r="Z102" s="739"/>
      <c r="AA102" s="8">
        <f t="shared" si="24"/>
        <v>1368</v>
      </c>
      <c r="AB102" s="72">
        <f t="shared" si="25"/>
        <v>1.2843567251461989</v>
      </c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</row>
    <row r="103" spans="1:50" s="150" customFormat="1" ht="18" customHeight="1" x14ac:dyDescent="0.2">
      <c r="A103" s="89">
        <v>2023</v>
      </c>
      <c r="B103" s="89"/>
      <c r="C103" s="89"/>
      <c r="D103" s="109">
        <v>0</v>
      </c>
      <c r="E103" s="109">
        <v>0</v>
      </c>
      <c r="F103" s="109">
        <v>0</v>
      </c>
      <c r="G103" s="109">
        <v>0</v>
      </c>
      <c r="H103" s="109">
        <v>0</v>
      </c>
      <c r="I103" s="109">
        <v>4</v>
      </c>
      <c r="J103" s="109">
        <v>285</v>
      </c>
      <c r="K103" s="590">
        <v>544</v>
      </c>
      <c r="L103" s="89"/>
      <c r="M103" s="616">
        <v>1569</v>
      </c>
      <c r="N103" s="616">
        <v>4773</v>
      </c>
      <c r="O103" s="687">
        <v>652</v>
      </c>
      <c r="P103" s="109">
        <v>6</v>
      </c>
      <c r="Q103" s="89"/>
      <c r="R103" s="89"/>
      <c r="S103" s="89"/>
      <c r="T103" s="89"/>
      <c r="U103" s="89"/>
      <c r="V103" s="89"/>
      <c r="W103" s="89"/>
      <c r="X103" s="738"/>
      <c r="Y103" s="362"/>
      <c r="Z103" s="739"/>
      <c r="AA103" s="94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</row>
    <row r="104" spans="1:50" ht="18" customHeight="1" x14ac:dyDescent="0.25">
      <c r="A104" s="64" t="s">
        <v>17</v>
      </c>
      <c r="B104" s="16"/>
      <c r="C104" s="16">
        <f>AVERAGE(C75:C89)</f>
        <v>1</v>
      </c>
      <c r="D104" s="16">
        <f>AVERAGE(D75:D89)</f>
        <v>0</v>
      </c>
      <c r="E104" s="16"/>
      <c r="F104" s="16">
        <f t="shared" ref="F104:S104" si="26">AVERAGE(F75:F89)</f>
        <v>3</v>
      </c>
      <c r="G104" s="16">
        <f t="shared" si="26"/>
        <v>2.7777777777777777</v>
      </c>
      <c r="H104" s="16">
        <f t="shared" si="26"/>
        <v>1.7777777777777777</v>
      </c>
      <c r="I104" s="16">
        <f t="shared" si="26"/>
        <v>25.727272727272727</v>
      </c>
      <c r="J104" s="16">
        <f t="shared" si="26"/>
        <v>134.81818181818181</v>
      </c>
      <c r="K104" s="16">
        <f t="shared" si="26"/>
        <v>571.55555555555554</v>
      </c>
      <c r="L104" s="16">
        <f t="shared" si="26"/>
        <v>1778.0714285714287</v>
      </c>
      <c r="M104" s="16">
        <f t="shared" si="26"/>
        <v>5240.909090909091</v>
      </c>
      <c r="N104" s="16">
        <f t="shared" si="26"/>
        <v>4550.1000000000004</v>
      </c>
      <c r="O104" s="16">
        <f t="shared" si="26"/>
        <v>5425.5</v>
      </c>
      <c r="P104" s="16">
        <f t="shared" si="26"/>
        <v>2840.4</v>
      </c>
      <c r="Q104" s="16">
        <f t="shared" si="26"/>
        <v>254</v>
      </c>
      <c r="R104" s="16">
        <f t="shared" si="26"/>
        <v>47</v>
      </c>
      <c r="S104" s="16">
        <f t="shared" si="26"/>
        <v>22</v>
      </c>
      <c r="T104" s="16"/>
      <c r="U104" s="16"/>
      <c r="V104" s="16">
        <f>AVERAGE(V75:V89)</f>
        <v>0</v>
      </c>
      <c r="W104" s="16"/>
      <c r="X104" s="146">
        <f>AVERAGE(X75:X89)</f>
        <v>11843.866666666667</v>
      </c>
      <c r="Y104" s="18"/>
      <c r="Z104" s="24">
        <f>AVERAGE(Z75:Z89)</f>
        <v>14.785714285714286</v>
      </c>
      <c r="AC104"/>
      <c r="AD104"/>
      <c r="AE104"/>
      <c r="AG104" s="350" t="s">
        <v>117</v>
      </c>
      <c r="AH104" s="350" t="s">
        <v>118</v>
      </c>
      <c r="AI104" s="352" t="s">
        <v>119</v>
      </c>
      <c r="AJ104"/>
      <c r="AK104" s="352" t="s">
        <v>120</v>
      </c>
      <c r="AL104" s="352"/>
      <c r="AM104"/>
      <c r="AN104" s="160" t="s">
        <v>121</v>
      </c>
      <c r="AO104"/>
      <c r="AP104" s="161" t="s">
        <v>122</v>
      </c>
      <c r="AQ104"/>
    </row>
    <row r="105" spans="1:50" x14ac:dyDescent="0.2">
      <c r="AC105"/>
      <c r="AD105"/>
      <c r="AE105"/>
      <c r="AG105" s="351"/>
      <c r="AH105" s="351"/>
      <c r="AI105" s="351" t="s">
        <v>146</v>
      </c>
      <c r="AJ105"/>
      <c r="AK105" s="163" t="s">
        <v>148</v>
      </c>
      <c r="AL105" s="163" t="s">
        <v>147</v>
      </c>
      <c r="AM105"/>
      <c r="AN105" s="164"/>
      <c r="AO105"/>
      <c r="AP105" s="164"/>
      <c r="AQ105"/>
    </row>
    <row r="106" spans="1:50" x14ac:dyDescent="0.2">
      <c r="AG106" s="165"/>
      <c r="AH106" s="166"/>
      <c r="AI106" s="167"/>
      <c r="AJ106"/>
      <c r="AK106"/>
      <c r="AL106"/>
      <c r="AM106"/>
      <c r="AN106"/>
      <c r="AO106"/>
      <c r="AP106"/>
      <c r="AQ106"/>
    </row>
    <row r="107" spans="1:50" x14ac:dyDescent="0.2">
      <c r="AG107" s="165" t="s">
        <v>24</v>
      </c>
      <c r="AH107" s="166"/>
      <c r="AI107" s="167"/>
      <c r="AJ107"/>
      <c r="AK107"/>
      <c r="AL107"/>
      <c r="AM107"/>
      <c r="AN107"/>
      <c r="AO107"/>
      <c r="AP107"/>
      <c r="AQ107"/>
    </row>
    <row r="108" spans="1:50" x14ac:dyDescent="0.2">
      <c r="AG108" s="165" t="s">
        <v>127</v>
      </c>
      <c r="AH108" s="229">
        <v>42248</v>
      </c>
      <c r="AI108" s="167"/>
      <c r="AJ108"/>
      <c r="AK108"/>
      <c r="AL108" s="169">
        <v>0</v>
      </c>
      <c r="AM108"/>
      <c r="AN108"/>
      <c r="AO108"/>
      <c r="AP108"/>
      <c r="AQ108"/>
      <c r="AR108" s="1007" t="s">
        <v>177</v>
      </c>
      <c r="AS108" s="1007"/>
    </row>
    <row r="109" spans="1:50" x14ac:dyDescent="0.2">
      <c r="AG109" s="165"/>
      <c r="AH109" s="229">
        <v>42261</v>
      </c>
      <c r="AI109" s="170">
        <v>97</v>
      </c>
      <c r="AJ109"/>
      <c r="AK109" s="171">
        <v>0.9</v>
      </c>
      <c r="AL109" s="172">
        <f t="shared" ref="AL109:AL116" si="27">AI109/AK109</f>
        <v>107.77777777777777</v>
      </c>
      <c r="AM109"/>
      <c r="AN109" s="172">
        <f t="shared" ref="AN109:AN117" si="28">(AH109-AH108)*(AI109+AI108)</f>
        <v>1261</v>
      </c>
      <c r="AO109"/>
      <c r="AP109" s="172">
        <f t="shared" ref="AP109:AP117" si="29">(AH109-AH108)*(AL109+AL108)</f>
        <v>1401.1111111111111</v>
      </c>
      <c r="AQ109"/>
      <c r="AR109" s="372" t="s">
        <v>251</v>
      </c>
      <c r="AS109" s="372" t="s">
        <v>252</v>
      </c>
    </row>
    <row r="110" spans="1:50" x14ac:dyDescent="0.2">
      <c r="AG110" s="165"/>
      <c r="AH110" s="229">
        <v>42270</v>
      </c>
      <c r="AI110" s="170">
        <v>25</v>
      </c>
      <c r="AJ110"/>
      <c r="AK110" s="171">
        <v>0.8</v>
      </c>
      <c r="AL110" s="172">
        <f t="shared" si="27"/>
        <v>31.25</v>
      </c>
      <c r="AM110"/>
      <c r="AN110" s="172">
        <f t="shared" si="28"/>
        <v>1098</v>
      </c>
      <c r="AO110"/>
      <c r="AP110" s="172">
        <f t="shared" si="29"/>
        <v>1251.25</v>
      </c>
      <c r="AQ110"/>
      <c r="AR110" s="373">
        <v>97</v>
      </c>
      <c r="AS110" s="373" t="s">
        <v>216</v>
      </c>
    </row>
    <row r="111" spans="1:50" x14ac:dyDescent="0.2">
      <c r="AG111" s="173"/>
      <c r="AH111" s="229">
        <v>42278</v>
      </c>
      <c r="AI111" s="170">
        <v>742</v>
      </c>
      <c r="AJ111"/>
      <c r="AK111" s="171">
        <v>0.8</v>
      </c>
      <c r="AL111" s="172">
        <f t="shared" si="27"/>
        <v>927.5</v>
      </c>
      <c r="AM111"/>
      <c r="AN111" s="172">
        <f t="shared" si="28"/>
        <v>6136</v>
      </c>
      <c r="AO111"/>
      <c r="AP111" s="172">
        <f t="shared" si="29"/>
        <v>7670</v>
      </c>
      <c r="AQ111"/>
      <c r="AR111" s="373">
        <v>25</v>
      </c>
      <c r="AS111" s="373">
        <v>11</v>
      </c>
    </row>
    <row r="112" spans="1:50" x14ac:dyDescent="0.2">
      <c r="AG112"/>
      <c r="AH112" s="229">
        <v>42292</v>
      </c>
      <c r="AI112" s="170">
        <v>1528</v>
      </c>
      <c r="AJ112"/>
      <c r="AK112" s="171">
        <v>0.8</v>
      </c>
      <c r="AL112" s="172">
        <f t="shared" si="27"/>
        <v>1910</v>
      </c>
      <c r="AM112"/>
      <c r="AN112" s="172">
        <f t="shared" si="28"/>
        <v>31780</v>
      </c>
      <c r="AO112"/>
      <c r="AP112" s="172">
        <f t="shared" si="29"/>
        <v>39725</v>
      </c>
      <c r="AQ112"/>
      <c r="AR112" s="373">
        <v>742</v>
      </c>
      <c r="AS112" s="373">
        <v>5</v>
      </c>
    </row>
    <row r="113" spans="33:45" x14ac:dyDescent="0.2">
      <c r="AG113"/>
      <c r="AH113" s="229">
        <v>42297</v>
      </c>
      <c r="AI113" s="170">
        <v>4773</v>
      </c>
      <c r="AJ113"/>
      <c r="AK113" s="171">
        <v>0.8</v>
      </c>
      <c r="AL113" s="172">
        <f t="shared" si="27"/>
        <v>5966.25</v>
      </c>
      <c r="AM113"/>
      <c r="AN113" s="172">
        <f t="shared" si="28"/>
        <v>31505</v>
      </c>
      <c r="AO113"/>
      <c r="AP113" s="172">
        <f t="shared" si="29"/>
        <v>39381.25</v>
      </c>
      <c r="AQ113"/>
      <c r="AR113" s="373">
        <v>1528</v>
      </c>
      <c r="AS113" s="373">
        <v>116</v>
      </c>
    </row>
    <row r="114" spans="33:45" x14ac:dyDescent="0.2">
      <c r="AG114"/>
      <c r="AH114" s="229">
        <v>42303</v>
      </c>
      <c r="AI114" s="170">
        <v>1759</v>
      </c>
      <c r="AJ114"/>
      <c r="AK114" s="171">
        <v>0.9</v>
      </c>
      <c r="AL114" s="172">
        <f t="shared" si="27"/>
        <v>1954.4444444444443</v>
      </c>
      <c r="AM114"/>
      <c r="AN114" s="172">
        <f t="shared" si="28"/>
        <v>39192</v>
      </c>
      <c r="AO114"/>
      <c r="AP114" s="172">
        <f t="shared" si="29"/>
        <v>47524.166666666664</v>
      </c>
      <c r="AQ114"/>
      <c r="AR114" s="373">
        <v>4773</v>
      </c>
      <c r="AS114" s="373">
        <v>1455</v>
      </c>
    </row>
    <row r="115" spans="33:45" x14ac:dyDescent="0.2">
      <c r="AG115"/>
      <c r="AH115" s="229">
        <v>42311</v>
      </c>
      <c r="AI115" s="170">
        <v>274</v>
      </c>
      <c r="AJ115"/>
      <c r="AK115" s="171">
        <v>0.8</v>
      </c>
      <c r="AL115" s="172">
        <f t="shared" si="27"/>
        <v>342.5</v>
      </c>
      <c r="AM115"/>
      <c r="AN115" s="172">
        <f t="shared" si="28"/>
        <v>16264</v>
      </c>
      <c r="AO115"/>
      <c r="AP115" s="172">
        <f t="shared" si="29"/>
        <v>18375.555555555555</v>
      </c>
      <c r="AQ115"/>
      <c r="AR115" s="373">
        <v>1759</v>
      </c>
      <c r="AS115" s="373">
        <v>3862</v>
      </c>
    </row>
    <row r="116" spans="33:45" x14ac:dyDescent="0.2">
      <c r="AG116"/>
      <c r="AH116" s="229">
        <v>42323</v>
      </c>
      <c r="AI116" s="369">
        <v>0</v>
      </c>
      <c r="AJ116"/>
      <c r="AK116" s="171">
        <v>0.9</v>
      </c>
      <c r="AL116" s="172">
        <f t="shared" si="27"/>
        <v>0</v>
      </c>
      <c r="AM116"/>
      <c r="AN116" s="172">
        <f t="shared" si="28"/>
        <v>3288</v>
      </c>
      <c r="AO116"/>
      <c r="AP116" s="172">
        <f t="shared" si="29"/>
        <v>4110</v>
      </c>
      <c r="AQ116"/>
      <c r="AR116" s="373">
        <v>274</v>
      </c>
      <c r="AS116" s="373">
        <v>70</v>
      </c>
    </row>
    <row r="117" spans="33:45" x14ac:dyDescent="0.2">
      <c r="AG117" s="165" t="s">
        <v>128</v>
      </c>
      <c r="AH117" s="229"/>
      <c r="AI117" s="176"/>
      <c r="AJ117"/>
      <c r="AK117" s="177"/>
      <c r="AL117" s="178">
        <v>0</v>
      </c>
      <c r="AM117" s="179"/>
      <c r="AN117" s="172">
        <f t="shared" si="28"/>
        <v>0</v>
      </c>
      <c r="AO117"/>
      <c r="AP117" s="172">
        <f t="shared" si="29"/>
        <v>0</v>
      </c>
      <c r="AQ117"/>
    </row>
    <row r="118" spans="33:45" x14ac:dyDescent="0.2">
      <c r="AG118" s="165" t="s">
        <v>2</v>
      </c>
      <c r="AH118" s="167">
        <v>7</v>
      </c>
      <c r="AI118" s="167"/>
      <c r="AJ118" s="167"/>
      <c r="AK118"/>
      <c r="AL118"/>
      <c r="AM118"/>
      <c r="AN118"/>
      <c r="AO118"/>
      <c r="AP118"/>
      <c r="AQ118"/>
    </row>
    <row r="119" spans="33:45" x14ac:dyDescent="0.2">
      <c r="AG119" s="165" t="s">
        <v>129</v>
      </c>
      <c r="AH119" s="167"/>
      <c r="AI119" s="167">
        <f>MAX(AI108:AI117)</f>
        <v>4773</v>
      </c>
      <c r="AJ119" s="167"/>
      <c r="AK119" s="167"/>
      <c r="AL119" s="167">
        <f>MAX(AL108:AL117)</f>
        <v>5966.25</v>
      </c>
      <c r="AM119" s="167"/>
      <c r="AN119" s="167"/>
      <c r="AO119"/>
      <c r="AP119"/>
      <c r="AQ119"/>
    </row>
    <row r="120" spans="33:45" x14ac:dyDescent="0.2">
      <c r="AG120" s="165" t="s">
        <v>130</v>
      </c>
      <c r="AH120" s="167"/>
      <c r="AI120" s="169">
        <v>10.5</v>
      </c>
      <c r="AJ120" s="167"/>
      <c r="AK120"/>
      <c r="AL120" s="169">
        <v>12.5</v>
      </c>
      <c r="AM120" s="8"/>
      <c r="AN120" s="8"/>
      <c r="AO120"/>
      <c r="AP120"/>
      <c r="AQ120"/>
    </row>
    <row r="121" spans="33:45" x14ac:dyDescent="0.2">
      <c r="AG121" s="165" t="s">
        <v>131</v>
      </c>
      <c r="AH121" s="167"/>
      <c r="AI121" s="230">
        <f>(0.5*SUM(AN109:AN117))/AI120</f>
        <v>6215.4285714285716</v>
      </c>
      <c r="AJ121" s="167"/>
      <c r="AK121"/>
      <c r="AL121" s="230">
        <f>(0.5*SUM(AP109:AP117))/AL120</f>
        <v>6377.5333333333338</v>
      </c>
      <c r="AM121" s="8"/>
      <c r="AN121" s="8"/>
      <c r="AO121"/>
      <c r="AP121"/>
      <c r="AQ121"/>
    </row>
    <row r="122" spans="33:45" x14ac:dyDescent="0.2">
      <c r="AG122"/>
      <c r="AH122"/>
      <c r="AI122"/>
      <c r="AJ122"/>
      <c r="AK122"/>
      <c r="AL122"/>
      <c r="AM122"/>
      <c r="AN122"/>
      <c r="AO122"/>
      <c r="AP122"/>
      <c r="AQ122"/>
    </row>
    <row r="123" spans="33:45" x14ac:dyDescent="0.2">
      <c r="AG123" s="299" t="s">
        <v>9</v>
      </c>
      <c r="AH123"/>
      <c r="AI123" s="169">
        <v>6228</v>
      </c>
      <c r="AJ123"/>
      <c r="AK123"/>
      <c r="AL123" s="169">
        <v>7421</v>
      </c>
      <c r="AM123"/>
      <c r="AN123"/>
      <c r="AO123"/>
      <c r="AP123"/>
      <c r="AQ123"/>
    </row>
    <row r="124" spans="33:45" x14ac:dyDescent="0.2">
      <c r="AG124" s="299" t="s">
        <v>250</v>
      </c>
      <c r="AH124"/>
      <c r="AI124" s="370">
        <v>14</v>
      </c>
      <c r="AJ124" s="371"/>
      <c r="AK124" s="371"/>
      <c r="AL124" s="370">
        <v>13.5</v>
      </c>
      <c r="AM124"/>
      <c r="AN124"/>
      <c r="AO124"/>
      <c r="AP124"/>
      <c r="AQ124"/>
    </row>
  </sheetData>
  <mergeCells count="20">
    <mergeCell ref="AR108:AS108"/>
    <mergeCell ref="X38:X39"/>
    <mergeCell ref="X3:X4"/>
    <mergeCell ref="A71:I71"/>
    <mergeCell ref="A73:A74"/>
    <mergeCell ref="B73:W73"/>
    <mergeCell ref="X73:X74"/>
    <mergeCell ref="Z3:Z4"/>
    <mergeCell ref="Z38:Z39"/>
    <mergeCell ref="Z73:Z74"/>
    <mergeCell ref="Y3:Y4"/>
    <mergeCell ref="Y38:Y39"/>
    <mergeCell ref="Y73:Y74"/>
    <mergeCell ref="AK3:AL3"/>
    <mergeCell ref="A1:I1"/>
    <mergeCell ref="B3:W3"/>
    <mergeCell ref="A36:I36"/>
    <mergeCell ref="A3:A4"/>
    <mergeCell ref="A38:A39"/>
    <mergeCell ref="B38:W38"/>
  </mergeCells>
  <phoneticPr fontId="4" type="noConversion"/>
  <pageMargins left="0.75" right="0.75" top="1" bottom="1" header="0.5" footer="0.5"/>
  <pageSetup scale="67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H130"/>
  <sheetViews>
    <sheetView topLeftCell="A61" zoomScale="85" zoomScaleNormal="85" workbookViewId="0">
      <selection activeCell="P108" sqref="P108"/>
    </sheetView>
  </sheetViews>
  <sheetFormatPr defaultColWidth="9.140625" defaultRowHeight="12.75" x14ac:dyDescent="0.2"/>
  <cols>
    <col min="1" max="1" width="10.28515625" style="2" customWidth="1"/>
    <col min="2" max="23" width="6.5703125" style="2" customWidth="1"/>
    <col min="24" max="25" width="9.140625" style="2"/>
    <col min="26" max="26" width="11.7109375" style="56" customWidth="1"/>
    <col min="27" max="27" width="9.140625" style="2"/>
    <col min="28" max="28" width="8.7109375"/>
    <col min="29" max="29" width="13" customWidth="1"/>
    <col min="30" max="30" width="14.85546875" bestFit="1" customWidth="1"/>
    <col min="31" max="31" width="11" bestFit="1" customWidth="1"/>
    <col min="32" max="34" width="8.7109375"/>
    <col min="35" max="35" width="12.140625" bestFit="1" customWidth="1"/>
    <col min="36" max="39" width="8.7109375"/>
    <col min="40" max="40" width="3.7109375" customWidth="1"/>
    <col min="41" max="41" width="8.7109375"/>
    <col min="42" max="42" width="1.5703125" customWidth="1"/>
    <col min="43" max="44" width="8.7109375"/>
    <col min="45" max="45" width="13.5703125" customWidth="1"/>
    <col min="46" max="46" width="14.28515625" bestFit="1" customWidth="1"/>
    <col min="47" max="55" width="8.7109375"/>
    <col min="56" max="56" width="10.85546875" bestFit="1" customWidth="1"/>
    <col min="57" max="60" width="8.7109375" customWidth="1"/>
    <col min="61" max="16384" width="9.140625" style="2"/>
  </cols>
  <sheetData>
    <row r="1" spans="1:60" ht="18" customHeight="1" x14ac:dyDescent="0.2">
      <c r="A1" s="1002" t="s">
        <v>589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553" t="s">
        <v>424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60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77" t="s">
        <v>425</v>
      </c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1:60" ht="18" customHeight="1" thickTop="1" x14ac:dyDescent="0.25">
      <c r="A3" s="70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C3" t="s">
        <v>334</v>
      </c>
      <c r="AD3" s="2"/>
      <c r="AR3" s="1013" t="s">
        <v>117</v>
      </c>
      <c r="AS3" s="1013" t="s">
        <v>118</v>
      </c>
      <c r="AT3" s="157" t="s">
        <v>119</v>
      </c>
      <c r="AV3" s="158" t="s">
        <v>120</v>
      </c>
      <c r="AW3" s="158"/>
      <c r="AX3" s="159"/>
      <c r="AY3" s="160" t="s">
        <v>121</v>
      </c>
      <c r="AZ3" s="160"/>
      <c r="BA3" s="161" t="s">
        <v>122</v>
      </c>
    </row>
    <row r="4" spans="1:60" ht="18" customHeight="1" x14ac:dyDescent="0.25">
      <c r="A4" s="7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68" t="s">
        <v>62</v>
      </c>
      <c r="AB4" t="s">
        <v>63</v>
      </c>
      <c r="AC4" s="2" t="s">
        <v>335</v>
      </c>
      <c r="AD4" t="s">
        <v>340</v>
      </c>
      <c r="AE4" s="2" t="s">
        <v>151</v>
      </c>
      <c r="AF4" t="s">
        <v>234</v>
      </c>
      <c r="AH4" s="1013" t="s">
        <v>117</v>
      </c>
      <c r="AI4" s="1013" t="s">
        <v>118</v>
      </c>
      <c r="AJ4" s="609" t="s">
        <v>119</v>
      </c>
      <c r="AL4" s="158" t="s">
        <v>120</v>
      </c>
      <c r="AM4" s="158"/>
      <c r="AN4" s="159"/>
      <c r="AO4" s="160" t="s">
        <v>121</v>
      </c>
      <c r="AP4" s="160"/>
      <c r="AQ4" s="161" t="s">
        <v>122</v>
      </c>
      <c r="AR4" s="1014"/>
      <c r="AS4" s="1014"/>
      <c r="AT4" s="162" t="s">
        <v>123</v>
      </c>
      <c r="AV4" s="163" t="s">
        <v>124</v>
      </c>
      <c r="AW4" s="163" t="s">
        <v>125</v>
      </c>
      <c r="AX4" s="163"/>
      <c r="AY4" s="164" t="s">
        <v>126</v>
      </c>
      <c r="BA4" s="164" t="s">
        <v>126</v>
      </c>
    </row>
    <row r="5" spans="1:60" s="8" customFormat="1" ht="18" customHeight="1" x14ac:dyDescent="0.2">
      <c r="A5" s="1">
        <v>1995</v>
      </c>
      <c r="B5" s="6"/>
      <c r="C5" s="6"/>
      <c r="D5" s="6"/>
      <c r="E5" s="97"/>
      <c r="F5" s="6"/>
      <c r="G5" s="119">
        <v>7</v>
      </c>
      <c r="H5" s="122">
        <v>7</v>
      </c>
      <c r="I5" s="122">
        <v>8</v>
      </c>
      <c r="J5" s="122">
        <v>18</v>
      </c>
      <c r="K5" s="359"/>
      <c r="L5" s="122">
        <v>153</v>
      </c>
      <c r="M5" s="359"/>
      <c r="N5" s="122">
        <v>5</v>
      </c>
      <c r="O5" s="122">
        <v>3</v>
      </c>
      <c r="P5" s="6"/>
      <c r="Q5" s="6"/>
      <c r="R5" s="6"/>
      <c r="S5" s="6"/>
      <c r="T5" s="1"/>
      <c r="U5" s="1"/>
      <c r="V5" s="1"/>
      <c r="W5" s="1"/>
      <c r="X5" s="7">
        <v>212</v>
      </c>
      <c r="Y5" s="7" t="s">
        <v>5</v>
      </c>
      <c r="Z5" s="10">
        <v>20</v>
      </c>
      <c r="AA5" s="73">
        <f>MAX(B5:W5)</f>
        <v>153</v>
      </c>
      <c r="AB5" s="72">
        <f>X5/AA5</f>
        <v>1.3856209150326797</v>
      </c>
      <c r="AC5" t="s">
        <v>154</v>
      </c>
      <c r="AD5">
        <v>212</v>
      </c>
      <c r="AE5"/>
      <c r="AF5">
        <v>74</v>
      </c>
      <c r="AG5"/>
      <c r="AH5" s="1014"/>
      <c r="AI5" s="1014"/>
      <c r="AJ5" s="608" t="s">
        <v>123</v>
      </c>
      <c r="AK5"/>
      <c r="AL5" s="163" t="s">
        <v>124</v>
      </c>
      <c r="AM5" s="163" t="s">
        <v>125</v>
      </c>
      <c r="AN5" s="163"/>
      <c r="AO5" s="164" t="s">
        <v>126</v>
      </c>
      <c r="AP5"/>
      <c r="AQ5" s="164" t="s">
        <v>126</v>
      </c>
      <c r="AR5" s="165"/>
      <c r="AS5" s="166"/>
      <c r="AT5" s="167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s="8" customFormat="1" ht="18" customHeight="1" x14ac:dyDescent="0.2">
      <c r="A6" s="1">
        <v>1996</v>
      </c>
      <c r="B6" s="6"/>
      <c r="C6" s="113">
        <v>0</v>
      </c>
      <c r="D6" s="6"/>
      <c r="E6" s="119">
        <v>1</v>
      </c>
      <c r="F6" s="119">
        <v>1</v>
      </c>
      <c r="G6" s="119">
        <v>68</v>
      </c>
      <c r="H6" s="122">
        <v>105</v>
      </c>
      <c r="I6" s="122">
        <v>122</v>
      </c>
      <c r="J6" s="122">
        <v>149</v>
      </c>
      <c r="K6" s="122">
        <v>74</v>
      </c>
      <c r="L6" s="359"/>
      <c r="M6" s="122">
        <v>36</v>
      </c>
      <c r="N6" s="122">
        <v>31</v>
      </c>
      <c r="O6" s="122">
        <v>17</v>
      </c>
      <c r="P6" s="119">
        <v>6</v>
      </c>
      <c r="Q6" s="119">
        <v>5</v>
      </c>
      <c r="R6" s="6"/>
      <c r="S6" s="6"/>
      <c r="T6" s="1"/>
      <c r="U6" s="1"/>
      <c r="V6" s="1"/>
      <c r="W6" s="1"/>
      <c r="X6" s="7">
        <v>246</v>
      </c>
      <c r="Y6" s="7" t="s">
        <v>5</v>
      </c>
      <c r="Z6" s="10">
        <v>20</v>
      </c>
      <c r="AA6" s="73">
        <f t="shared" ref="AA6:AA19" si="0">MAX(B6:W6)</f>
        <v>149</v>
      </c>
      <c r="AB6" s="72">
        <f t="shared" ref="AB6:AB19" si="1">X6/AA6</f>
        <v>1.651006711409396</v>
      </c>
      <c r="AC6" t="s">
        <v>338</v>
      </c>
      <c r="AD6">
        <v>232</v>
      </c>
      <c r="AE6">
        <v>482</v>
      </c>
      <c r="AF6">
        <v>236</v>
      </c>
      <c r="AG6"/>
      <c r="AH6" s="165"/>
      <c r="AI6" s="166"/>
      <c r="AJ6" s="167"/>
      <c r="AK6"/>
      <c r="AL6"/>
      <c r="AM6"/>
      <c r="AN6"/>
      <c r="AO6"/>
      <c r="AP6"/>
      <c r="AQ6"/>
      <c r="AR6" s="165" t="s">
        <v>26</v>
      </c>
      <c r="AS6" s="166"/>
      <c r="AT6" s="167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s="8" customFormat="1" ht="18" customHeight="1" x14ac:dyDescent="0.2">
      <c r="A7" s="1">
        <v>1997</v>
      </c>
      <c r="B7" s="6"/>
      <c r="C7" s="119">
        <v>0</v>
      </c>
      <c r="D7" s="6"/>
      <c r="E7" s="119">
        <v>11</v>
      </c>
      <c r="F7" s="119">
        <v>50</v>
      </c>
      <c r="G7" s="119">
        <v>68</v>
      </c>
      <c r="H7" s="122">
        <v>58</v>
      </c>
      <c r="I7" s="122">
        <v>121</v>
      </c>
      <c r="J7" s="359"/>
      <c r="K7" s="122">
        <v>41</v>
      </c>
      <c r="L7" s="122">
        <v>57</v>
      </c>
      <c r="M7" s="122">
        <v>77</v>
      </c>
      <c r="N7" s="121">
        <v>0</v>
      </c>
      <c r="O7" s="122">
        <v>0</v>
      </c>
      <c r="P7" s="119">
        <v>0</v>
      </c>
      <c r="Q7" s="6"/>
      <c r="R7" s="6"/>
      <c r="S7" s="6"/>
      <c r="T7" s="1"/>
      <c r="U7" s="1"/>
      <c r="V7" s="1"/>
      <c r="W7" s="1"/>
      <c r="X7" s="7">
        <v>242</v>
      </c>
      <c r="Y7" s="7" t="s">
        <v>5</v>
      </c>
      <c r="Z7" s="10">
        <v>20</v>
      </c>
      <c r="AA7" s="73">
        <f t="shared" si="0"/>
        <v>121</v>
      </c>
      <c r="AB7" s="72">
        <f t="shared" si="1"/>
        <v>2</v>
      </c>
      <c r="AC7" t="s">
        <v>338</v>
      </c>
      <c r="AD7">
        <v>236</v>
      </c>
      <c r="AE7">
        <v>275</v>
      </c>
      <c r="AF7">
        <v>33</v>
      </c>
      <c r="AG7"/>
      <c r="AH7" s="165" t="s">
        <v>25</v>
      </c>
      <c r="AI7" s="166"/>
      <c r="AJ7" s="167"/>
      <c r="AK7"/>
      <c r="AL7"/>
      <c r="AM7"/>
      <c r="AN7"/>
      <c r="AO7"/>
      <c r="AP7"/>
      <c r="AQ7"/>
      <c r="AR7" s="165" t="s">
        <v>127</v>
      </c>
      <c r="AS7" s="168">
        <v>36404</v>
      </c>
      <c r="AT7" s="167">
        <v>0</v>
      </c>
      <c r="AU7"/>
      <c r="AV7"/>
      <c r="AW7" s="169">
        <v>0</v>
      </c>
      <c r="AX7"/>
      <c r="AY7"/>
      <c r="AZ7"/>
      <c r="BA7"/>
      <c r="BB7"/>
      <c r="BC7"/>
      <c r="BD7"/>
      <c r="BE7"/>
      <c r="BF7"/>
      <c r="BG7"/>
      <c r="BH7"/>
    </row>
    <row r="8" spans="1:60" s="8" customFormat="1" ht="18" customHeight="1" x14ac:dyDescent="0.25">
      <c r="A8" s="1">
        <v>1998</v>
      </c>
      <c r="B8" s="6"/>
      <c r="C8" s="6"/>
      <c r="D8" s="6"/>
      <c r="E8" s="6"/>
      <c r="F8" s="119">
        <v>0</v>
      </c>
      <c r="G8" s="113">
        <v>0</v>
      </c>
      <c r="H8" s="122">
        <v>0</v>
      </c>
      <c r="I8" s="359"/>
      <c r="J8" s="122">
        <v>11</v>
      </c>
      <c r="K8" s="121">
        <v>100</v>
      </c>
      <c r="L8" s="122">
        <v>177</v>
      </c>
      <c r="M8" s="122">
        <v>436</v>
      </c>
      <c r="N8" s="122">
        <v>322</v>
      </c>
      <c r="O8" s="121">
        <v>1</v>
      </c>
      <c r="P8" s="6"/>
      <c r="Q8" s="119">
        <v>6</v>
      </c>
      <c r="R8" s="6"/>
      <c r="S8" s="119">
        <v>0</v>
      </c>
      <c r="T8" s="1"/>
      <c r="U8" s="1"/>
      <c r="V8" s="1"/>
      <c r="W8" s="1"/>
      <c r="X8" s="7">
        <v>784</v>
      </c>
      <c r="Y8" s="7" t="s">
        <v>5</v>
      </c>
      <c r="Z8" s="10">
        <v>15</v>
      </c>
      <c r="AA8" s="73">
        <f t="shared" si="0"/>
        <v>436</v>
      </c>
      <c r="AB8" s="72">
        <f t="shared" si="1"/>
        <v>1.798165137614679</v>
      </c>
      <c r="AC8" t="s">
        <v>338</v>
      </c>
      <c r="AD8">
        <v>739</v>
      </c>
      <c r="AE8">
        <v>1266</v>
      </c>
      <c r="AF8">
        <v>253</v>
      </c>
      <c r="AG8"/>
      <c r="AH8" s="165" t="s">
        <v>127</v>
      </c>
      <c r="AI8" s="402">
        <v>43709</v>
      </c>
      <c r="AJ8" s="167">
        <v>0</v>
      </c>
      <c r="AK8"/>
      <c r="AL8"/>
      <c r="AM8" s="169">
        <v>0</v>
      </c>
      <c r="AN8"/>
      <c r="AO8"/>
      <c r="AP8"/>
      <c r="AQ8"/>
      <c r="AR8" s="165"/>
      <c r="AS8" s="168">
        <v>36414</v>
      </c>
      <c r="AT8" s="170">
        <v>0</v>
      </c>
      <c r="AU8"/>
      <c r="AV8" s="171">
        <v>1</v>
      </c>
      <c r="AW8" s="172">
        <f t="shared" ref="AW8:AW13" si="2">AT8/AV8</f>
        <v>0</v>
      </c>
      <c r="AX8"/>
      <c r="AY8" s="172">
        <f t="shared" ref="AY8:AY14" si="3">(AS8-AS7)*(AT8+AT7)</f>
        <v>0</v>
      </c>
      <c r="AZ8"/>
      <c r="BA8" s="172">
        <f t="shared" ref="BA8:BA14" si="4">(AS8-AS7)*(AW8+AW7)</f>
        <v>0</v>
      </c>
      <c r="BB8"/>
      <c r="BC8"/>
      <c r="BD8" s="168">
        <v>36404</v>
      </c>
      <c r="BE8" s="170">
        <v>0</v>
      </c>
      <c r="BF8"/>
      <c r="BG8"/>
      <c r="BH8"/>
    </row>
    <row r="9" spans="1:60" s="8" customFormat="1" ht="18" customHeight="1" x14ac:dyDescent="0.25">
      <c r="A9" s="1">
        <v>1999</v>
      </c>
      <c r="B9" s="6"/>
      <c r="C9" s="6"/>
      <c r="D9" s="6"/>
      <c r="E9" s="6"/>
      <c r="F9" s="119">
        <v>0</v>
      </c>
      <c r="G9" s="119">
        <v>0</v>
      </c>
      <c r="H9" s="122">
        <v>10</v>
      </c>
      <c r="I9" s="359"/>
      <c r="J9" s="122">
        <v>350</v>
      </c>
      <c r="K9" s="122">
        <v>740</v>
      </c>
      <c r="L9" s="122">
        <v>5</v>
      </c>
      <c r="M9" s="122">
        <v>50</v>
      </c>
      <c r="N9" s="359"/>
      <c r="O9" s="122">
        <v>0</v>
      </c>
      <c r="P9" s="6"/>
      <c r="Q9" s="6"/>
      <c r="R9" s="6"/>
      <c r="S9" s="6"/>
      <c r="T9" s="1"/>
      <c r="U9" s="1"/>
      <c r="V9" s="1"/>
      <c r="W9" s="1"/>
      <c r="X9" s="9">
        <v>931</v>
      </c>
      <c r="Y9" s="7" t="s">
        <v>5</v>
      </c>
      <c r="Z9" s="9">
        <v>12</v>
      </c>
      <c r="AA9" s="73">
        <f t="shared" si="0"/>
        <v>740</v>
      </c>
      <c r="AB9" s="72">
        <f t="shared" si="1"/>
        <v>1.258108108108108</v>
      </c>
      <c r="AC9" t="s">
        <v>338</v>
      </c>
      <c r="AD9">
        <v>688</v>
      </c>
      <c r="AE9">
        <v>937</v>
      </c>
      <c r="AF9">
        <v>6</v>
      </c>
      <c r="AG9"/>
      <c r="AH9" s="165"/>
      <c r="AI9" s="402">
        <v>43713</v>
      </c>
      <c r="AJ9" s="170">
        <v>14</v>
      </c>
      <c r="AK9"/>
      <c r="AL9" s="171">
        <v>0.9</v>
      </c>
      <c r="AM9" s="172">
        <f t="shared" ref="AM9:AM17" si="5">AJ9/AL9</f>
        <v>15.555555555555555</v>
      </c>
      <c r="AN9"/>
      <c r="AO9" s="172">
        <f t="shared" ref="AO9:AO18" si="6">(AI9-AI8)*(AJ9+AJ8)</f>
        <v>56</v>
      </c>
      <c r="AP9"/>
      <c r="AQ9" s="172">
        <f t="shared" ref="AQ9:AQ18" si="7">(AI9-AI8)*(AM9+AM8)</f>
        <v>62.222222222222221</v>
      </c>
      <c r="AR9" s="165"/>
      <c r="AS9" s="168">
        <v>36421</v>
      </c>
      <c r="AT9" s="170">
        <v>10</v>
      </c>
      <c r="AU9"/>
      <c r="AV9" s="171">
        <v>1</v>
      </c>
      <c r="AW9" s="172">
        <f t="shared" si="2"/>
        <v>10</v>
      </c>
      <c r="AX9"/>
      <c r="AY9" s="172">
        <f t="shared" si="3"/>
        <v>70</v>
      </c>
      <c r="AZ9"/>
      <c r="BA9" s="172">
        <f t="shared" si="4"/>
        <v>70</v>
      </c>
      <c r="BB9"/>
      <c r="BC9"/>
      <c r="BD9" s="168">
        <v>36414</v>
      </c>
      <c r="BE9" s="170">
        <v>0</v>
      </c>
      <c r="BF9"/>
      <c r="BG9"/>
      <c r="BH9"/>
    </row>
    <row r="10" spans="1:60" s="8" customFormat="1" ht="18" customHeight="1" x14ac:dyDescent="0.25">
      <c r="A10" s="1">
        <v>2000</v>
      </c>
      <c r="B10" s="6"/>
      <c r="C10" s="6"/>
      <c r="D10" s="119">
        <v>0</v>
      </c>
      <c r="E10" s="6"/>
      <c r="F10" s="6"/>
      <c r="G10" s="6"/>
      <c r="H10" s="122">
        <v>21</v>
      </c>
      <c r="I10" s="122">
        <v>49</v>
      </c>
      <c r="J10" s="122">
        <v>48</v>
      </c>
      <c r="K10" s="122">
        <v>35</v>
      </c>
      <c r="L10" s="541">
        <v>0</v>
      </c>
      <c r="M10" s="541">
        <v>0</v>
      </c>
      <c r="N10" s="122">
        <v>1</v>
      </c>
      <c r="O10" s="122">
        <v>0</v>
      </c>
      <c r="P10" s="119">
        <v>8</v>
      </c>
      <c r="Q10" s="119">
        <v>3</v>
      </c>
      <c r="R10" s="119">
        <v>0</v>
      </c>
      <c r="S10" s="119">
        <v>0</v>
      </c>
      <c r="T10" s="123">
        <v>0</v>
      </c>
      <c r="U10" s="1"/>
      <c r="V10" s="1"/>
      <c r="W10" s="1"/>
      <c r="X10" s="10">
        <v>68</v>
      </c>
      <c r="Y10" s="7" t="s">
        <v>5</v>
      </c>
      <c r="Z10" s="10">
        <v>20</v>
      </c>
      <c r="AA10" s="73">
        <f t="shared" si="0"/>
        <v>49</v>
      </c>
      <c r="AB10" s="72">
        <f t="shared" si="1"/>
        <v>1.3877551020408163</v>
      </c>
      <c r="AC10" t="s">
        <v>338</v>
      </c>
      <c r="AD10">
        <v>68</v>
      </c>
      <c r="AE10" t="s">
        <v>336</v>
      </c>
      <c r="AF10">
        <v>75</v>
      </c>
      <c r="AG10"/>
      <c r="AH10" s="165"/>
      <c r="AI10" s="402">
        <v>43721</v>
      </c>
      <c r="AJ10" s="170">
        <v>38</v>
      </c>
      <c r="AK10"/>
      <c r="AL10" s="171">
        <v>0.7</v>
      </c>
      <c r="AM10" s="172">
        <f t="shared" si="5"/>
        <v>54.285714285714292</v>
      </c>
      <c r="AN10"/>
      <c r="AO10" s="172">
        <f t="shared" si="6"/>
        <v>416</v>
      </c>
      <c r="AP10"/>
      <c r="AQ10" s="172">
        <f t="shared" si="7"/>
        <v>558.73015873015879</v>
      </c>
      <c r="AR10" s="173"/>
      <c r="AS10" s="168">
        <v>36432</v>
      </c>
      <c r="AT10" s="170">
        <v>350</v>
      </c>
      <c r="AU10"/>
      <c r="AV10" s="171">
        <v>1</v>
      </c>
      <c r="AW10" s="172">
        <f t="shared" si="2"/>
        <v>350</v>
      </c>
      <c r="AX10"/>
      <c r="AY10" s="172">
        <f t="shared" si="3"/>
        <v>3960</v>
      </c>
      <c r="AZ10"/>
      <c r="BA10" s="172">
        <f t="shared" si="4"/>
        <v>3960</v>
      </c>
      <c r="BB10"/>
      <c r="BC10"/>
      <c r="BD10" s="168">
        <v>36421</v>
      </c>
      <c r="BE10" s="170">
        <v>10</v>
      </c>
      <c r="BF10"/>
      <c r="BG10"/>
      <c r="BH10"/>
    </row>
    <row r="11" spans="1:60" s="8" customFormat="1" ht="18" customHeight="1" x14ac:dyDescent="0.25">
      <c r="A11" s="1">
        <v>2001</v>
      </c>
      <c r="B11" s="6"/>
      <c r="C11" s="6"/>
      <c r="D11" s="6"/>
      <c r="E11" s="6"/>
      <c r="F11" s="6"/>
      <c r="G11" s="6"/>
      <c r="H11" s="122">
        <v>83</v>
      </c>
      <c r="I11" s="359"/>
      <c r="J11" s="122">
        <v>32</v>
      </c>
      <c r="K11" s="122">
        <v>59</v>
      </c>
      <c r="L11" s="122">
        <v>118</v>
      </c>
      <c r="M11" s="122">
        <v>165</v>
      </c>
      <c r="N11" s="122">
        <v>32</v>
      </c>
      <c r="O11" s="122">
        <v>5</v>
      </c>
      <c r="P11" s="6"/>
      <c r="Q11" s="119">
        <v>0</v>
      </c>
      <c r="R11" s="119">
        <v>0</v>
      </c>
      <c r="S11" s="6"/>
      <c r="T11" s="1"/>
      <c r="U11" s="1"/>
      <c r="V11" s="1"/>
      <c r="W11" s="1"/>
      <c r="X11" s="7">
        <v>225</v>
      </c>
      <c r="Y11" s="7" t="s">
        <v>5</v>
      </c>
      <c r="Z11" s="10">
        <v>20</v>
      </c>
      <c r="AA11" s="73">
        <f t="shared" si="0"/>
        <v>165</v>
      </c>
      <c r="AB11" s="72">
        <f t="shared" si="1"/>
        <v>1.3636363636363635</v>
      </c>
      <c r="AC11" t="s">
        <v>338</v>
      </c>
      <c r="AD11">
        <v>213</v>
      </c>
      <c r="AE11">
        <v>409</v>
      </c>
      <c r="AF11">
        <v>184</v>
      </c>
      <c r="AG11"/>
      <c r="AH11" s="165"/>
      <c r="AI11" s="402">
        <v>43727</v>
      </c>
      <c r="AJ11" s="170">
        <v>116</v>
      </c>
      <c r="AK11"/>
      <c r="AL11" s="171">
        <v>0.9</v>
      </c>
      <c r="AM11" s="172">
        <f t="shared" si="5"/>
        <v>128.88888888888889</v>
      </c>
      <c r="AN11"/>
      <c r="AO11" s="172">
        <f t="shared" si="6"/>
        <v>924</v>
      </c>
      <c r="AP11"/>
      <c r="AQ11" s="172">
        <f t="shared" si="7"/>
        <v>1099.0476190476193</v>
      </c>
      <c r="AR11" s="174"/>
      <c r="AS11" s="168">
        <v>36437</v>
      </c>
      <c r="AT11" s="170">
        <v>740</v>
      </c>
      <c r="AU11"/>
      <c r="AV11" s="171">
        <v>1</v>
      </c>
      <c r="AW11" s="172">
        <f t="shared" si="2"/>
        <v>740</v>
      </c>
      <c r="AX11"/>
      <c r="AY11" s="172">
        <f t="shared" si="3"/>
        <v>5450</v>
      </c>
      <c r="AZ11"/>
      <c r="BA11" s="172">
        <f t="shared" si="4"/>
        <v>5450</v>
      </c>
      <c r="BB11"/>
      <c r="BC11"/>
      <c r="BD11" s="168">
        <v>36432</v>
      </c>
      <c r="BE11" s="170">
        <v>350</v>
      </c>
      <c r="BF11"/>
      <c r="BG11"/>
      <c r="BH11"/>
    </row>
    <row r="12" spans="1:60" s="8" customFormat="1" ht="18" customHeight="1" x14ac:dyDescent="0.25">
      <c r="A12" s="1">
        <v>2002</v>
      </c>
      <c r="B12" s="6"/>
      <c r="C12" s="6"/>
      <c r="D12" s="6"/>
      <c r="E12" s="6"/>
      <c r="F12" s="6"/>
      <c r="G12" s="119">
        <v>21</v>
      </c>
      <c r="H12" s="122">
        <v>60</v>
      </c>
      <c r="I12" s="122">
        <v>114</v>
      </c>
      <c r="J12" s="122">
        <v>247</v>
      </c>
      <c r="K12" s="122">
        <v>297</v>
      </c>
      <c r="L12" s="122">
        <v>64</v>
      </c>
      <c r="M12" s="122">
        <v>39</v>
      </c>
      <c r="N12" s="122">
        <v>26</v>
      </c>
      <c r="O12" s="541">
        <v>0</v>
      </c>
      <c r="P12" s="113">
        <v>0</v>
      </c>
      <c r="Q12" s="6"/>
      <c r="R12" s="119">
        <v>0</v>
      </c>
      <c r="S12" s="6"/>
      <c r="T12" s="1"/>
      <c r="U12" s="1"/>
      <c r="V12" s="1"/>
      <c r="W12" s="1"/>
      <c r="X12" s="7">
        <v>517</v>
      </c>
      <c r="Y12" s="7" t="s">
        <v>5</v>
      </c>
      <c r="Z12" s="10">
        <v>20</v>
      </c>
      <c r="AA12" s="73">
        <f t="shared" si="0"/>
        <v>297</v>
      </c>
      <c r="AB12" s="72">
        <f t="shared" si="1"/>
        <v>1.7407407407407407</v>
      </c>
      <c r="AC12" t="s">
        <v>346</v>
      </c>
      <c r="AD12">
        <v>319</v>
      </c>
      <c r="AE12">
        <v>623</v>
      </c>
      <c r="AF12">
        <v>92</v>
      </c>
      <c r="AG12"/>
      <c r="AH12" s="165"/>
      <c r="AI12" s="402">
        <v>43733</v>
      </c>
      <c r="AJ12" s="170">
        <v>100</v>
      </c>
      <c r="AK12"/>
      <c r="AL12" s="171">
        <v>0.8</v>
      </c>
      <c r="AM12" s="172">
        <f t="shared" si="5"/>
        <v>125</v>
      </c>
      <c r="AN12"/>
      <c r="AO12" s="172">
        <f t="shared" si="6"/>
        <v>1296</v>
      </c>
      <c r="AP12"/>
      <c r="AQ12" s="172">
        <f t="shared" si="7"/>
        <v>1523.3333333333333</v>
      </c>
      <c r="AS12" s="168">
        <v>36451</v>
      </c>
      <c r="AT12" s="170">
        <v>50</v>
      </c>
      <c r="AU12"/>
      <c r="AV12" s="171">
        <v>1</v>
      </c>
      <c r="AW12" s="172">
        <f t="shared" si="2"/>
        <v>50</v>
      </c>
      <c r="AX12"/>
      <c r="AY12" s="172">
        <f t="shared" si="3"/>
        <v>11060</v>
      </c>
      <c r="AZ12"/>
      <c r="BA12" s="172">
        <f t="shared" si="4"/>
        <v>11060</v>
      </c>
      <c r="BB12"/>
      <c r="BC12"/>
      <c r="BD12" s="168">
        <v>36437</v>
      </c>
      <c r="BE12" s="170">
        <v>740</v>
      </c>
      <c r="BF12"/>
      <c r="BG12"/>
      <c r="BH12"/>
    </row>
    <row r="13" spans="1:60" s="8" customFormat="1" ht="18" customHeight="1" x14ac:dyDescent="0.25">
      <c r="A13" s="1">
        <v>2003</v>
      </c>
      <c r="B13" s="6"/>
      <c r="C13" s="6"/>
      <c r="D13" s="6"/>
      <c r="E13" s="6"/>
      <c r="F13" s="6"/>
      <c r="G13" s="119">
        <v>0</v>
      </c>
      <c r="H13" s="359"/>
      <c r="I13" s="122">
        <v>562</v>
      </c>
      <c r="J13" s="122">
        <v>620</v>
      </c>
      <c r="K13" s="121">
        <v>20</v>
      </c>
      <c r="L13" s="359"/>
      <c r="M13" s="541">
        <v>0</v>
      </c>
      <c r="N13" s="122">
        <v>47</v>
      </c>
      <c r="O13" s="359"/>
      <c r="P13" s="6"/>
      <c r="Q13" s="6"/>
      <c r="R13" s="6"/>
      <c r="S13" s="6"/>
      <c r="T13" s="1"/>
      <c r="U13" s="1"/>
      <c r="V13" s="1"/>
      <c r="W13" s="1"/>
      <c r="X13" s="7">
        <v>660</v>
      </c>
      <c r="Y13" s="7" t="s">
        <v>5</v>
      </c>
      <c r="Z13" s="10">
        <v>21</v>
      </c>
      <c r="AA13" s="73">
        <f t="shared" si="0"/>
        <v>620</v>
      </c>
      <c r="AB13" s="72">
        <f t="shared" si="1"/>
        <v>1.064516129032258</v>
      </c>
      <c r="AC13" t="s">
        <v>337</v>
      </c>
      <c r="AD13">
        <v>630</v>
      </c>
      <c r="AE13">
        <v>739</v>
      </c>
      <c r="AF13">
        <v>79</v>
      </c>
      <c r="AG13"/>
      <c r="AH13" s="173"/>
      <c r="AI13" s="402">
        <v>43740</v>
      </c>
      <c r="AJ13" s="170">
        <v>442</v>
      </c>
      <c r="AK13"/>
      <c r="AL13" s="171">
        <v>0.8</v>
      </c>
      <c r="AM13" s="172">
        <f t="shared" si="5"/>
        <v>552.5</v>
      </c>
      <c r="AN13"/>
      <c r="AO13" s="172">
        <f t="shared" si="6"/>
        <v>3794</v>
      </c>
      <c r="AP13"/>
      <c r="AQ13" s="172">
        <f t="shared" si="7"/>
        <v>4742.5</v>
      </c>
      <c r="AS13" s="168">
        <v>36466</v>
      </c>
      <c r="AT13" s="170">
        <v>0</v>
      </c>
      <c r="AU13"/>
      <c r="AV13" s="171">
        <v>1</v>
      </c>
      <c r="AW13" s="172">
        <f t="shared" si="2"/>
        <v>0</v>
      </c>
      <c r="AX13"/>
      <c r="AY13" s="172">
        <f t="shared" si="3"/>
        <v>750</v>
      </c>
      <c r="AZ13"/>
      <c r="BA13" s="172">
        <f t="shared" si="4"/>
        <v>750</v>
      </c>
      <c r="BB13"/>
      <c r="BC13"/>
      <c r="BD13" s="168">
        <v>36444</v>
      </c>
      <c r="BE13" s="170">
        <v>5</v>
      </c>
      <c r="BF13"/>
      <c r="BG13"/>
      <c r="BH13"/>
    </row>
    <row r="14" spans="1:60" s="8" customFormat="1" ht="18" customHeight="1" x14ac:dyDescent="0.25">
      <c r="A14" s="1">
        <v>2004</v>
      </c>
      <c r="B14" s="6"/>
      <c r="C14" s="6"/>
      <c r="D14" s="6"/>
      <c r="E14" s="6"/>
      <c r="F14" s="6"/>
      <c r="G14" s="6"/>
      <c r="H14" s="122">
        <v>1040</v>
      </c>
      <c r="I14" s="122">
        <v>686</v>
      </c>
      <c r="J14" s="122">
        <v>576</v>
      </c>
      <c r="K14" s="122">
        <v>702</v>
      </c>
      <c r="L14" s="122">
        <v>815</v>
      </c>
      <c r="M14" s="122">
        <v>318</v>
      </c>
      <c r="N14" s="121">
        <v>0</v>
      </c>
      <c r="O14" s="122">
        <v>7</v>
      </c>
      <c r="P14" s="119">
        <v>0</v>
      </c>
      <c r="Q14" s="6"/>
      <c r="R14" s="6"/>
      <c r="S14" s="6"/>
      <c r="T14" s="1"/>
      <c r="U14" s="1"/>
      <c r="V14" s="1"/>
      <c r="W14" s="1"/>
      <c r="X14" s="11">
        <v>1221</v>
      </c>
      <c r="Y14" s="7" t="s">
        <v>5</v>
      </c>
      <c r="Z14" s="57">
        <v>30</v>
      </c>
      <c r="AA14" s="73">
        <f t="shared" si="0"/>
        <v>1040</v>
      </c>
      <c r="AB14" s="72">
        <f t="shared" si="1"/>
        <v>1.1740384615384616</v>
      </c>
      <c r="AC14" t="s">
        <v>337</v>
      </c>
      <c r="AD14">
        <v>1192</v>
      </c>
      <c r="AE14">
        <v>1284</v>
      </c>
      <c r="AF14">
        <v>63</v>
      </c>
      <c r="AG14"/>
      <c r="AH14" s="173"/>
      <c r="AI14" s="402">
        <v>43746</v>
      </c>
      <c r="AJ14" s="170">
        <v>328</v>
      </c>
      <c r="AK14"/>
      <c r="AL14" s="171">
        <v>0.8</v>
      </c>
      <c r="AM14" s="172">
        <f>AJ14/AL14</f>
        <v>410</v>
      </c>
      <c r="AN14"/>
      <c r="AO14" s="172">
        <f>(AI14-AI13)*(AJ14+AJ13)</f>
        <v>4620</v>
      </c>
      <c r="AP14"/>
      <c r="AQ14" s="172">
        <f>(AI14-AI13)*(AM14+AM13)</f>
        <v>5775</v>
      </c>
      <c r="AR14" s="165" t="s">
        <v>128</v>
      </c>
      <c r="AS14" s="175">
        <v>36513</v>
      </c>
      <c r="AT14" s="176">
        <v>0</v>
      </c>
      <c r="AU14"/>
      <c r="AV14" s="177"/>
      <c r="AW14" s="178">
        <v>0</v>
      </c>
      <c r="AX14" s="179"/>
      <c r="AY14" s="172">
        <f t="shared" si="3"/>
        <v>0</v>
      </c>
      <c r="AZ14"/>
      <c r="BA14" s="172">
        <f t="shared" si="4"/>
        <v>0</v>
      </c>
      <c r="BB14"/>
      <c r="BC14"/>
      <c r="BD14" s="168">
        <v>36445</v>
      </c>
      <c r="BE14" s="170">
        <v>5</v>
      </c>
      <c r="BF14"/>
      <c r="BG14"/>
      <c r="BH14"/>
    </row>
    <row r="15" spans="1:60" s="8" customFormat="1" ht="18" customHeight="1" x14ac:dyDescent="0.25">
      <c r="A15" s="1">
        <v>2005</v>
      </c>
      <c r="B15" s="6"/>
      <c r="C15" s="6"/>
      <c r="D15" s="6"/>
      <c r="E15" s="6"/>
      <c r="F15" s="6"/>
      <c r="G15" s="6"/>
      <c r="H15" s="359"/>
      <c r="I15" s="122">
        <v>18</v>
      </c>
      <c r="J15" s="122">
        <v>92</v>
      </c>
      <c r="K15" s="541">
        <v>139</v>
      </c>
      <c r="L15" s="541">
        <v>91</v>
      </c>
      <c r="M15" s="122">
        <v>70</v>
      </c>
      <c r="N15" s="122">
        <v>57</v>
      </c>
      <c r="O15" s="359"/>
      <c r="P15" s="119">
        <v>0</v>
      </c>
      <c r="Q15" s="6"/>
      <c r="R15" s="6"/>
      <c r="S15" s="6"/>
      <c r="T15" s="1"/>
      <c r="U15" s="1"/>
      <c r="V15" s="1"/>
      <c r="W15" s="1"/>
      <c r="X15" s="11">
        <v>159</v>
      </c>
      <c r="Y15" s="7" t="s">
        <v>5</v>
      </c>
      <c r="Z15" s="54">
        <v>22.5</v>
      </c>
      <c r="AA15" s="73">
        <f t="shared" si="0"/>
        <v>139</v>
      </c>
      <c r="AB15" s="72">
        <f t="shared" si="1"/>
        <v>1.1438848920863309</v>
      </c>
      <c r="AC15" t="s">
        <v>337</v>
      </c>
      <c r="AD15">
        <v>159</v>
      </c>
      <c r="AE15">
        <v>197</v>
      </c>
      <c r="AF15">
        <v>38</v>
      </c>
      <c r="AG15"/>
      <c r="AH15" s="174"/>
      <c r="AI15" s="402">
        <v>43770</v>
      </c>
      <c r="AJ15" s="170">
        <v>0</v>
      </c>
      <c r="AK15"/>
      <c r="AL15" s="171">
        <v>0.65</v>
      </c>
      <c r="AM15" s="172">
        <f>AJ15/AL15</f>
        <v>0</v>
      </c>
      <c r="AN15"/>
      <c r="AO15" s="172">
        <f>(AI15-AI14)*(AJ15+AJ14)</f>
        <v>7872</v>
      </c>
      <c r="AP15"/>
      <c r="AQ15" s="172">
        <f>(AI15-AI14)*(AM15+AM14)</f>
        <v>9840</v>
      </c>
      <c r="AR15" s="165" t="s">
        <v>2</v>
      </c>
      <c r="AS15" s="167">
        <v>7</v>
      </c>
      <c r="AT15" s="167"/>
      <c r="AU15" s="167"/>
      <c r="AV15"/>
      <c r="AW15"/>
      <c r="AX15"/>
      <c r="AY15"/>
      <c r="AZ15"/>
      <c r="BA15"/>
      <c r="BB15"/>
      <c r="BC15"/>
      <c r="BD15" s="168">
        <v>36451</v>
      </c>
      <c r="BE15" s="170">
        <v>50</v>
      </c>
      <c r="BF15"/>
      <c r="BG15"/>
      <c r="BH15"/>
    </row>
    <row r="16" spans="1:60" s="8" customFormat="1" ht="18" customHeight="1" x14ac:dyDescent="0.25">
      <c r="A16" s="1">
        <v>2006</v>
      </c>
      <c r="B16" s="6"/>
      <c r="C16" s="6"/>
      <c r="D16" s="6"/>
      <c r="E16" s="6"/>
      <c r="F16" s="6"/>
      <c r="G16" s="6"/>
      <c r="H16" s="122">
        <v>57</v>
      </c>
      <c r="I16" s="122">
        <v>368</v>
      </c>
      <c r="J16" s="122">
        <v>416</v>
      </c>
      <c r="K16" s="122">
        <v>361</v>
      </c>
      <c r="L16" s="122">
        <v>171</v>
      </c>
      <c r="M16" s="122">
        <v>290</v>
      </c>
      <c r="N16" s="359"/>
      <c r="O16" s="359"/>
      <c r="P16" s="6"/>
      <c r="Q16" s="6"/>
      <c r="R16" s="6"/>
      <c r="S16" s="6"/>
      <c r="T16" s="1"/>
      <c r="U16" s="1"/>
      <c r="V16" s="1"/>
      <c r="W16" s="1"/>
      <c r="X16" s="12">
        <v>485</v>
      </c>
      <c r="Y16" s="7" t="s">
        <v>5</v>
      </c>
      <c r="Z16" s="53">
        <v>30</v>
      </c>
      <c r="AA16" s="73">
        <f t="shared" si="0"/>
        <v>416</v>
      </c>
      <c r="AB16" s="72">
        <f t="shared" si="1"/>
        <v>1.1658653846153846</v>
      </c>
      <c r="AC16" t="s">
        <v>337</v>
      </c>
      <c r="AD16">
        <v>351</v>
      </c>
      <c r="AE16">
        <v>549</v>
      </c>
      <c r="AF16">
        <v>62</v>
      </c>
      <c r="AG16"/>
      <c r="AI16" s="402">
        <v>43770</v>
      </c>
      <c r="AJ16" s="170">
        <v>0</v>
      </c>
      <c r="AK16"/>
      <c r="AL16" s="171">
        <v>0.8</v>
      </c>
      <c r="AM16" s="172">
        <f t="shared" si="5"/>
        <v>0</v>
      </c>
      <c r="AN16"/>
      <c r="AO16" s="172">
        <f t="shared" si="6"/>
        <v>0</v>
      </c>
      <c r="AP16"/>
      <c r="AQ16" s="172">
        <f t="shared" si="7"/>
        <v>0</v>
      </c>
      <c r="AR16" s="165" t="s">
        <v>129</v>
      </c>
      <c r="AS16" s="167"/>
      <c r="AT16" s="167">
        <f>MAX(AT7:AT14)</f>
        <v>740</v>
      </c>
      <c r="AU16" s="167"/>
      <c r="AV16" s="167"/>
      <c r="AW16" s="167">
        <f>MAX(AW7:AW14)</f>
        <v>740</v>
      </c>
      <c r="AX16" s="167"/>
      <c r="AY16" s="167"/>
      <c r="AZ16" s="180"/>
      <c r="BA16"/>
      <c r="BB16"/>
      <c r="BC16"/>
      <c r="BD16" s="8">
        <v>36466</v>
      </c>
      <c r="BE16" s="8">
        <v>0</v>
      </c>
      <c r="BF16"/>
      <c r="BG16"/>
      <c r="BH16"/>
    </row>
    <row r="17" spans="1:60" s="8" customFormat="1" ht="18" customHeight="1" x14ac:dyDescent="0.25">
      <c r="A17" s="1">
        <v>2007</v>
      </c>
      <c r="B17" s="6"/>
      <c r="C17" s="6"/>
      <c r="D17" s="6"/>
      <c r="E17" s="6"/>
      <c r="F17" s="119">
        <v>20</v>
      </c>
      <c r="G17" s="6"/>
      <c r="H17" s="359"/>
      <c r="I17" s="122">
        <v>76</v>
      </c>
      <c r="J17" s="359"/>
      <c r="K17" s="122">
        <v>0</v>
      </c>
      <c r="L17" s="122">
        <v>6</v>
      </c>
      <c r="M17" s="122">
        <v>126</v>
      </c>
      <c r="N17" s="359"/>
      <c r="O17" s="122">
        <v>14</v>
      </c>
      <c r="P17" s="6"/>
      <c r="Q17" s="6"/>
      <c r="R17" s="6"/>
      <c r="S17" s="6"/>
      <c r="T17" s="1"/>
      <c r="U17" s="1"/>
      <c r="V17" s="1"/>
      <c r="W17" s="1"/>
      <c r="X17" s="12">
        <v>166</v>
      </c>
      <c r="Y17" s="7" t="s">
        <v>5</v>
      </c>
      <c r="Z17" s="54">
        <v>30</v>
      </c>
      <c r="AA17" s="73">
        <f t="shared" si="0"/>
        <v>126</v>
      </c>
      <c r="AB17" s="72">
        <f t="shared" si="1"/>
        <v>1.3174603174603174</v>
      </c>
      <c r="AC17" t="s">
        <v>337</v>
      </c>
      <c r="AD17">
        <v>166</v>
      </c>
      <c r="AE17" t="s">
        <v>336</v>
      </c>
      <c r="AF17">
        <v>36</v>
      </c>
      <c r="AG17"/>
      <c r="AI17" s="402">
        <v>43777</v>
      </c>
      <c r="AJ17" s="170">
        <v>0</v>
      </c>
      <c r="AK17"/>
      <c r="AL17" s="171">
        <v>0.8</v>
      </c>
      <c r="AM17" s="172">
        <f t="shared" si="5"/>
        <v>0</v>
      </c>
      <c r="AN17"/>
      <c r="AO17" s="172">
        <f t="shared" si="6"/>
        <v>0</v>
      </c>
      <c r="AP17"/>
      <c r="AQ17" s="172">
        <f t="shared" si="7"/>
        <v>0</v>
      </c>
      <c r="AR17" s="165" t="s">
        <v>130</v>
      </c>
      <c r="AS17" s="167"/>
      <c r="AT17" s="169">
        <v>10</v>
      </c>
      <c r="AU17" s="167"/>
      <c r="AV17"/>
      <c r="AW17" s="169">
        <v>12</v>
      </c>
      <c r="BB17"/>
      <c r="BC17"/>
      <c r="BD17"/>
      <c r="BE17"/>
      <c r="BF17"/>
      <c r="BG17"/>
      <c r="BH17"/>
    </row>
    <row r="18" spans="1:60" s="8" customFormat="1" ht="18" customHeight="1" x14ac:dyDescent="0.25">
      <c r="A18" s="1">
        <v>2008</v>
      </c>
      <c r="B18" s="1"/>
      <c r="C18" s="1"/>
      <c r="D18" s="123">
        <v>0</v>
      </c>
      <c r="E18" s="1"/>
      <c r="F18" s="123">
        <v>27</v>
      </c>
      <c r="G18" s="1"/>
      <c r="H18" s="543">
        <v>45</v>
      </c>
      <c r="I18" s="14"/>
      <c r="J18" s="543">
        <v>144</v>
      </c>
      <c r="K18" s="543">
        <v>138</v>
      </c>
      <c r="L18" s="14"/>
      <c r="M18" s="543">
        <v>88</v>
      </c>
      <c r="N18" s="14"/>
      <c r="O18" s="543">
        <v>5</v>
      </c>
      <c r="P18" s="1"/>
      <c r="Q18" s="1"/>
      <c r="R18" s="1"/>
      <c r="S18" s="1"/>
      <c r="T18" s="1"/>
      <c r="U18" s="1"/>
      <c r="V18" s="1"/>
      <c r="W18" s="1"/>
      <c r="X18" s="1">
        <v>165</v>
      </c>
      <c r="Y18" s="7" t="s">
        <v>5</v>
      </c>
      <c r="Z18" s="54">
        <v>35</v>
      </c>
      <c r="AA18" s="73">
        <f t="shared" si="0"/>
        <v>144</v>
      </c>
      <c r="AB18" s="72">
        <f t="shared" si="1"/>
        <v>1.1458333333333333</v>
      </c>
      <c r="AC18" t="s">
        <v>337</v>
      </c>
      <c r="AD18">
        <v>140</v>
      </c>
      <c r="AE18">
        <v>170</v>
      </c>
      <c r="AF18">
        <v>16</v>
      </c>
      <c r="AG18"/>
      <c r="AH18" s="165" t="s">
        <v>128</v>
      </c>
      <c r="AI18" s="402">
        <v>42689</v>
      </c>
      <c r="AJ18" s="176">
        <v>0</v>
      </c>
      <c r="AK18"/>
      <c r="AL18" s="177"/>
      <c r="AM18" s="178">
        <v>0</v>
      </c>
      <c r="AN18" s="179"/>
      <c r="AO18" s="172">
        <f t="shared" si="6"/>
        <v>0</v>
      </c>
      <c r="AP18"/>
      <c r="AQ18" s="172">
        <f t="shared" si="7"/>
        <v>0</v>
      </c>
      <c r="AR18" s="165" t="s">
        <v>131</v>
      </c>
      <c r="AS18" s="167"/>
      <c r="AT18" s="181">
        <f>(0.5*SUM(AY8:AY14))/AT17</f>
        <v>1064.5</v>
      </c>
      <c r="AU18" s="167"/>
      <c r="AV18"/>
      <c r="AW18" s="181">
        <f>(0.5*SUM(BA8:BA14))/AW17</f>
        <v>887.08333333333337</v>
      </c>
      <c r="BB18"/>
      <c r="BC18"/>
      <c r="BD18"/>
      <c r="BE18"/>
      <c r="BF18"/>
      <c r="BG18"/>
      <c r="BH18"/>
    </row>
    <row r="19" spans="1:60" s="8" customFormat="1" ht="18" customHeight="1" x14ac:dyDescent="0.2">
      <c r="A19" s="1">
        <v>2009</v>
      </c>
      <c r="B19" s="1"/>
      <c r="C19" s="1"/>
      <c r="D19" s="1"/>
      <c r="E19" s="1"/>
      <c r="F19" s="1"/>
      <c r="G19" s="123">
        <v>3</v>
      </c>
      <c r="H19" s="14"/>
      <c r="I19" s="543">
        <v>22</v>
      </c>
      <c r="J19" s="543">
        <v>72</v>
      </c>
      <c r="K19" s="543">
        <v>31</v>
      </c>
      <c r="L19" s="543">
        <v>32</v>
      </c>
      <c r="M19" s="543">
        <v>32</v>
      </c>
      <c r="N19" s="543">
        <v>44</v>
      </c>
      <c r="O19" s="14"/>
      <c r="P19" s="1"/>
      <c r="Q19" s="1"/>
      <c r="R19" s="1"/>
      <c r="S19" s="1"/>
      <c r="T19" s="1"/>
      <c r="U19" s="1"/>
      <c r="V19" s="1"/>
      <c r="W19" s="1"/>
      <c r="X19" s="1">
        <v>100</v>
      </c>
      <c r="Y19" s="7" t="s">
        <v>5</v>
      </c>
      <c r="Z19" s="54">
        <v>30</v>
      </c>
      <c r="AA19" s="73">
        <f t="shared" si="0"/>
        <v>72</v>
      </c>
      <c r="AB19" s="72">
        <f t="shared" si="1"/>
        <v>1.3888888888888888</v>
      </c>
      <c r="AC19" t="s">
        <v>337</v>
      </c>
      <c r="AD19">
        <v>100</v>
      </c>
      <c r="AE19">
        <v>110</v>
      </c>
      <c r="AF19">
        <v>10</v>
      </c>
      <c r="AG19"/>
      <c r="AH19" s="165" t="s">
        <v>2</v>
      </c>
      <c r="AI19" s="167">
        <v>7</v>
      </c>
      <c r="AJ19" s="167"/>
      <c r="AK19" s="167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s="8" customFormat="1" ht="18" customHeight="1" x14ac:dyDescent="0.2">
      <c r="A20" s="1">
        <v>2010</v>
      </c>
      <c r="B20" s="1"/>
      <c r="C20" s="1"/>
      <c r="D20" s="1"/>
      <c r="E20" s="123">
        <v>4</v>
      </c>
      <c r="F20" s="1"/>
      <c r="G20" s="1"/>
      <c r="H20" s="543">
        <v>34</v>
      </c>
      <c r="I20" s="543">
        <v>53</v>
      </c>
      <c r="J20" s="543">
        <v>14</v>
      </c>
      <c r="K20" s="543">
        <v>345</v>
      </c>
      <c r="L20" s="14"/>
      <c r="M20" s="14"/>
      <c r="N20" s="14"/>
      <c r="O20" s="14"/>
      <c r="P20" s="1"/>
      <c r="Q20" s="1"/>
      <c r="R20" s="1"/>
      <c r="S20" s="1"/>
      <c r="T20" s="1"/>
      <c r="U20" s="1"/>
      <c r="V20" s="1"/>
      <c r="W20" s="1"/>
      <c r="X20" s="1">
        <v>470</v>
      </c>
      <c r="Y20" s="7" t="s">
        <v>5</v>
      </c>
      <c r="Z20" s="54">
        <v>15</v>
      </c>
      <c r="AA20" s="73">
        <f t="shared" ref="AA20:AA25" si="8">MAX(B20:W20)</f>
        <v>345</v>
      </c>
      <c r="AB20" s="72">
        <f t="shared" ref="AB20:AB25" si="9">X20/AA20</f>
        <v>1.3623188405797102</v>
      </c>
      <c r="AC20" t="s">
        <v>339</v>
      </c>
      <c r="AD20">
        <v>400</v>
      </c>
      <c r="AE20">
        <v>483</v>
      </c>
      <c r="AF20">
        <v>13</v>
      </c>
      <c r="AG20"/>
      <c r="AH20" s="165" t="s">
        <v>129</v>
      </c>
      <c r="AI20" s="167"/>
      <c r="AJ20" s="167">
        <f>MAX(AJ8:AJ18)</f>
        <v>442</v>
      </c>
      <c r="AK20" s="167"/>
      <c r="AL20" s="167"/>
      <c r="AM20" s="167">
        <f>MAX(AM8:AM18)</f>
        <v>552.5</v>
      </c>
      <c r="AN20" s="167"/>
      <c r="AO20" s="167"/>
      <c r="AP20" s="18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s="8" customFormat="1" ht="18" customHeight="1" x14ac:dyDescent="0.2">
      <c r="A21" s="1">
        <v>2011</v>
      </c>
      <c r="B21" s="1"/>
      <c r="C21" s="1"/>
      <c r="D21" s="1"/>
      <c r="E21" s="1"/>
      <c r="F21" s="1"/>
      <c r="G21" s="1"/>
      <c r="H21" s="14"/>
      <c r="I21" s="543">
        <v>30</v>
      </c>
      <c r="J21" s="543">
        <v>295</v>
      </c>
      <c r="K21" s="14"/>
      <c r="L21" s="14"/>
      <c r="M21" s="543">
        <v>31</v>
      </c>
      <c r="N21" s="14"/>
      <c r="O21" s="543">
        <v>4</v>
      </c>
      <c r="P21" s="123">
        <v>1</v>
      </c>
      <c r="Q21" s="1"/>
      <c r="R21" s="1"/>
      <c r="S21" s="1"/>
      <c r="T21" s="1"/>
      <c r="U21" s="1"/>
      <c r="V21" s="1"/>
      <c r="W21" s="1"/>
      <c r="X21" s="54">
        <v>640</v>
      </c>
      <c r="Y21" s="7" t="s">
        <v>9</v>
      </c>
      <c r="Z21" s="54"/>
      <c r="AA21" s="73">
        <f t="shared" si="8"/>
        <v>295</v>
      </c>
      <c r="AB21" s="72">
        <f t="shared" si="9"/>
        <v>2.1694915254237288</v>
      </c>
      <c r="AC21" t="s">
        <v>341</v>
      </c>
      <c r="AD21">
        <v>295</v>
      </c>
      <c r="AE21">
        <v>318</v>
      </c>
      <c r="AF21">
        <v>23</v>
      </c>
      <c r="AG21"/>
      <c r="AH21" s="165" t="s">
        <v>130</v>
      </c>
      <c r="AI21" s="167"/>
      <c r="AJ21" s="169">
        <v>20</v>
      </c>
      <c r="AK21" s="167"/>
      <c r="AL21"/>
      <c r="AM21" s="169">
        <v>20</v>
      </c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8" customFormat="1" ht="18" customHeight="1" x14ac:dyDescent="0.2">
      <c r="A22" s="1">
        <v>2012</v>
      </c>
      <c r="B22" s="1"/>
      <c r="C22" s="1"/>
      <c r="D22" s="1"/>
      <c r="E22" s="1"/>
      <c r="F22" s="1"/>
      <c r="G22" s="123">
        <v>39</v>
      </c>
      <c r="H22" s="543">
        <v>59</v>
      </c>
      <c r="I22" s="543">
        <v>95</v>
      </c>
      <c r="J22" s="543">
        <v>60</v>
      </c>
      <c r="K22" s="14"/>
      <c r="L22" s="14"/>
      <c r="M22" s="543">
        <v>20</v>
      </c>
      <c r="N22" s="14"/>
      <c r="O22" s="543">
        <v>0</v>
      </c>
      <c r="P22" s="1"/>
      <c r="Q22" s="1"/>
      <c r="R22" s="1"/>
      <c r="S22" s="1"/>
      <c r="T22" s="1"/>
      <c r="U22" s="1"/>
      <c r="V22" s="1"/>
      <c r="W22" s="1"/>
      <c r="X22" s="54">
        <v>178</v>
      </c>
      <c r="Y22" s="7" t="s">
        <v>5</v>
      </c>
      <c r="Z22" s="54">
        <v>20</v>
      </c>
      <c r="AA22" s="73">
        <f t="shared" si="8"/>
        <v>95</v>
      </c>
      <c r="AB22" s="72">
        <f t="shared" si="9"/>
        <v>1.8736842105263158</v>
      </c>
      <c r="AC22" t="s">
        <v>337</v>
      </c>
      <c r="AD22">
        <v>178</v>
      </c>
      <c r="AE22">
        <v>278</v>
      </c>
      <c r="AF22">
        <v>59</v>
      </c>
      <c r="AG22" s="119" t="s">
        <v>100</v>
      </c>
      <c r="AH22" s="165" t="s">
        <v>131</v>
      </c>
      <c r="AI22" s="167"/>
      <c r="AJ22" s="181">
        <f>(0.5*SUM(AO9:AO18))/AJ21</f>
        <v>474.45</v>
      </c>
      <c r="AK22" s="167"/>
      <c r="AL22"/>
      <c r="AM22" s="181">
        <f>(0.5*SUM(AQ9:AQ18))/AM21</f>
        <v>590.02083333333337</v>
      </c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s="8" customFormat="1" ht="18" customHeight="1" x14ac:dyDescent="0.2">
      <c r="A23" s="1">
        <v>2013</v>
      </c>
      <c r="B23" s="1"/>
      <c r="C23" s="1"/>
      <c r="D23" s="1"/>
      <c r="E23" s="1"/>
      <c r="F23" s="123">
        <v>23</v>
      </c>
      <c r="G23" s="1"/>
      <c r="H23" s="14"/>
      <c r="I23" s="543">
        <v>67</v>
      </c>
      <c r="J23" s="14"/>
      <c r="K23" s="543">
        <v>61</v>
      </c>
      <c r="L23" s="543">
        <v>31</v>
      </c>
      <c r="M23" s="543">
        <v>4</v>
      </c>
      <c r="N23" s="14"/>
      <c r="O23" s="14"/>
      <c r="Q23" s="123">
        <v>0</v>
      </c>
      <c r="R23" s="1"/>
      <c r="S23" s="1"/>
      <c r="T23" s="1"/>
      <c r="U23" s="1"/>
      <c r="V23" s="1"/>
      <c r="W23" s="1"/>
      <c r="X23" s="54">
        <v>192</v>
      </c>
      <c r="Y23" s="7" t="s">
        <v>5</v>
      </c>
      <c r="Z23" s="54">
        <v>25</v>
      </c>
      <c r="AA23" s="73">
        <f t="shared" si="8"/>
        <v>67</v>
      </c>
      <c r="AB23" s="72">
        <f t="shared" si="9"/>
        <v>2.8656716417910446</v>
      </c>
      <c r="AC23" t="s">
        <v>337</v>
      </c>
      <c r="AD23">
        <v>67</v>
      </c>
      <c r="AE23">
        <v>73</v>
      </c>
      <c r="AF23">
        <v>159</v>
      </c>
      <c r="AG23" s="110" t="s">
        <v>103</v>
      </c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s="8" customFormat="1" ht="18" customHeight="1" x14ac:dyDescent="0.2">
      <c r="A24" s="1">
        <v>2014</v>
      </c>
      <c r="B24" s="1"/>
      <c r="C24" s="1"/>
      <c r="D24" s="1"/>
      <c r="E24" s="1"/>
      <c r="G24" s="123">
        <v>14</v>
      </c>
      <c r="H24" s="14"/>
      <c r="I24" s="543">
        <v>11</v>
      </c>
      <c r="J24" s="543">
        <v>41</v>
      </c>
      <c r="K24" s="543">
        <v>27</v>
      </c>
      <c r="L24" s="543">
        <v>16</v>
      </c>
      <c r="M24" s="544"/>
      <c r="N24" s="14"/>
      <c r="O24" s="14"/>
      <c r="P24" s="123">
        <v>0</v>
      </c>
      <c r="R24" s="1"/>
      <c r="S24" s="1"/>
      <c r="T24" s="1"/>
      <c r="U24" s="1"/>
      <c r="V24" s="1"/>
      <c r="W24" s="1"/>
      <c r="X24" s="54">
        <v>73</v>
      </c>
      <c r="Y24" s="7" t="s">
        <v>5</v>
      </c>
      <c r="Z24" s="54">
        <v>20</v>
      </c>
      <c r="AA24" s="73">
        <f t="shared" si="8"/>
        <v>41</v>
      </c>
      <c r="AB24" s="72">
        <f t="shared" si="9"/>
        <v>1.7804878048780488</v>
      </c>
      <c r="AC24" t="s">
        <v>339</v>
      </c>
      <c r="AD24">
        <v>396</v>
      </c>
      <c r="AE24">
        <v>537</v>
      </c>
      <c r="AF24">
        <v>61</v>
      </c>
      <c r="AG24" s="113" t="s">
        <v>99</v>
      </c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s="8" customFormat="1" ht="18" customHeight="1" x14ac:dyDescent="0.25">
      <c r="A25" s="1">
        <v>2015</v>
      </c>
      <c r="B25" s="1"/>
      <c r="C25" s="1"/>
      <c r="D25" s="1"/>
      <c r="E25" s="1"/>
      <c r="F25" s="123">
        <v>104</v>
      </c>
      <c r="G25" s="119">
        <v>160</v>
      </c>
      <c r="H25" s="122">
        <v>266</v>
      </c>
      <c r="I25" s="122">
        <v>267</v>
      </c>
      <c r="J25" s="122">
        <v>290</v>
      </c>
      <c r="K25" s="544"/>
      <c r="L25" s="122">
        <v>45</v>
      </c>
      <c r="M25" s="122">
        <v>8</v>
      </c>
      <c r="N25" s="122">
        <v>3</v>
      </c>
      <c r="O25" s="544"/>
      <c r="U25" s="1"/>
      <c r="V25" s="1"/>
      <c r="W25" s="1"/>
      <c r="X25" s="54">
        <v>477</v>
      </c>
      <c r="Y25" s="7" t="s">
        <v>5</v>
      </c>
      <c r="Z25" s="54">
        <v>25</v>
      </c>
      <c r="AA25" s="73">
        <f t="shared" si="8"/>
        <v>290</v>
      </c>
      <c r="AB25" s="72">
        <f t="shared" si="9"/>
        <v>1.6448275862068966</v>
      </c>
      <c r="AC25" t="s">
        <v>339</v>
      </c>
      <c r="AD25"/>
      <c r="AE25"/>
      <c r="AF25"/>
      <c r="AG25" s="112" t="s">
        <v>104</v>
      </c>
      <c r="AH25"/>
      <c r="AI25" s="402">
        <v>43763</v>
      </c>
      <c r="AJ25" s="170">
        <v>5</v>
      </c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s="8" customFormat="1" ht="18" customHeight="1" x14ac:dyDescent="0.2">
      <c r="A26" s="1">
        <v>2016</v>
      </c>
      <c r="B26" s="1"/>
      <c r="C26" s="1"/>
      <c r="D26" s="1"/>
      <c r="E26" s="1"/>
      <c r="F26" s="123">
        <v>55</v>
      </c>
      <c r="G26" s="123">
        <v>145</v>
      </c>
      <c r="H26" s="122">
        <v>173</v>
      </c>
      <c r="I26" s="547">
        <v>243</v>
      </c>
      <c r="J26" s="548">
        <v>158</v>
      </c>
      <c r="K26" s="304">
        <v>238</v>
      </c>
      <c r="L26" s="548">
        <v>465</v>
      </c>
      <c r="M26" s="14"/>
      <c r="N26" s="14"/>
      <c r="O26" s="129">
        <v>2</v>
      </c>
      <c r="U26" s="1"/>
      <c r="V26" s="1"/>
      <c r="W26" s="1"/>
      <c r="X26" s="54">
        <v>678</v>
      </c>
      <c r="Y26" s="7" t="s">
        <v>5</v>
      </c>
      <c r="Z26" s="54">
        <v>20</v>
      </c>
      <c r="AA26" s="73">
        <f t="shared" ref="AA26:AA32" si="10">MAX(B26:W26)</f>
        <v>465</v>
      </c>
      <c r="AB26" s="72">
        <f t="shared" ref="AB26:AB32" si="11">X26/AA26</f>
        <v>1.4580645161290322</v>
      </c>
      <c r="AC26" t="s">
        <v>339</v>
      </c>
      <c r="AD26"/>
      <c r="AE26"/>
      <c r="AF26"/>
      <c r="AG26" s="120" t="s">
        <v>109</v>
      </c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s="8" customFormat="1" ht="18" customHeight="1" x14ac:dyDescent="0.2">
      <c r="A27" s="1">
        <v>2017</v>
      </c>
      <c r="B27" s="1"/>
      <c r="C27" s="1"/>
      <c r="D27" s="1"/>
      <c r="E27" s="1"/>
      <c r="F27" s="123">
        <v>8</v>
      </c>
      <c r="G27" s="123">
        <v>39</v>
      </c>
      <c r="H27" s="123">
        <v>28</v>
      </c>
      <c r="I27" s="123">
        <v>28</v>
      </c>
      <c r="J27" s="123">
        <v>16</v>
      </c>
      <c r="K27" s="123">
        <v>29</v>
      </c>
      <c r="L27" s="1"/>
      <c r="M27" s="552">
        <v>77</v>
      </c>
      <c r="N27" s="1"/>
      <c r="O27" s="123">
        <v>2</v>
      </c>
      <c r="U27" s="1"/>
      <c r="V27" s="1"/>
      <c r="W27" s="1"/>
      <c r="X27" s="54">
        <v>112</v>
      </c>
      <c r="Y27" s="7" t="s">
        <v>5</v>
      </c>
      <c r="Z27" s="54">
        <v>15</v>
      </c>
      <c r="AA27" s="73">
        <f t="shared" si="10"/>
        <v>77</v>
      </c>
      <c r="AB27" s="72">
        <f t="shared" si="11"/>
        <v>1.4545454545454546</v>
      </c>
      <c r="AC27" t="s">
        <v>339</v>
      </c>
      <c r="AD27"/>
      <c r="AE27"/>
      <c r="AF27"/>
      <c r="AG27" s="56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s="8" customFormat="1" ht="18" customHeight="1" x14ac:dyDescent="0.2">
      <c r="A28" s="1">
        <v>2018</v>
      </c>
      <c r="B28" s="1"/>
      <c r="C28" s="1"/>
      <c r="D28" s="1"/>
      <c r="E28" s="1"/>
      <c r="F28" s="123">
        <v>1</v>
      </c>
      <c r="G28" s="551">
        <v>84</v>
      </c>
      <c r="H28" s="551">
        <v>55</v>
      </c>
      <c r="I28" s="551">
        <v>111</v>
      </c>
      <c r="J28" s="1"/>
      <c r="K28" s="123">
        <v>90</v>
      </c>
      <c r="L28" s="307">
        <v>100</v>
      </c>
      <c r="M28" s="1"/>
      <c r="N28" s="545">
        <v>2</v>
      </c>
      <c r="O28" s="1"/>
      <c r="P28" s="1"/>
      <c r="U28" s="1"/>
      <c r="V28" s="1"/>
      <c r="W28" s="1"/>
      <c r="X28" s="54">
        <v>192</v>
      </c>
      <c r="Y28" s="7" t="s">
        <v>5</v>
      </c>
      <c r="Z28" s="54">
        <v>30</v>
      </c>
      <c r="AA28" s="73">
        <f t="shared" si="10"/>
        <v>111</v>
      </c>
      <c r="AB28" s="72">
        <f t="shared" si="11"/>
        <v>1.7297297297297298</v>
      </c>
      <c r="AC28" t="s">
        <v>339</v>
      </c>
      <c r="AD28"/>
      <c r="AE28"/>
      <c r="AF28"/>
      <c r="AG28" s="567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s="8" customFormat="1" ht="18" customHeight="1" x14ac:dyDescent="0.25">
      <c r="A29" s="1">
        <v>2019</v>
      </c>
      <c r="B29" s="1"/>
      <c r="C29" s="1"/>
      <c r="D29" s="1"/>
      <c r="E29" s="1"/>
      <c r="F29" s="123">
        <v>14</v>
      </c>
      <c r="G29" s="123">
        <v>38</v>
      </c>
      <c r="H29" s="123">
        <v>116</v>
      </c>
      <c r="I29" s="123">
        <v>100</v>
      </c>
      <c r="J29" s="377">
        <v>442</v>
      </c>
      <c r="K29" s="550">
        <v>328</v>
      </c>
      <c r="L29" s="1"/>
      <c r="M29" s="551">
        <v>5</v>
      </c>
      <c r="N29" s="123">
        <v>0</v>
      </c>
      <c r="O29" s="123">
        <v>0</v>
      </c>
      <c r="P29" s="1"/>
      <c r="U29" s="1"/>
      <c r="V29" s="1"/>
      <c r="W29" s="1"/>
      <c r="X29" s="54">
        <v>554</v>
      </c>
      <c r="Y29" s="7" t="s">
        <v>5</v>
      </c>
      <c r="Z29" s="54">
        <v>25</v>
      </c>
      <c r="AA29" s="73">
        <f t="shared" si="10"/>
        <v>442</v>
      </c>
      <c r="AB29" s="72">
        <f t="shared" si="11"/>
        <v>1.253393665158371</v>
      </c>
      <c r="AC29" t="s">
        <v>339</v>
      </c>
      <c r="AD29"/>
      <c r="AE29"/>
      <c r="AF29"/>
      <c r="AG29" s="567"/>
      <c r="AH29" s="567"/>
      <c r="AI29" s="402"/>
      <c r="AJ29" s="610"/>
      <c r="AK29" s="612"/>
      <c r="AL29" s="567"/>
      <c r="AM29" s="567"/>
      <c r="AN29" s="567"/>
      <c r="AO29" s="567"/>
      <c r="AP29" s="567"/>
      <c r="AQ29" s="567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s="8" customFormat="1" ht="18" customHeight="1" x14ac:dyDescent="0.25">
      <c r="A30" s="1">
        <v>2020</v>
      </c>
      <c r="B30" s="1"/>
      <c r="C30" s="1"/>
      <c r="D30" s="1"/>
      <c r="E30" s="1"/>
      <c r="F30" s="1"/>
      <c r="G30" s="106">
        <v>243</v>
      </c>
      <c r="H30" s="1"/>
      <c r="I30" s="106">
        <v>400</v>
      </c>
      <c r="J30" s="427">
        <v>245</v>
      </c>
      <c r="K30" s="427">
        <v>665</v>
      </c>
      <c r="L30" s="683">
        <v>115</v>
      </c>
      <c r="M30" s="1"/>
      <c r="N30" s="106">
        <v>10</v>
      </c>
      <c r="O30" s="1"/>
      <c r="P30" s="1"/>
      <c r="U30" s="1"/>
      <c r="V30" s="1"/>
      <c r="W30" s="1"/>
      <c r="X30" s="54">
        <v>891</v>
      </c>
      <c r="Y30" s="7" t="s">
        <v>5</v>
      </c>
      <c r="Z30" s="54"/>
      <c r="AA30" s="73">
        <f t="shared" si="10"/>
        <v>665</v>
      </c>
      <c r="AB30" s="72">
        <f t="shared" si="11"/>
        <v>1.3398496240601503</v>
      </c>
      <c r="AC30" t="s">
        <v>337</v>
      </c>
      <c r="AD30"/>
      <c r="AE30"/>
      <c r="AF30"/>
      <c r="AG30" s="567"/>
      <c r="AH30" s="567"/>
      <c r="AI30" s="402"/>
      <c r="AJ30" s="610"/>
      <c r="AK30" s="612"/>
      <c r="AL30" s="567"/>
      <c r="AM30" s="567"/>
      <c r="AN30" s="567"/>
      <c r="AO30" s="567"/>
      <c r="AP30" s="567"/>
      <c r="AQ30" s="567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s="94" customFormat="1" ht="18" customHeight="1" x14ac:dyDescent="0.25">
      <c r="A31" s="227">
        <v>2021</v>
      </c>
      <c r="B31" s="227"/>
      <c r="C31" s="227"/>
      <c r="D31" s="227"/>
      <c r="E31" s="227"/>
      <c r="F31" s="227"/>
      <c r="G31" s="106">
        <v>94</v>
      </c>
      <c r="H31" s="106">
        <v>74</v>
      </c>
      <c r="I31" s="106">
        <v>170</v>
      </c>
      <c r="J31" s="740"/>
      <c r="K31" s="740"/>
      <c r="L31" s="773">
        <v>127</v>
      </c>
      <c r="M31" s="227"/>
      <c r="N31" s="227"/>
      <c r="O31" s="712">
        <v>0</v>
      </c>
      <c r="P31" s="227"/>
      <c r="U31" s="227"/>
      <c r="V31" s="227"/>
      <c r="W31" s="227"/>
      <c r="X31" s="210">
        <f>250+60</f>
        <v>310</v>
      </c>
      <c r="Y31" s="7" t="s">
        <v>5</v>
      </c>
      <c r="Z31" s="210">
        <v>25</v>
      </c>
      <c r="AA31" s="73">
        <f t="shared" si="10"/>
        <v>170</v>
      </c>
      <c r="AB31" s="72">
        <f t="shared" si="11"/>
        <v>1.8235294117647058</v>
      </c>
      <c r="AC31" s="151"/>
      <c r="AD31" s="151"/>
      <c r="AE31" s="151"/>
      <c r="AF31" s="151"/>
      <c r="AG31" s="567"/>
      <c r="AH31" s="567"/>
      <c r="AI31" s="402"/>
      <c r="AJ31" s="610"/>
      <c r="AK31" s="612"/>
      <c r="AL31" s="567"/>
      <c r="AM31" s="567"/>
      <c r="AN31" s="567"/>
      <c r="AO31" s="567"/>
      <c r="AP31" s="567"/>
      <c r="AQ31" s="567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</row>
    <row r="32" spans="1:60" s="94" customFormat="1" ht="18" customHeight="1" x14ac:dyDescent="0.25">
      <c r="A32" s="227">
        <v>2022</v>
      </c>
      <c r="B32" s="227"/>
      <c r="C32" s="227"/>
      <c r="D32" s="227"/>
      <c r="E32" s="227"/>
      <c r="F32" s="227"/>
      <c r="G32" s="227"/>
      <c r="H32" s="106">
        <v>342</v>
      </c>
      <c r="I32" s="106">
        <v>395</v>
      </c>
      <c r="J32" s="427">
        <v>358</v>
      </c>
      <c r="K32" s="536">
        <v>368</v>
      </c>
      <c r="L32" s="692">
        <v>414</v>
      </c>
      <c r="M32" s="227"/>
      <c r="N32" s="536">
        <v>175</v>
      </c>
      <c r="O32" s="873"/>
      <c r="P32" s="156">
        <v>3</v>
      </c>
      <c r="U32" s="227"/>
      <c r="V32" s="227"/>
      <c r="W32" s="227"/>
      <c r="X32" s="210">
        <f>865+69</f>
        <v>934</v>
      </c>
      <c r="Y32" s="11"/>
      <c r="Z32" s="210"/>
      <c r="AA32" s="73">
        <f t="shared" si="10"/>
        <v>414</v>
      </c>
      <c r="AB32" s="72">
        <f t="shared" si="11"/>
        <v>2.256038647342995</v>
      </c>
      <c r="AC32" s="151"/>
      <c r="AD32" s="151"/>
      <c r="AE32" s="151"/>
      <c r="AF32" s="151"/>
      <c r="AG32" s="567"/>
      <c r="AH32" s="567"/>
      <c r="AI32" s="402"/>
      <c r="AJ32" s="610"/>
      <c r="AK32" s="612"/>
      <c r="AL32" s="567"/>
      <c r="AM32" s="567"/>
      <c r="AN32" s="567"/>
      <c r="AO32" s="567"/>
      <c r="AP32" s="567"/>
      <c r="AQ32" s="567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</row>
    <row r="33" spans="1:60" s="94" customFormat="1" ht="18" customHeight="1" x14ac:dyDescent="0.25">
      <c r="A33" s="227">
        <v>2023</v>
      </c>
      <c r="B33" s="227"/>
      <c r="C33" s="227"/>
      <c r="D33" s="227"/>
      <c r="E33" s="227"/>
      <c r="F33" s="106">
        <v>38</v>
      </c>
      <c r="G33" s="227"/>
      <c r="H33" s="106">
        <v>15</v>
      </c>
      <c r="I33" s="585">
        <v>138</v>
      </c>
      <c r="J33" s="427">
        <v>647</v>
      </c>
      <c r="K33" s="227"/>
      <c r="L33" s="227"/>
      <c r="M33" s="156">
        <v>49</v>
      </c>
      <c r="N33" s="536">
        <v>14</v>
      </c>
      <c r="O33" s="227"/>
      <c r="P33" s="227"/>
      <c r="Q33" s="227"/>
      <c r="R33" s="227"/>
      <c r="S33" s="227"/>
      <c r="U33" s="227"/>
      <c r="V33" s="227"/>
      <c r="W33" s="227"/>
      <c r="X33" s="210"/>
      <c r="Y33" s="11"/>
      <c r="Z33" s="210"/>
      <c r="AA33" s="150"/>
      <c r="AB33" s="151"/>
      <c r="AC33" s="151"/>
      <c r="AD33" s="151"/>
      <c r="AE33" s="151"/>
      <c r="AF33" s="151"/>
      <c r="AG33" s="567"/>
      <c r="AH33" s="567"/>
      <c r="AI33" s="402"/>
      <c r="AJ33" s="610"/>
      <c r="AK33" s="612"/>
      <c r="AL33" s="567"/>
      <c r="AM33" s="567"/>
      <c r="AN33" s="567"/>
      <c r="AO33" s="567"/>
      <c r="AP33" s="567"/>
      <c r="AQ33" s="567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</row>
    <row r="34" spans="1:60" s="8" customFormat="1" ht="18" customHeight="1" x14ac:dyDescent="0.25">
      <c r="A34" s="64" t="s">
        <v>17</v>
      </c>
      <c r="B34" s="16"/>
      <c r="C34" s="16">
        <f t="shared" ref="C34:H34" si="12">AVERAGE(C5:C25)</f>
        <v>0</v>
      </c>
      <c r="D34" s="16">
        <f t="shared" si="12"/>
        <v>0</v>
      </c>
      <c r="E34" s="16">
        <f t="shared" si="12"/>
        <v>5.333333333333333</v>
      </c>
      <c r="F34" s="16">
        <f t="shared" si="12"/>
        <v>28.125</v>
      </c>
      <c r="G34" s="16">
        <f t="shared" si="12"/>
        <v>34.545454545454547</v>
      </c>
      <c r="H34" s="16">
        <f t="shared" si="12"/>
        <v>131.78571428571428</v>
      </c>
      <c r="I34" s="16">
        <f>AVERAGE(I5:I25)</f>
        <v>157</v>
      </c>
      <c r="J34" s="16">
        <f t="shared" ref="J34:R34" si="13">AVERAGE(J5:J25)</f>
        <v>193.05555555555554</v>
      </c>
      <c r="K34" s="16">
        <f t="shared" si="13"/>
        <v>186.47058823529412</v>
      </c>
      <c r="L34" s="16">
        <f t="shared" si="13"/>
        <v>118.73333333333333</v>
      </c>
      <c r="M34" s="16">
        <f t="shared" si="13"/>
        <v>99.444444444444443</v>
      </c>
      <c r="N34" s="16">
        <f t="shared" si="13"/>
        <v>47.333333333333336</v>
      </c>
      <c r="O34" s="16">
        <f t="shared" si="13"/>
        <v>4.3076923076923075</v>
      </c>
      <c r="P34" s="16">
        <f t="shared" si="13"/>
        <v>1.875</v>
      </c>
      <c r="Q34" s="16">
        <f t="shared" si="13"/>
        <v>2.8</v>
      </c>
      <c r="R34" s="16">
        <f t="shared" si="13"/>
        <v>0</v>
      </c>
      <c r="S34" s="16">
        <f>AVERAGE(S5:S25)</f>
        <v>0</v>
      </c>
      <c r="T34" s="16"/>
      <c r="U34" s="16"/>
      <c r="V34" s="16"/>
      <c r="W34" s="16"/>
      <c r="X34" s="16">
        <f>AVERAGE(X5:X31)</f>
        <v>405.48148148148147</v>
      </c>
      <c r="Y34" s="17"/>
      <c r="Z34" s="16">
        <f>AVERAGE(Z5:Z29)</f>
        <v>22.520833333333332</v>
      </c>
      <c r="AB34"/>
      <c r="AC34"/>
      <c r="AD34"/>
      <c r="AE34"/>
      <c r="AF34"/>
      <c r="AH34" s="567"/>
      <c r="AI34" s="402"/>
      <c r="AJ34" s="610"/>
      <c r="AK34" s="612"/>
      <c r="AL34" s="567"/>
      <c r="AM34" s="567"/>
      <c r="AN34" s="567"/>
      <c r="AO34" s="567"/>
      <c r="AP34" s="567"/>
      <c r="AQ34" s="567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ht="18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76">
        <v>638</v>
      </c>
      <c r="Z35" s="258" t="s">
        <v>174</v>
      </c>
      <c r="AB35" s="77">
        <f>X35/J21</f>
        <v>2.1627118644067798</v>
      </c>
      <c r="AD35">
        <f>1329+398</f>
        <v>1727</v>
      </c>
      <c r="AG35" s="2"/>
      <c r="AH35" s="8"/>
      <c r="AI35" s="402"/>
      <c r="AJ35" s="610"/>
      <c r="AK35" s="612"/>
      <c r="AL35" s="8"/>
      <c r="AM35" s="8"/>
      <c r="AN35" s="8"/>
      <c r="AO35" s="8"/>
      <c r="AP35" s="8"/>
      <c r="AQ35" s="8"/>
    </row>
    <row r="36" spans="1:60" ht="18" customHeight="1" x14ac:dyDescent="0.25">
      <c r="A36" s="1002" t="s">
        <v>590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AG36" s="2"/>
      <c r="AH36" s="2"/>
      <c r="AI36" s="402"/>
      <c r="AJ36" s="610"/>
      <c r="AK36" s="612"/>
      <c r="AL36" s="2"/>
      <c r="AM36" s="2"/>
      <c r="AN36" s="2"/>
      <c r="AO36" s="2"/>
      <c r="AP36" s="2"/>
      <c r="AQ36" s="2"/>
    </row>
    <row r="37" spans="1:60" ht="18" customHeight="1" thickBo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  <c r="AH37" s="2"/>
      <c r="AI37" s="402"/>
      <c r="AJ37" s="610"/>
      <c r="AK37" s="612"/>
      <c r="AL37" s="2"/>
      <c r="AM37" s="2"/>
      <c r="AN37" s="2"/>
      <c r="AO37" s="2"/>
      <c r="AP37" s="2"/>
      <c r="AQ37" s="2"/>
    </row>
    <row r="38" spans="1:60" ht="18" customHeight="1" thickTop="1" x14ac:dyDescent="0.25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  <c r="AC38" t="s">
        <v>334</v>
      </c>
      <c r="AD38" s="2"/>
      <c r="AI38" s="402"/>
      <c r="AJ38" s="610"/>
      <c r="AK38" s="612"/>
    </row>
    <row r="39" spans="1:60" ht="18" customHeight="1" x14ac:dyDescent="0.25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B39" s="93" t="s">
        <v>63</v>
      </c>
      <c r="AC39" s="2" t="s">
        <v>335</v>
      </c>
      <c r="AD39" t="s">
        <v>340</v>
      </c>
      <c r="AE39" s="2" t="s">
        <v>151</v>
      </c>
      <c r="AF39" t="s">
        <v>234</v>
      </c>
      <c r="AI39" s="402"/>
      <c r="AJ39" s="611"/>
      <c r="AK39" s="611"/>
    </row>
    <row r="40" spans="1:60" ht="18" customHeight="1" x14ac:dyDescent="0.25">
      <c r="A40" s="1">
        <v>1995</v>
      </c>
      <c r="B40" s="6"/>
      <c r="C40" s="6"/>
      <c r="D40" s="6"/>
      <c r="E40" s="6"/>
      <c r="F40" s="6"/>
      <c r="G40" s="119">
        <v>8</v>
      </c>
      <c r="H40" s="119">
        <v>20</v>
      </c>
      <c r="I40" s="119">
        <v>26</v>
      </c>
      <c r="J40" s="119">
        <v>35</v>
      </c>
      <c r="K40" s="97"/>
      <c r="L40" s="119">
        <v>3</v>
      </c>
      <c r="M40" s="97"/>
      <c r="N40" s="119">
        <v>0</v>
      </c>
      <c r="O40" s="119">
        <v>65</v>
      </c>
      <c r="P40" s="6"/>
      <c r="Q40" s="6"/>
      <c r="R40" s="6"/>
      <c r="S40" s="6"/>
      <c r="T40" s="13"/>
      <c r="U40" s="13"/>
      <c r="V40" s="13"/>
      <c r="W40" s="13"/>
      <c r="X40" s="13">
        <v>84</v>
      </c>
      <c r="Y40" s="7" t="s">
        <v>5</v>
      </c>
      <c r="Z40" s="58">
        <v>20</v>
      </c>
      <c r="AB40">
        <f>X40/MAX(B40:W40)</f>
        <v>1.2923076923076924</v>
      </c>
      <c r="AC40" t="s">
        <v>316</v>
      </c>
      <c r="AD40">
        <v>84</v>
      </c>
      <c r="AS40" s="1013" t="s">
        <v>117</v>
      </c>
      <c r="AT40" s="1013" t="s">
        <v>118</v>
      </c>
      <c r="AU40" s="399" t="s">
        <v>119</v>
      </c>
      <c r="AW40" s="158" t="s">
        <v>120</v>
      </c>
      <c r="AX40" s="158"/>
      <c r="AY40" s="159"/>
      <c r="AZ40" s="160" t="s">
        <v>121</v>
      </c>
      <c r="BA40" s="160"/>
      <c r="BB40" s="161" t="s">
        <v>122</v>
      </c>
    </row>
    <row r="41" spans="1:60" ht="18" customHeight="1" x14ac:dyDescent="0.2">
      <c r="A41" s="1">
        <v>1996</v>
      </c>
      <c r="B41" s="6"/>
      <c r="C41" s="113">
        <v>0</v>
      </c>
      <c r="D41" s="6"/>
      <c r="E41" s="119">
        <v>0</v>
      </c>
      <c r="F41" s="119">
        <v>13</v>
      </c>
      <c r="G41" s="119">
        <v>8</v>
      </c>
      <c r="H41" s="119">
        <v>6</v>
      </c>
      <c r="I41" s="119">
        <v>11</v>
      </c>
      <c r="J41" s="119">
        <v>7</v>
      </c>
      <c r="K41" s="119">
        <v>14</v>
      </c>
      <c r="L41" s="6"/>
      <c r="M41" s="119">
        <v>32</v>
      </c>
      <c r="N41" s="119">
        <v>38</v>
      </c>
      <c r="O41" s="119">
        <v>47</v>
      </c>
      <c r="P41" s="119">
        <v>6</v>
      </c>
      <c r="Q41" s="119">
        <v>20</v>
      </c>
      <c r="R41" s="6"/>
      <c r="S41" s="6"/>
      <c r="T41" s="13"/>
      <c r="U41" s="13"/>
      <c r="V41" s="13"/>
      <c r="W41" s="13"/>
      <c r="X41" s="13">
        <v>53</v>
      </c>
      <c r="Y41" s="7" t="s">
        <v>5</v>
      </c>
      <c r="Z41" s="60">
        <v>30</v>
      </c>
      <c r="AB41">
        <f t="shared" ref="AB41:AB46" si="14">X41/MAX(B41:W41)</f>
        <v>1.1276595744680851</v>
      </c>
      <c r="AC41" t="s">
        <v>342</v>
      </c>
      <c r="AD41">
        <v>53</v>
      </c>
      <c r="AF41">
        <v>26</v>
      </c>
      <c r="AS41" s="1014"/>
      <c r="AT41" s="1014"/>
      <c r="AU41" s="398" t="s">
        <v>123</v>
      </c>
      <c r="AW41" s="163" t="s">
        <v>124</v>
      </c>
      <c r="AX41" s="163" t="s">
        <v>125</v>
      </c>
      <c r="AY41" s="163"/>
      <c r="AZ41" s="164" t="s">
        <v>126</v>
      </c>
      <c r="BB41" s="164" t="s">
        <v>126</v>
      </c>
    </row>
    <row r="42" spans="1:60" ht="18" customHeight="1" x14ac:dyDescent="0.2">
      <c r="A42" s="1">
        <v>1997</v>
      </c>
      <c r="B42" s="6"/>
      <c r="C42" s="119">
        <v>0</v>
      </c>
      <c r="D42" s="6"/>
      <c r="E42" s="119">
        <v>0</v>
      </c>
      <c r="F42" s="119">
        <v>2</v>
      </c>
      <c r="G42" s="119">
        <v>12</v>
      </c>
      <c r="H42" s="119">
        <v>0</v>
      </c>
      <c r="I42" s="119">
        <v>49</v>
      </c>
      <c r="J42" s="6"/>
      <c r="K42" s="119">
        <v>3</v>
      </c>
      <c r="L42" s="119">
        <v>12</v>
      </c>
      <c r="M42" s="119">
        <v>21</v>
      </c>
      <c r="N42" s="113">
        <v>0</v>
      </c>
      <c r="O42" s="119">
        <v>2</v>
      </c>
      <c r="P42" s="119">
        <v>5</v>
      </c>
      <c r="Q42" s="6"/>
      <c r="R42" s="6"/>
      <c r="S42" s="6"/>
      <c r="T42" s="13"/>
      <c r="U42" s="13"/>
      <c r="V42" s="13"/>
      <c r="W42" s="13"/>
      <c r="X42" s="13">
        <v>69</v>
      </c>
      <c r="Y42" s="7" t="s">
        <v>5</v>
      </c>
      <c r="Z42" s="58">
        <v>15</v>
      </c>
      <c r="AB42">
        <f t="shared" si="14"/>
        <v>1.4081632653061225</v>
      </c>
      <c r="AC42" t="s">
        <v>342</v>
      </c>
      <c r="AD42">
        <v>69</v>
      </c>
      <c r="AF42">
        <v>15</v>
      </c>
      <c r="AS42" s="165"/>
      <c r="AT42" s="166"/>
      <c r="AU42" s="167"/>
    </row>
    <row r="43" spans="1:60" ht="18" customHeight="1" x14ac:dyDescent="0.2">
      <c r="A43" s="1">
        <v>1998</v>
      </c>
      <c r="B43" s="6"/>
      <c r="C43" s="6"/>
      <c r="D43" s="6"/>
      <c r="E43" s="6"/>
      <c r="F43" s="119">
        <v>0</v>
      </c>
      <c r="G43" s="113">
        <v>0</v>
      </c>
      <c r="H43" s="119">
        <v>2</v>
      </c>
      <c r="I43" s="6"/>
      <c r="J43" s="119">
        <v>21</v>
      </c>
      <c r="K43" s="113">
        <v>200</v>
      </c>
      <c r="L43" s="119">
        <v>140</v>
      </c>
      <c r="M43" s="119">
        <v>247</v>
      </c>
      <c r="N43" s="119">
        <v>260</v>
      </c>
      <c r="O43" s="113">
        <v>30</v>
      </c>
      <c r="P43" s="6"/>
      <c r="Q43" s="119">
        <v>5</v>
      </c>
      <c r="R43" s="6"/>
      <c r="S43" s="119">
        <v>66</v>
      </c>
      <c r="T43" s="13"/>
      <c r="U43" s="13"/>
      <c r="V43" s="13"/>
      <c r="W43" s="13"/>
      <c r="X43" s="13">
        <v>424</v>
      </c>
      <c r="Y43" s="7" t="s">
        <v>5</v>
      </c>
      <c r="Z43" s="58">
        <v>30</v>
      </c>
      <c r="AB43">
        <f t="shared" si="14"/>
        <v>1.6307692307692307</v>
      </c>
      <c r="AC43" t="s">
        <v>338</v>
      </c>
      <c r="AD43">
        <v>424</v>
      </c>
      <c r="AF43">
        <v>150</v>
      </c>
      <c r="AS43" s="165" t="s">
        <v>26</v>
      </c>
      <c r="AT43" s="166"/>
      <c r="AU43" s="167"/>
    </row>
    <row r="44" spans="1:60" ht="18" customHeight="1" x14ac:dyDescent="0.25">
      <c r="A44" s="1">
        <v>1999</v>
      </c>
      <c r="B44" s="6"/>
      <c r="C44" s="6"/>
      <c r="D44" s="6"/>
      <c r="E44" s="6"/>
      <c r="F44" s="119">
        <v>60</v>
      </c>
      <c r="G44" s="119">
        <v>85</v>
      </c>
      <c r="H44" s="119">
        <v>60</v>
      </c>
      <c r="I44" s="6"/>
      <c r="J44" s="119">
        <v>90</v>
      </c>
      <c r="K44" s="119">
        <v>100</v>
      </c>
      <c r="L44" s="119">
        <v>0</v>
      </c>
      <c r="M44" s="119">
        <v>10</v>
      </c>
      <c r="N44" s="6"/>
      <c r="O44" s="119">
        <v>20</v>
      </c>
      <c r="P44" s="113">
        <v>4</v>
      </c>
      <c r="Q44" s="119">
        <v>5</v>
      </c>
      <c r="R44" s="6"/>
      <c r="S44" s="6"/>
      <c r="T44" s="13"/>
      <c r="U44" s="13"/>
      <c r="V44" s="13"/>
      <c r="W44" s="13"/>
      <c r="X44" s="13">
        <v>225</v>
      </c>
      <c r="Y44" s="7" t="s">
        <v>7</v>
      </c>
      <c r="Z44" s="58"/>
      <c r="AB44">
        <f t="shared" si="14"/>
        <v>2.25</v>
      </c>
      <c r="AC44" t="s">
        <v>342</v>
      </c>
      <c r="AD44">
        <v>225</v>
      </c>
      <c r="AF44">
        <v>75</v>
      </c>
      <c r="AS44" s="165" t="s">
        <v>127</v>
      </c>
      <c r="AT44" s="402">
        <v>42614</v>
      </c>
      <c r="AU44" s="167">
        <v>0</v>
      </c>
      <c r="AX44" s="169">
        <v>0</v>
      </c>
    </row>
    <row r="45" spans="1:60" ht="18" customHeight="1" x14ac:dyDescent="0.25">
      <c r="A45" s="1">
        <v>2000</v>
      </c>
      <c r="B45" s="6"/>
      <c r="C45" s="6"/>
      <c r="D45" s="119">
        <v>12</v>
      </c>
      <c r="E45" s="6"/>
      <c r="F45" s="6"/>
      <c r="G45" s="6"/>
      <c r="H45" s="119">
        <v>38</v>
      </c>
      <c r="I45" s="119">
        <v>86</v>
      </c>
      <c r="J45" s="119">
        <v>78</v>
      </c>
      <c r="K45" s="119">
        <v>124</v>
      </c>
      <c r="L45" s="110">
        <v>0</v>
      </c>
      <c r="M45" s="110">
        <v>0</v>
      </c>
      <c r="N45" s="119">
        <v>0</v>
      </c>
      <c r="O45" s="119">
        <v>114</v>
      </c>
      <c r="P45" s="119">
        <v>48</v>
      </c>
      <c r="Q45" s="119">
        <v>106</v>
      </c>
      <c r="R45" s="119">
        <v>0</v>
      </c>
      <c r="S45" s="119">
        <v>1</v>
      </c>
      <c r="T45" s="124">
        <v>1</v>
      </c>
      <c r="U45" s="13"/>
      <c r="V45" s="13"/>
      <c r="W45" s="13"/>
      <c r="X45" s="13">
        <v>228</v>
      </c>
      <c r="Y45" s="7" t="s">
        <v>5</v>
      </c>
      <c r="Z45" s="58">
        <v>25</v>
      </c>
      <c r="AB45">
        <f t="shared" si="14"/>
        <v>1.8387096774193548</v>
      </c>
      <c r="AC45" t="s">
        <v>342</v>
      </c>
      <c r="AD45">
        <v>228</v>
      </c>
      <c r="AF45">
        <v>127</v>
      </c>
      <c r="AS45" s="165"/>
      <c r="AT45" s="402">
        <v>42615</v>
      </c>
      <c r="AU45" s="170">
        <v>0</v>
      </c>
      <c r="AW45" s="171">
        <v>0.9</v>
      </c>
      <c r="AX45" s="172">
        <f t="shared" ref="AX45:AX52" si="15">AU45/AW45</f>
        <v>0</v>
      </c>
      <c r="AZ45" s="172">
        <f>(AT45-AT44)*(AU45+AU44)</f>
        <v>0</v>
      </c>
      <c r="BB45" s="172">
        <f>(AT45-AT44)*(AX45+AX44)</f>
        <v>0</v>
      </c>
    </row>
    <row r="46" spans="1:60" ht="18" customHeight="1" x14ac:dyDescent="0.25">
      <c r="A46" s="1">
        <v>2001</v>
      </c>
      <c r="B46" s="6"/>
      <c r="C46" s="6"/>
      <c r="D46" s="6"/>
      <c r="E46" s="6"/>
      <c r="F46" s="6"/>
      <c r="G46" s="6"/>
      <c r="H46" s="119">
        <v>65</v>
      </c>
      <c r="I46" s="6"/>
      <c r="J46" s="119">
        <v>68</v>
      </c>
      <c r="K46" s="119">
        <v>62</v>
      </c>
      <c r="L46" s="119">
        <v>378</v>
      </c>
      <c r="M46" s="119">
        <v>162</v>
      </c>
      <c r="N46" s="119">
        <v>771</v>
      </c>
      <c r="O46" s="119">
        <v>475</v>
      </c>
      <c r="P46" s="6"/>
      <c r="Q46" s="119">
        <v>37</v>
      </c>
      <c r="R46" s="119">
        <v>38</v>
      </c>
      <c r="S46" s="6"/>
      <c r="T46" s="13"/>
      <c r="U46" s="13"/>
      <c r="V46" s="13"/>
      <c r="W46" s="13"/>
      <c r="X46" s="13">
        <v>861</v>
      </c>
      <c r="Y46" s="7" t="s">
        <v>5</v>
      </c>
      <c r="Z46" s="58">
        <v>20</v>
      </c>
      <c r="AB46">
        <f t="shared" si="14"/>
        <v>1.1167315175097277</v>
      </c>
      <c r="AC46" t="s">
        <v>316</v>
      </c>
      <c r="AD46">
        <v>861</v>
      </c>
      <c r="AF46">
        <v>127</v>
      </c>
      <c r="AS46" s="165"/>
      <c r="AT46" s="402">
        <v>42622</v>
      </c>
      <c r="AU46" s="170">
        <v>2</v>
      </c>
      <c r="AW46" s="171">
        <v>0.9</v>
      </c>
      <c r="AX46" s="172">
        <f t="shared" si="15"/>
        <v>2.2222222222222223</v>
      </c>
      <c r="AZ46" s="172">
        <f>(AT46-AT45)*(AU46+AU45)</f>
        <v>14</v>
      </c>
      <c r="BB46" s="172">
        <f>(AT46-AT45)*(AX46+AX45)</f>
        <v>15.555555555555557</v>
      </c>
    </row>
    <row r="47" spans="1:60" ht="18" customHeight="1" x14ac:dyDescent="0.25">
      <c r="A47" s="1">
        <v>2002</v>
      </c>
      <c r="B47" s="6"/>
      <c r="C47" s="6"/>
      <c r="D47" s="6"/>
      <c r="E47" s="6"/>
      <c r="F47" s="6"/>
      <c r="G47" s="119">
        <v>11</v>
      </c>
      <c r="H47" s="119">
        <v>11</v>
      </c>
      <c r="I47" s="119">
        <v>75</v>
      </c>
      <c r="J47" s="119">
        <v>55</v>
      </c>
      <c r="K47" s="119">
        <v>94</v>
      </c>
      <c r="L47" s="119">
        <v>51</v>
      </c>
      <c r="M47" s="119">
        <v>39</v>
      </c>
      <c r="N47" s="119">
        <v>97</v>
      </c>
      <c r="O47" s="110">
        <v>0</v>
      </c>
      <c r="P47" s="113">
        <v>0</v>
      </c>
      <c r="Q47" s="6"/>
      <c r="R47" s="119">
        <v>34</v>
      </c>
      <c r="S47" s="6"/>
      <c r="T47" s="13"/>
      <c r="U47" s="13"/>
      <c r="V47" s="13"/>
      <c r="W47" s="13"/>
      <c r="X47" s="13">
        <v>214</v>
      </c>
      <c r="Y47" s="7" t="s">
        <v>5</v>
      </c>
      <c r="Z47" s="60">
        <v>35</v>
      </c>
      <c r="AB47">
        <f t="shared" ref="AB47:AB63" si="16">X47/MAX(B47:W47)</f>
        <v>2.2061855670103094</v>
      </c>
      <c r="AC47" t="s">
        <v>346</v>
      </c>
      <c r="AD47">
        <v>214</v>
      </c>
      <c r="AE47">
        <v>349</v>
      </c>
      <c r="AF47">
        <v>135</v>
      </c>
      <c r="AS47" s="165"/>
      <c r="AT47" s="402">
        <v>42629</v>
      </c>
      <c r="AU47" s="170">
        <v>7</v>
      </c>
      <c r="AW47" s="171">
        <v>0.9</v>
      </c>
      <c r="AX47" s="172">
        <f>AU47/AW47</f>
        <v>7.7777777777777777</v>
      </c>
      <c r="AZ47" s="172">
        <f t="shared" ref="AZ47:AZ52" si="17">(AT47-AT46)*(AU47+AU46)</f>
        <v>63</v>
      </c>
      <c r="BB47" s="172">
        <f t="shared" ref="BB47:BB52" si="18">(AT47-AT46)*(AX47+AX46)</f>
        <v>70</v>
      </c>
    </row>
    <row r="48" spans="1:60" ht="18" customHeight="1" x14ac:dyDescent="0.25">
      <c r="A48" s="1">
        <v>2003</v>
      </c>
      <c r="B48" s="6"/>
      <c r="C48" s="6"/>
      <c r="D48" s="6"/>
      <c r="E48" s="6"/>
      <c r="F48" s="6"/>
      <c r="G48" s="119">
        <v>1</v>
      </c>
      <c r="H48" s="6"/>
      <c r="I48" s="119">
        <v>48</v>
      </c>
      <c r="J48" s="119">
        <v>87</v>
      </c>
      <c r="K48" s="110">
        <v>0</v>
      </c>
      <c r="L48" s="6"/>
      <c r="M48" s="110">
        <v>0</v>
      </c>
      <c r="N48" s="113">
        <v>20</v>
      </c>
      <c r="O48" s="6"/>
      <c r="P48" s="6"/>
      <c r="Q48" s="6"/>
      <c r="R48" s="6"/>
      <c r="S48" s="6"/>
      <c r="T48" s="13"/>
      <c r="U48" s="13"/>
      <c r="V48" s="13"/>
      <c r="W48" s="13"/>
      <c r="X48" s="13">
        <v>129</v>
      </c>
      <c r="Y48" s="7" t="s">
        <v>5</v>
      </c>
      <c r="Z48" s="58">
        <v>20</v>
      </c>
      <c r="AB48">
        <f t="shared" si="16"/>
        <v>1.4827586206896552</v>
      </c>
      <c r="AC48" t="s">
        <v>337</v>
      </c>
      <c r="AD48">
        <v>129</v>
      </c>
      <c r="AE48">
        <v>184</v>
      </c>
      <c r="AF48">
        <v>55</v>
      </c>
      <c r="AS48" s="165"/>
      <c r="AT48" s="402">
        <v>42635</v>
      </c>
      <c r="AU48" s="170">
        <v>160</v>
      </c>
      <c r="AW48" s="171">
        <v>0.9</v>
      </c>
      <c r="AX48" s="172">
        <f>AU48/AW48</f>
        <v>177.77777777777777</v>
      </c>
      <c r="AZ48" s="172">
        <f t="shared" si="17"/>
        <v>1002</v>
      </c>
      <c r="BB48" s="172">
        <f t="shared" si="18"/>
        <v>1113.3333333333333</v>
      </c>
    </row>
    <row r="49" spans="1:60" ht="18" customHeight="1" x14ac:dyDescent="0.25">
      <c r="A49" s="1">
        <v>2004</v>
      </c>
      <c r="B49" s="6"/>
      <c r="C49" s="6"/>
      <c r="D49" s="6"/>
      <c r="E49" s="6"/>
      <c r="F49" s="6"/>
      <c r="G49" s="6"/>
      <c r="H49" s="119">
        <v>75</v>
      </c>
      <c r="I49" s="119">
        <v>58</v>
      </c>
      <c r="J49" s="119">
        <v>180</v>
      </c>
      <c r="K49" s="119">
        <v>85</v>
      </c>
      <c r="L49" s="119">
        <v>402</v>
      </c>
      <c r="M49" s="119">
        <v>422</v>
      </c>
      <c r="N49" s="113">
        <v>0</v>
      </c>
      <c r="O49" s="119">
        <v>607</v>
      </c>
      <c r="P49" s="119">
        <v>318</v>
      </c>
      <c r="Q49" s="6"/>
      <c r="R49" s="6"/>
      <c r="S49" s="6"/>
      <c r="T49" s="13"/>
      <c r="U49" s="13"/>
      <c r="V49" s="13"/>
      <c r="W49" s="13"/>
      <c r="X49" s="21">
        <v>708</v>
      </c>
      <c r="Y49" s="7" t="s">
        <v>5</v>
      </c>
      <c r="Z49" s="59">
        <v>37</v>
      </c>
      <c r="AB49">
        <f t="shared" si="16"/>
        <v>1.1663920922570017</v>
      </c>
      <c r="AC49" t="s">
        <v>337</v>
      </c>
      <c r="AD49">
        <v>708</v>
      </c>
      <c r="AE49">
        <v>1028</v>
      </c>
      <c r="AF49">
        <v>320</v>
      </c>
      <c r="AS49" s="173"/>
      <c r="AT49" s="402">
        <v>42643</v>
      </c>
      <c r="AU49" s="170">
        <v>591</v>
      </c>
      <c r="AW49" s="171">
        <v>0.9</v>
      </c>
      <c r="AX49" s="172">
        <f>AU49/AW49</f>
        <v>656.66666666666663</v>
      </c>
      <c r="AZ49" s="172">
        <f t="shared" si="17"/>
        <v>6008</v>
      </c>
      <c r="BB49" s="172">
        <f t="shared" si="18"/>
        <v>6675.5555555555547</v>
      </c>
    </row>
    <row r="50" spans="1:60" ht="18" customHeight="1" x14ac:dyDescent="0.25">
      <c r="A50" s="1">
        <v>2005</v>
      </c>
      <c r="B50" s="6"/>
      <c r="C50" s="6"/>
      <c r="D50" s="6"/>
      <c r="E50" s="6"/>
      <c r="F50" s="6"/>
      <c r="G50" s="6"/>
      <c r="H50" s="6"/>
      <c r="I50" s="119">
        <v>10</v>
      </c>
      <c r="J50" s="119">
        <v>31</v>
      </c>
      <c r="K50" s="110">
        <v>105</v>
      </c>
      <c r="L50" s="110">
        <v>79</v>
      </c>
      <c r="M50" s="119">
        <v>305</v>
      </c>
      <c r="N50" s="119">
        <v>247</v>
      </c>
      <c r="O50" s="6"/>
      <c r="P50" s="119">
        <v>60</v>
      </c>
      <c r="Q50" s="6"/>
      <c r="R50" s="6"/>
      <c r="S50" s="6"/>
      <c r="T50" s="13"/>
      <c r="U50" s="13"/>
      <c r="V50" s="13"/>
      <c r="W50" s="13"/>
      <c r="X50" s="13">
        <v>384</v>
      </c>
      <c r="Y50" s="7" t="s">
        <v>5</v>
      </c>
      <c r="Z50" s="60">
        <v>22.5</v>
      </c>
      <c r="AB50">
        <f t="shared" si="16"/>
        <v>1.2590163934426231</v>
      </c>
      <c r="AC50" t="s">
        <v>337</v>
      </c>
      <c r="AD50">
        <v>384</v>
      </c>
      <c r="AE50">
        <v>404</v>
      </c>
      <c r="AF50">
        <v>20</v>
      </c>
      <c r="AS50" s="174"/>
      <c r="AT50" s="402">
        <v>42649</v>
      </c>
      <c r="AU50" s="170">
        <v>1562</v>
      </c>
      <c r="AW50" s="171">
        <v>0.8</v>
      </c>
      <c r="AX50" s="172">
        <f>AU50/AW50</f>
        <v>1952.5</v>
      </c>
      <c r="AZ50" s="172">
        <f t="shared" si="17"/>
        <v>12918</v>
      </c>
      <c r="BB50" s="172">
        <f t="shared" si="18"/>
        <v>15655</v>
      </c>
    </row>
    <row r="51" spans="1:60" ht="18" customHeight="1" x14ac:dyDescent="0.25">
      <c r="A51" s="1">
        <v>2006</v>
      </c>
      <c r="B51" s="6"/>
      <c r="C51" s="6"/>
      <c r="D51" s="6"/>
      <c r="E51" s="6"/>
      <c r="F51" s="6"/>
      <c r="G51" s="6"/>
      <c r="H51" s="119">
        <v>0</v>
      </c>
      <c r="I51" s="119">
        <v>29</v>
      </c>
      <c r="J51" s="119">
        <v>81</v>
      </c>
      <c r="K51" s="119">
        <v>140</v>
      </c>
      <c r="L51" s="119">
        <v>40</v>
      </c>
      <c r="M51" s="119">
        <v>96</v>
      </c>
      <c r="N51" s="6"/>
      <c r="O51" s="6"/>
      <c r="P51" s="6"/>
      <c r="Q51" s="6"/>
      <c r="R51" s="6"/>
      <c r="S51" s="6"/>
      <c r="T51" s="13"/>
      <c r="U51" s="13"/>
      <c r="V51" s="13"/>
      <c r="W51" s="13"/>
      <c r="X51" s="12">
        <v>241</v>
      </c>
      <c r="Y51" s="7" t="s">
        <v>5</v>
      </c>
      <c r="Z51" s="53">
        <v>15</v>
      </c>
      <c r="AB51">
        <f t="shared" si="16"/>
        <v>1.7214285714285715</v>
      </c>
      <c r="AC51" t="s">
        <v>337</v>
      </c>
      <c r="AD51">
        <v>241</v>
      </c>
      <c r="AE51">
        <v>358</v>
      </c>
      <c r="AF51">
        <v>117</v>
      </c>
      <c r="AS51" s="8"/>
      <c r="AT51" s="402">
        <v>42655</v>
      </c>
      <c r="AU51" s="170">
        <v>13080</v>
      </c>
      <c r="AW51" s="171">
        <v>0.8</v>
      </c>
      <c r="AX51" s="172">
        <f t="shared" si="15"/>
        <v>16350</v>
      </c>
      <c r="AZ51" s="172">
        <f t="shared" si="17"/>
        <v>87852</v>
      </c>
      <c r="BB51" s="172">
        <f t="shared" si="18"/>
        <v>109815</v>
      </c>
    </row>
    <row r="52" spans="1:60" ht="18" customHeight="1" x14ac:dyDescent="0.25">
      <c r="A52" s="1">
        <v>2007</v>
      </c>
      <c r="B52" s="6"/>
      <c r="C52" s="6"/>
      <c r="D52" s="6"/>
      <c r="E52" s="6"/>
      <c r="F52" s="119">
        <v>2</v>
      </c>
      <c r="G52" s="6"/>
      <c r="H52" s="6"/>
      <c r="I52" s="119">
        <v>23</v>
      </c>
      <c r="J52" s="6"/>
      <c r="K52" s="119">
        <v>0</v>
      </c>
      <c r="L52" s="119">
        <v>0</v>
      </c>
      <c r="M52" s="119">
        <v>20</v>
      </c>
      <c r="N52" s="6"/>
      <c r="O52" s="119">
        <v>343</v>
      </c>
      <c r="P52" s="6"/>
      <c r="Q52" s="6"/>
      <c r="R52" s="6"/>
      <c r="S52" s="6"/>
      <c r="T52" s="13"/>
      <c r="U52" s="13"/>
      <c r="V52" s="13"/>
      <c r="W52" s="13"/>
      <c r="X52" s="12">
        <v>406</v>
      </c>
      <c r="Y52" s="7" t="s">
        <v>5</v>
      </c>
      <c r="Z52" s="60">
        <v>30</v>
      </c>
      <c r="AB52">
        <f t="shared" si="16"/>
        <v>1.1836734693877551</v>
      </c>
      <c r="AC52" t="s">
        <v>337</v>
      </c>
      <c r="AD52">
        <v>406</v>
      </c>
      <c r="AE52" t="s">
        <v>336</v>
      </c>
      <c r="AF52">
        <v>5</v>
      </c>
      <c r="AS52" s="8"/>
      <c r="AT52" s="402">
        <v>42689</v>
      </c>
      <c r="AU52" s="170">
        <v>0</v>
      </c>
      <c r="AW52" s="171">
        <v>0.8</v>
      </c>
      <c r="AX52" s="172">
        <f t="shared" si="15"/>
        <v>0</v>
      </c>
      <c r="AZ52" s="172">
        <f t="shared" si="17"/>
        <v>444720</v>
      </c>
      <c r="BB52" s="172">
        <f t="shared" si="18"/>
        <v>555900</v>
      </c>
    </row>
    <row r="53" spans="1:60" ht="18" customHeight="1" x14ac:dyDescent="0.25">
      <c r="A53" s="13">
        <v>2008</v>
      </c>
      <c r="B53" s="13"/>
      <c r="C53" s="13"/>
      <c r="D53" s="124">
        <v>0</v>
      </c>
      <c r="E53" s="13"/>
      <c r="F53" s="124">
        <v>9</v>
      </c>
      <c r="G53" s="13"/>
      <c r="H53" s="124">
        <v>7</v>
      </c>
      <c r="I53" s="13"/>
      <c r="J53" s="124">
        <v>193</v>
      </c>
      <c r="K53" s="124">
        <v>123</v>
      </c>
      <c r="L53" s="13"/>
      <c r="M53" s="124">
        <v>314</v>
      </c>
      <c r="N53" s="13"/>
      <c r="O53" s="124">
        <v>18</v>
      </c>
      <c r="P53" s="13"/>
      <c r="Q53" s="13"/>
      <c r="R53" s="13"/>
      <c r="S53" s="13"/>
      <c r="T53" s="13"/>
      <c r="U53" s="13"/>
      <c r="V53" s="13"/>
      <c r="W53" s="13"/>
      <c r="X53" s="13">
        <v>445</v>
      </c>
      <c r="Y53" s="7" t="s">
        <v>5</v>
      </c>
      <c r="Z53" s="58">
        <v>37.5</v>
      </c>
      <c r="AA53" s="55"/>
      <c r="AB53">
        <f t="shared" si="16"/>
        <v>1.4171974522292994</v>
      </c>
      <c r="AC53" t="s">
        <v>337</v>
      </c>
      <c r="AD53">
        <v>445</v>
      </c>
      <c r="AE53" t="s">
        <v>336</v>
      </c>
      <c r="AF53">
        <v>36</v>
      </c>
      <c r="AS53" s="165" t="s">
        <v>128</v>
      </c>
      <c r="AT53" s="402">
        <v>42689</v>
      </c>
      <c r="AU53" s="176">
        <v>0</v>
      </c>
      <c r="AW53" s="177"/>
      <c r="AX53" s="178">
        <v>0</v>
      </c>
      <c r="AY53" s="179"/>
      <c r="AZ53" s="172">
        <f>(AT53-AT52)*(AU53+AU52)</f>
        <v>0</v>
      </c>
      <c r="BB53" s="172">
        <f>(AT53-AT52)*(AX53+AX52)</f>
        <v>0</v>
      </c>
    </row>
    <row r="54" spans="1:60" ht="18" customHeight="1" x14ac:dyDescent="0.2">
      <c r="A54" s="13">
        <v>2009</v>
      </c>
      <c r="B54" s="13"/>
      <c r="C54" s="13"/>
      <c r="D54" s="13"/>
      <c r="E54" s="13"/>
      <c r="F54" s="13"/>
      <c r="G54" s="124">
        <v>0</v>
      </c>
      <c r="H54" s="13"/>
      <c r="I54" s="124">
        <v>87</v>
      </c>
      <c r="J54" s="124">
        <v>270</v>
      </c>
      <c r="K54" s="124">
        <v>282</v>
      </c>
      <c r="L54" s="124">
        <v>9</v>
      </c>
      <c r="M54" s="124">
        <v>17</v>
      </c>
      <c r="N54" s="124">
        <v>91</v>
      </c>
      <c r="O54" s="13"/>
      <c r="P54" s="13"/>
      <c r="Q54" s="13"/>
      <c r="R54" s="13"/>
      <c r="S54" s="13"/>
      <c r="T54" s="13"/>
      <c r="U54" s="13"/>
      <c r="V54" s="13"/>
      <c r="W54" s="13"/>
      <c r="X54" s="13">
        <v>355</v>
      </c>
      <c r="Y54" s="7" t="s">
        <v>5</v>
      </c>
      <c r="Z54" s="58">
        <v>30</v>
      </c>
      <c r="AB54">
        <f t="shared" si="16"/>
        <v>1.2588652482269505</v>
      </c>
      <c r="AC54" t="s">
        <v>341</v>
      </c>
      <c r="AD54">
        <v>355</v>
      </c>
      <c r="AE54">
        <v>381</v>
      </c>
      <c r="AF54">
        <v>26</v>
      </c>
      <c r="AS54" s="165" t="s">
        <v>2</v>
      </c>
      <c r="AT54" s="167">
        <v>7</v>
      </c>
      <c r="AU54" s="167"/>
      <c r="AV54" s="167"/>
    </row>
    <row r="55" spans="1:60" s="55" customFormat="1" ht="18" customHeight="1" x14ac:dyDescent="0.2">
      <c r="A55" s="13">
        <v>2010</v>
      </c>
      <c r="B55" s="13"/>
      <c r="C55" s="13"/>
      <c r="D55" s="13"/>
      <c r="E55" s="124">
        <v>0</v>
      </c>
      <c r="F55" s="13"/>
      <c r="G55" s="13"/>
      <c r="H55" s="124">
        <v>9</v>
      </c>
      <c r="I55" s="124">
        <v>37</v>
      </c>
      <c r="J55" s="124">
        <v>7</v>
      </c>
      <c r="K55" s="124">
        <v>164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>
        <v>210</v>
      </c>
      <c r="Y55" s="7"/>
      <c r="Z55" s="58"/>
      <c r="AA55" s="2"/>
      <c r="AB55">
        <f t="shared" si="16"/>
        <v>1.2804878048780488</v>
      </c>
      <c r="AC55" t="s">
        <v>337</v>
      </c>
      <c r="AD55">
        <v>210</v>
      </c>
      <c r="AE55">
        <v>218</v>
      </c>
      <c r="AF55">
        <v>8</v>
      </c>
      <c r="AG55"/>
      <c r="AH55"/>
      <c r="AI55"/>
      <c r="AJ55"/>
      <c r="AK55"/>
      <c r="AL55"/>
      <c r="AM55"/>
      <c r="AN55"/>
      <c r="AO55"/>
      <c r="AP55"/>
      <c r="AQ55"/>
      <c r="AR55"/>
      <c r="AS55" s="165" t="s">
        <v>129</v>
      </c>
      <c r="AT55" s="167"/>
      <c r="AU55" s="167">
        <f>MAX(AU44:AU53)</f>
        <v>13080</v>
      </c>
      <c r="AV55" s="167"/>
      <c r="AW55" s="167"/>
      <c r="AX55" s="167">
        <f>MAX(AX44:AX53)</f>
        <v>16350</v>
      </c>
      <c r="AY55" s="167"/>
      <c r="AZ55" s="167"/>
      <c r="BA55" s="180"/>
      <c r="BB55"/>
      <c r="BC55"/>
      <c r="BD55"/>
      <c r="BE55"/>
      <c r="BF55"/>
      <c r="BG55"/>
      <c r="BH55"/>
    </row>
    <row r="56" spans="1:60" ht="18" customHeight="1" x14ac:dyDescent="0.2">
      <c r="A56" s="13">
        <v>2011</v>
      </c>
      <c r="B56" s="13"/>
      <c r="C56" s="13"/>
      <c r="D56" s="13"/>
      <c r="E56" s="13"/>
      <c r="F56" s="13"/>
      <c r="G56" s="13"/>
      <c r="H56" s="13"/>
      <c r="I56" s="124">
        <v>6</v>
      </c>
      <c r="J56" s="124">
        <v>27</v>
      </c>
      <c r="K56" s="13"/>
      <c r="L56" s="13"/>
      <c r="M56" s="124">
        <v>26</v>
      </c>
      <c r="N56" s="13"/>
      <c r="O56" s="124">
        <v>185</v>
      </c>
      <c r="P56" s="124">
        <v>15</v>
      </c>
      <c r="Q56" s="13"/>
      <c r="R56" s="13"/>
      <c r="S56" s="13"/>
      <c r="T56" s="13"/>
      <c r="U56" s="13"/>
      <c r="V56" s="13"/>
      <c r="W56" s="13"/>
      <c r="X56" s="13">
        <v>234</v>
      </c>
      <c r="Y56" s="7" t="s">
        <v>5</v>
      </c>
      <c r="Z56" s="58">
        <v>20</v>
      </c>
      <c r="AB56">
        <f t="shared" si="16"/>
        <v>1.2648648648648648</v>
      </c>
      <c r="AC56" t="s">
        <v>337</v>
      </c>
      <c r="AD56">
        <v>234</v>
      </c>
      <c r="AE56">
        <v>234</v>
      </c>
      <c r="AF56">
        <v>0</v>
      </c>
      <c r="AS56" s="165" t="s">
        <v>130</v>
      </c>
      <c r="AT56" s="167"/>
      <c r="AU56" s="169">
        <v>15</v>
      </c>
      <c r="AV56" s="167"/>
      <c r="AX56" s="169">
        <v>15</v>
      </c>
      <c r="AY56" s="8"/>
      <c r="AZ56" s="8"/>
      <c r="BA56" s="8"/>
      <c r="BB56" s="8"/>
    </row>
    <row r="57" spans="1:60" ht="18" customHeight="1" x14ac:dyDescent="0.2">
      <c r="A57" s="13">
        <v>2012</v>
      </c>
      <c r="B57" s="13"/>
      <c r="C57" s="13"/>
      <c r="D57" s="13"/>
      <c r="E57" s="13"/>
      <c r="F57" s="13"/>
      <c r="G57" s="124">
        <v>3</v>
      </c>
      <c r="H57" s="124">
        <v>57</v>
      </c>
      <c r="I57" s="124">
        <v>66</v>
      </c>
      <c r="J57" s="124">
        <v>144</v>
      </c>
      <c r="K57" s="13"/>
      <c r="L57" s="13"/>
      <c r="M57" s="124">
        <v>67</v>
      </c>
      <c r="N57" s="13"/>
      <c r="O57" s="124">
        <v>123</v>
      </c>
      <c r="P57" s="13"/>
      <c r="Q57" s="13"/>
      <c r="R57" s="13"/>
      <c r="S57" s="13"/>
      <c r="T57" s="13"/>
      <c r="U57" s="13"/>
      <c r="V57" s="13"/>
      <c r="W57" s="13"/>
      <c r="X57" s="13">
        <v>653</v>
      </c>
      <c r="Y57" s="7" t="s">
        <v>5</v>
      </c>
      <c r="Z57" s="58">
        <v>30</v>
      </c>
      <c r="AB57">
        <f t="shared" si="16"/>
        <v>4.5347222222222223</v>
      </c>
      <c r="AC57" t="s">
        <v>337</v>
      </c>
      <c r="AD57">
        <v>653</v>
      </c>
      <c r="AE57" t="s">
        <v>336</v>
      </c>
      <c r="AF57">
        <v>295</v>
      </c>
      <c r="AS57" s="165" t="s">
        <v>131</v>
      </c>
      <c r="AT57" s="167"/>
      <c r="AU57" s="181">
        <f>(0.5*SUM(AZ45:AZ53))/AU56</f>
        <v>18419.233333333334</v>
      </c>
      <c r="AV57" s="167"/>
      <c r="AX57" s="181">
        <f>(0.5*SUM(BB45:BB53))/AX56</f>
        <v>22974.814814814818</v>
      </c>
      <c r="AY57" s="8"/>
      <c r="AZ57" s="8"/>
      <c r="BA57" s="8"/>
      <c r="BB57" s="8"/>
    </row>
    <row r="58" spans="1:60" ht="18" customHeight="1" x14ac:dyDescent="0.2">
      <c r="A58" s="13">
        <v>2013</v>
      </c>
      <c r="B58" s="13"/>
      <c r="C58" s="13"/>
      <c r="D58" s="13"/>
      <c r="E58" s="13"/>
      <c r="F58" s="123">
        <v>10</v>
      </c>
      <c r="G58" s="1"/>
      <c r="H58" s="1"/>
      <c r="I58" s="123">
        <v>23</v>
      </c>
      <c r="J58" s="1"/>
      <c r="K58" s="123">
        <v>353</v>
      </c>
      <c r="L58" s="123">
        <v>315</v>
      </c>
      <c r="M58" s="123">
        <v>413</v>
      </c>
      <c r="N58" s="1"/>
      <c r="O58" s="1"/>
      <c r="P58" s="8"/>
      <c r="Q58" s="123">
        <v>123</v>
      </c>
      <c r="R58" s="13"/>
      <c r="S58" s="13"/>
      <c r="T58" s="13"/>
      <c r="U58" s="13"/>
      <c r="V58" s="13"/>
      <c r="W58" s="13"/>
      <c r="X58" s="13">
        <v>902</v>
      </c>
      <c r="Y58" s="7" t="s">
        <v>5</v>
      </c>
      <c r="Z58" s="58">
        <v>30</v>
      </c>
      <c r="AB58">
        <f t="shared" si="16"/>
        <v>2.1840193704600486</v>
      </c>
      <c r="AC58" t="s">
        <v>337</v>
      </c>
      <c r="AD58">
        <v>902</v>
      </c>
      <c r="AE58">
        <v>972</v>
      </c>
      <c r="AF58">
        <v>70</v>
      </c>
    </row>
    <row r="59" spans="1:60" ht="18" customHeight="1" x14ac:dyDescent="0.2">
      <c r="A59" s="13">
        <v>2014</v>
      </c>
      <c r="B59" s="1"/>
      <c r="C59" s="1"/>
      <c r="D59" s="1"/>
      <c r="E59" s="1"/>
      <c r="F59" s="8"/>
      <c r="G59" s="123">
        <v>13</v>
      </c>
      <c r="H59" s="1"/>
      <c r="I59" s="123">
        <v>40</v>
      </c>
      <c r="J59" s="123">
        <v>52</v>
      </c>
      <c r="K59" s="123">
        <v>193</v>
      </c>
      <c r="L59" s="123">
        <v>121</v>
      </c>
      <c r="M59" s="8"/>
      <c r="N59" s="1"/>
      <c r="O59" s="1"/>
      <c r="P59" s="123">
        <v>77</v>
      </c>
      <c r="Q59" s="8"/>
      <c r="R59" s="1"/>
      <c r="S59" s="1"/>
      <c r="T59" s="1"/>
      <c r="U59" s="1"/>
      <c r="V59" s="1"/>
      <c r="W59" s="1"/>
      <c r="X59" s="13">
        <v>318</v>
      </c>
      <c r="Y59" s="7" t="s">
        <v>5</v>
      </c>
      <c r="Z59" s="58">
        <v>35</v>
      </c>
      <c r="AB59">
        <f t="shared" si="16"/>
        <v>1.6476683937823835</v>
      </c>
      <c r="AC59" t="s">
        <v>346</v>
      </c>
      <c r="AD59">
        <v>318</v>
      </c>
      <c r="AE59">
        <v>328</v>
      </c>
      <c r="AF59">
        <v>10</v>
      </c>
    </row>
    <row r="60" spans="1:60" ht="18" customHeight="1" x14ac:dyDescent="0.2">
      <c r="A60" s="13">
        <v>2015</v>
      </c>
      <c r="B60" s="1"/>
      <c r="C60" s="1"/>
      <c r="D60" s="1"/>
      <c r="E60" s="1"/>
      <c r="F60" s="123">
        <v>39</v>
      </c>
      <c r="G60" s="119">
        <v>69</v>
      </c>
      <c r="H60" s="119">
        <v>51</v>
      </c>
      <c r="I60" s="119">
        <v>136</v>
      </c>
      <c r="J60" s="119">
        <v>68</v>
      </c>
      <c r="K60" s="8"/>
      <c r="L60" s="119">
        <v>47</v>
      </c>
      <c r="M60" s="119">
        <v>182</v>
      </c>
      <c r="N60" s="119">
        <v>24</v>
      </c>
      <c r="O60" s="8"/>
      <c r="P60" s="8"/>
      <c r="Q60" s="8"/>
      <c r="R60" s="1"/>
      <c r="S60" s="1"/>
      <c r="T60" s="1"/>
      <c r="U60" s="1"/>
      <c r="V60" s="1"/>
      <c r="W60" s="1"/>
      <c r="X60" s="13">
        <v>213</v>
      </c>
      <c r="Y60" s="7" t="s">
        <v>5</v>
      </c>
      <c r="Z60" s="58">
        <v>30</v>
      </c>
      <c r="AB60">
        <f t="shared" si="16"/>
        <v>1.1703296703296704</v>
      </c>
      <c r="AC60" t="s">
        <v>339</v>
      </c>
      <c r="AD60">
        <v>256</v>
      </c>
      <c r="AE60">
        <v>295</v>
      </c>
      <c r="AF60">
        <v>39</v>
      </c>
    </row>
    <row r="61" spans="1:60" ht="18" customHeight="1" x14ac:dyDescent="0.2">
      <c r="A61" s="13">
        <v>2016</v>
      </c>
      <c r="B61" s="1"/>
      <c r="C61" s="1"/>
      <c r="D61" s="1"/>
      <c r="E61" s="1"/>
      <c r="F61" s="119">
        <v>0</v>
      </c>
      <c r="G61" s="119">
        <v>13</v>
      </c>
      <c r="H61" s="119">
        <v>43</v>
      </c>
      <c r="I61" s="119">
        <v>226</v>
      </c>
      <c r="J61" s="547">
        <v>186</v>
      </c>
      <c r="K61" s="547">
        <v>260</v>
      </c>
      <c r="L61" s="119">
        <v>117</v>
      </c>
      <c r="M61" s="1"/>
      <c r="N61" s="1"/>
      <c r="O61" s="304">
        <v>20</v>
      </c>
      <c r="P61" s="1"/>
      <c r="Q61" s="1"/>
      <c r="R61" s="1"/>
      <c r="S61" s="1"/>
      <c r="T61" s="1"/>
      <c r="U61" s="1"/>
      <c r="V61" s="1"/>
      <c r="W61" s="1"/>
      <c r="X61" s="13">
        <v>493</v>
      </c>
      <c r="Y61" s="7"/>
      <c r="Z61" s="58">
        <v>25</v>
      </c>
      <c r="AB61">
        <f t="shared" si="16"/>
        <v>1.8961538461538461</v>
      </c>
      <c r="AC61" t="s">
        <v>339</v>
      </c>
    </row>
    <row r="62" spans="1:60" ht="18" customHeight="1" x14ac:dyDescent="0.2">
      <c r="A62" s="1">
        <v>2017</v>
      </c>
      <c r="F62" s="123">
        <v>0</v>
      </c>
      <c r="G62" s="123">
        <v>12</v>
      </c>
      <c r="H62" s="123">
        <v>11</v>
      </c>
      <c r="I62" s="123">
        <v>30</v>
      </c>
      <c r="J62" s="123">
        <v>159</v>
      </c>
      <c r="K62" s="123">
        <v>111</v>
      </c>
      <c r="M62" s="480">
        <v>71</v>
      </c>
      <c r="O62" s="119">
        <v>176</v>
      </c>
      <c r="X62" s="13">
        <v>315</v>
      </c>
      <c r="Z62" s="13">
        <v>30</v>
      </c>
      <c r="AB62">
        <f t="shared" si="16"/>
        <v>1.7897727272727273</v>
      </c>
    </row>
    <row r="63" spans="1:60" ht="18" customHeight="1" x14ac:dyDescent="0.2">
      <c r="A63" s="1">
        <v>2018</v>
      </c>
      <c r="F63" s="123">
        <v>22</v>
      </c>
      <c r="G63" s="123">
        <v>52</v>
      </c>
      <c r="H63" s="123">
        <v>102</v>
      </c>
      <c r="I63" s="123">
        <v>104</v>
      </c>
      <c r="K63" s="123">
        <v>93</v>
      </c>
      <c r="L63" s="123">
        <v>127</v>
      </c>
      <c r="N63" s="549">
        <v>51</v>
      </c>
      <c r="X63" s="13">
        <v>248</v>
      </c>
      <c r="Z63" s="13">
        <v>30</v>
      </c>
      <c r="AB63">
        <f t="shared" si="16"/>
        <v>1.9527559055118111</v>
      </c>
      <c r="AC63" s="93" t="s">
        <v>337</v>
      </c>
      <c r="AD63" s="93" t="s">
        <v>431</v>
      </c>
    </row>
    <row r="64" spans="1:60" ht="18" customHeight="1" x14ac:dyDescent="0.2">
      <c r="A64" s="1">
        <v>2019</v>
      </c>
      <c r="F64" s="119">
        <v>11</v>
      </c>
      <c r="G64" s="123">
        <v>10</v>
      </c>
      <c r="H64" s="123">
        <v>5</v>
      </c>
      <c r="I64" s="123">
        <v>14</v>
      </c>
      <c r="J64" s="123">
        <v>44</v>
      </c>
      <c r="K64" s="123">
        <v>51</v>
      </c>
      <c r="M64" s="552">
        <v>24</v>
      </c>
      <c r="N64" s="123">
        <v>70</v>
      </c>
      <c r="O64" s="377">
        <v>88</v>
      </c>
      <c r="X64" s="13">
        <v>172</v>
      </c>
      <c r="Y64" s="7" t="s">
        <v>5</v>
      </c>
      <c r="Z64" s="13">
        <v>30</v>
      </c>
      <c r="AB64">
        <f>X64/MAX(B64:W64)</f>
        <v>1.9545454545454546</v>
      </c>
      <c r="AC64" s="93" t="s">
        <v>337</v>
      </c>
      <c r="AD64" s="93"/>
    </row>
    <row r="65" spans="1:60" ht="18" customHeight="1" x14ac:dyDescent="0.2">
      <c r="A65" s="1">
        <v>2020</v>
      </c>
      <c r="G65" s="106">
        <v>11</v>
      </c>
      <c r="I65" s="106">
        <v>83</v>
      </c>
      <c r="J65" s="106">
        <v>37</v>
      </c>
      <c r="K65" s="106">
        <v>109</v>
      </c>
      <c r="L65" s="712">
        <v>45</v>
      </c>
      <c r="N65" s="106">
        <v>140</v>
      </c>
      <c r="X65" s="13">
        <v>299</v>
      </c>
      <c r="Y65" s="7"/>
      <c r="Z65" s="13"/>
      <c r="AB65">
        <f t="shared" ref="AB65:AB67" si="19">X65/MAX(B65:W65)</f>
        <v>2.1357142857142857</v>
      </c>
      <c r="AC65" s="93" t="s">
        <v>337</v>
      </c>
      <c r="AD65" s="93"/>
    </row>
    <row r="66" spans="1:60" s="150" customFormat="1" ht="18" customHeight="1" x14ac:dyDescent="0.2">
      <c r="A66" s="227">
        <v>2021</v>
      </c>
      <c r="G66" s="106">
        <v>0</v>
      </c>
      <c r="H66" s="106">
        <v>6</v>
      </c>
      <c r="I66" s="106">
        <v>31</v>
      </c>
      <c r="J66" s="227"/>
      <c r="K66" s="227"/>
      <c r="L66" s="585">
        <v>33</v>
      </c>
      <c r="N66" s="227"/>
      <c r="O66" s="712">
        <v>0</v>
      </c>
      <c r="X66" s="89">
        <v>51</v>
      </c>
      <c r="Y66" s="11"/>
      <c r="Z66" s="89"/>
      <c r="AB66">
        <f t="shared" si="19"/>
        <v>1.5454545454545454</v>
      </c>
      <c r="AC66" s="93" t="s">
        <v>337</v>
      </c>
      <c r="AD66" s="74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51"/>
      <c r="BD66" s="151"/>
      <c r="BE66" s="151"/>
      <c r="BF66" s="151"/>
      <c r="BG66" s="151"/>
      <c r="BH66" s="151"/>
    </row>
    <row r="67" spans="1:60" s="150" customFormat="1" ht="18" customHeight="1" x14ac:dyDescent="0.2">
      <c r="A67" s="227">
        <v>2022</v>
      </c>
      <c r="G67" s="227"/>
      <c r="H67" s="106">
        <v>0</v>
      </c>
      <c r="I67" s="106">
        <v>65</v>
      </c>
      <c r="J67" s="106">
        <v>139</v>
      </c>
      <c r="K67" s="106">
        <v>134</v>
      </c>
      <c r="L67" s="890">
        <v>264</v>
      </c>
      <c r="N67" s="106">
        <v>20</v>
      </c>
      <c r="O67" s="873"/>
      <c r="P67" s="106">
        <v>156</v>
      </c>
      <c r="X67" s="89">
        <v>460</v>
      </c>
      <c r="Y67" s="11"/>
      <c r="Z67" s="89"/>
      <c r="AB67">
        <f t="shared" si="19"/>
        <v>1.7424242424242424</v>
      </c>
      <c r="AC67" s="93" t="s">
        <v>337</v>
      </c>
      <c r="AD67" s="74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</row>
    <row r="68" spans="1:60" s="150" customFormat="1" ht="18" customHeight="1" x14ac:dyDescent="0.2">
      <c r="A68" s="227">
        <v>2023</v>
      </c>
      <c r="F68" s="106">
        <v>11</v>
      </c>
      <c r="G68" s="227"/>
      <c r="H68" s="106">
        <v>55</v>
      </c>
      <c r="I68" s="585">
        <v>42</v>
      </c>
      <c r="J68" s="106">
        <v>51</v>
      </c>
      <c r="K68" s="227"/>
      <c r="L68" s="227"/>
      <c r="M68" s="106">
        <v>1</v>
      </c>
      <c r="N68" s="106">
        <v>88</v>
      </c>
      <c r="O68" s="227"/>
      <c r="P68" s="227"/>
      <c r="Q68" s="227"/>
      <c r="R68" s="227"/>
      <c r="S68" s="227"/>
      <c r="T68" s="227"/>
      <c r="X68" s="89"/>
      <c r="Y68" s="11"/>
      <c r="Z68" s="89"/>
      <c r="AB68" s="151"/>
      <c r="AC68" s="741"/>
      <c r="AD68" s="74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</row>
    <row r="69" spans="1:60" ht="18" customHeight="1" x14ac:dyDescent="0.2">
      <c r="A69" s="64" t="s">
        <v>17</v>
      </c>
      <c r="B69" s="16"/>
      <c r="C69" s="16">
        <f t="shared" ref="C69:T69" si="20">AVERAGE(C40:C54)</f>
        <v>0</v>
      </c>
      <c r="D69" s="16">
        <f t="shared" si="20"/>
        <v>6</v>
      </c>
      <c r="E69" s="16">
        <f t="shared" si="20"/>
        <v>0</v>
      </c>
      <c r="F69" s="16">
        <f t="shared" si="20"/>
        <v>14.333333333333334</v>
      </c>
      <c r="G69" s="16">
        <f t="shared" si="20"/>
        <v>15.625</v>
      </c>
      <c r="H69" s="16">
        <f t="shared" si="20"/>
        <v>25.818181818181817</v>
      </c>
      <c r="I69" s="16">
        <f t="shared" si="20"/>
        <v>45.636363636363633</v>
      </c>
      <c r="J69" s="16">
        <f t="shared" si="20"/>
        <v>92</v>
      </c>
      <c r="K69" s="16">
        <f t="shared" si="20"/>
        <v>95.142857142857139</v>
      </c>
      <c r="L69" s="16">
        <f t="shared" si="20"/>
        <v>92.833333333333329</v>
      </c>
      <c r="M69" s="16">
        <f t="shared" si="20"/>
        <v>120.35714285714286</v>
      </c>
      <c r="N69" s="16">
        <f t="shared" si="20"/>
        <v>138.54545454545453</v>
      </c>
      <c r="O69" s="16">
        <f t="shared" si="20"/>
        <v>156.45454545454547</v>
      </c>
      <c r="P69" s="16">
        <f t="shared" si="20"/>
        <v>63</v>
      </c>
      <c r="Q69" s="16">
        <f t="shared" si="20"/>
        <v>34.6</v>
      </c>
      <c r="R69" s="16">
        <f t="shared" si="20"/>
        <v>24</v>
      </c>
      <c r="S69" s="16">
        <f t="shared" si="20"/>
        <v>33.5</v>
      </c>
      <c r="T69" s="16">
        <f t="shared" si="20"/>
        <v>1</v>
      </c>
      <c r="U69" s="16"/>
      <c r="V69" s="16"/>
      <c r="W69" s="16"/>
      <c r="X69" s="16">
        <f>AVERAGE(X40:X54)</f>
        <v>321.73333333333335</v>
      </c>
      <c r="Y69" s="17"/>
      <c r="Z69" s="16">
        <f>AVERAGE(Z40:Z54)</f>
        <v>26.214285714285715</v>
      </c>
      <c r="AB69" s="2"/>
      <c r="AC69" s="2"/>
      <c r="AD69" s="2"/>
      <c r="AE69" s="2"/>
    </row>
    <row r="70" spans="1:60" ht="18" customHeight="1" x14ac:dyDescent="0.2">
      <c r="Z70" s="2"/>
      <c r="AB70" s="2"/>
      <c r="AC70" s="2"/>
      <c r="AD70" s="2"/>
      <c r="AE70" s="2"/>
    </row>
    <row r="71" spans="1:60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3"/>
    </row>
    <row r="72" spans="1:60" ht="18" customHeight="1" x14ac:dyDescent="0.2">
      <c r="A72" s="1002" t="s">
        <v>516</v>
      </c>
      <c r="B72" s="1003"/>
      <c r="C72" s="1003"/>
      <c r="D72" s="1003"/>
      <c r="E72" s="1003"/>
      <c r="F72" s="1003"/>
      <c r="G72" s="1003"/>
      <c r="H72" s="1003"/>
      <c r="I72" s="100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60" ht="18" customHeight="1" thickBo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1"/>
    </row>
    <row r="74" spans="1:60" ht="18" customHeight="1" thickTop="1" x14ac:dyDescent="0.2">
      <c r="A74" s="70" t="s">
        <v>0</v>
      </c>
      <c r="B74" s="1006" t="s">
        <v>1</v>
      </c>
      <c r="C74" s="1006"/>
      <c r="D74" s="1006"/>
      <c r="E74" s="1006"/>
      <c r="F74" s="1006"/>
      <c r="G74" s="1006"/>
      <c r="H74" s="1006"/>
      <c r="I74" s="1006"/>
      <c r="J74" s="1006"/>
      <c r="K74" s="1006"/>
      <c r="L74" s="1006"/>
      <c r="M74" s="1006"/>
      <c r="N74" s="1006"/>
      <c r="O74" s="1006"/>
      <c r="P74" s="1006"/>
      <c r="Q74" s="1006"/>
      <c r="R74" s="1006"/>
      <c r="S74" s="1006"/>
      <c r="T74" s="1006"/>
      <c r="U74" s="1006"/>
      <c r="V74" s="1006"/>
      <c r="W74" s="1006"/>
      <c r="X74" s="1004" t="s">
        <v>2</v>
      </c>
      <c r="Y74" s="1010" t="s">
        <v>3</v>
      </c>
      <c r="Z74" s="1008" t="s">
        <v>4</v>
      </c>
      <c r="AC74" t="s">
        <v>334</v>
      </c>
      <c r="AD74" s="2"/>
    </row>
    <row r="75" spans="1:60" ht="18" customHeight="1" x14ac:dyDescent="0.2">
      <c r="A75" s="75"/>
      <c r="B75" s="18">
        <v>81</v>
      </c>
      <c r="C75" s="18">
        <v>82</v>
      </c>
      <c r="D75" s="18">
        <v>83</v>
      </c>
      <c r="E75" s="18">
        <v>84</v>
      </c>
      <c r="F75" s="18">
        <v>91</v>
      </c>
      <c r="G75" s="18">
        <v>92</v>
      </c>
      <c r="H75" s="18">
        <v>93</v>
      </c>
      <c r="I75" s="18">
        <v>94</v>
      </c>
      <c r="J75" s="18">
        <v>101</v>
      </c>
      <c r="K75" s="18">
        <v>102</v>
      </c>
      <c r="L75" s="18">
        <v>103</v>
      </c>
      <c r="M75" s="18">
        <v>104</v>
      </c>
      <c r="N75" s="18">
        <v>105</v>
      </c>
      <c r="O75" s="18">
        <v>111</v>
      </c>
      <c r="P75" s="18">
        <v>112</v>
      </c>
      <c r="Q75" s="18">
        <v>113</v>
      </c>
      <c r="R75" s="18">
        <v>114</v>
      </c>
      <c r="S75" s="18">
        <v>115</v>
      </c>
      <c r="T75" s="18">
        <v>121</v>
      </c>
      <c r="U75" s="18">
        <v>122</v>
      </c>
      <c r="V75" s="18">
        <v>123</v>
      </c>
      <c r="W75" s="18">
        <v>124</v>
      </c>
      <c r="X75" s="1005"/>
      <c r="Y75" s="1011"/>
      <c r="Z75" s="1009"/>
      <c r="AA75" s="68" t="s">
        <v>62</v>
      </c>
      <c r="AB75" t="s">
        <v>63</v>
      </c>
      <c r="AC75" s="2" t="s">
        <v>335</v>
      </c>
      <c r="AD75" t="s">
        <v>340</v>
      </c>
      <c r="AE75" s="2" t="s">
        <v>151</v>
      </c>
      <c r="AF75" t="s">
        <v>234</v>
      </c>
    </row>
    <row r="76" spans="1:60" ht="18" customHeight="1" x14ac:dyDescent="0.2">
      <c r="A76" s="1">
        <v>1995</v>
      </c>
      <c r="B76" s="6"/>
      <c r="C76" s="6"/>
      <c r="D76" s="6"/>
      <c r="E76" s="6"/>
      <c r="F76" s="6"/>
      <c r="G76" s="119">
        <v>5</v>
      </c>
      <c r="H76" s="119">
        <v>1</v>
      </c>
      <c r="I76" s="119">
        <v>90</v>
      </c>
      <c r="J76" s="119">
        <v>80</v>
      </c>
      <c r="K76" s="359"/>
      <c r="L76" s="122">
        <v>1170</v>
      </c>
      <c r="M76" s="359"/>
      <c r="N76" s="122">
        <v>7600</v>
      </c>
      <c r="O76" s="122">
        <v>8760</v>
      </c>
      <c r="P76" s="359"/>
      <c r="Q76" s="6"/>
      <c r="R76" s="6"/>
      <c r="S76" s="6"/>
      <c r="T76" s="13"/>
      <c r="U76" s="13"/>
      <c r="V76" s="13"/>
      <c r="W76" s="13"/>
      <c r="X76" s="7">
        <v>14974</v>
      </c>
      <c r="Y76" s="7" t="s">
        <v>5</v>
      </c>
      <c r="Z76" s="10">
        <v>15</v>
      </c>
      <c r="AA76" s="73">
        <f>MAX(B76:W76)</f>
        <v>8760</v>
      </c>
      <c r="AB76" s="72">
        <f>X76/AA76</f>
        <v>1.7093607305936074</v>
      </c>
      <c r="AC76" t="s">
        <v>316</v>
      </c>
      <c r="AD76">
        <v>14974</v>
      </c>
    </row>
    <row r="77" spans="1:60" ht="18" customHeight="1" x14ac:dyDescent="0.2">
      <c r="A77" s="1">
        <v>1996</v>
      </c>
      <c r="B77" s="6"/>
      <c r="C77" s="119">
        <v>0</v>
      </c>
      <c r="D77" s="6"/>
      <c r="E77" s="119">
        <v>0</v>
      </c>
      <c r="F77" s="119">
        <v>0</v>
      </c>
      <c r="G77" s="119">
        <v>0</v>
      </c>
      <c r="H77" s="119">
        <v>5</v>
      </c>
      <c r="I77" s="113">
        <v>300</v>
      </c>
      <c r="J77" s="113">
        <v>1200</v>
      </c>
      <c r="K77" s="121">
        <v>2500</v>
      </c>
      <c r="L77" s="359"/>
      <c r="M77" s="122">
        <v>9320</v>
      </c>
      <c r="N77" s="122">
        <v>12249</v>
      </c>
      <c r="O77" s="122">
        <v>12172</v>
      </c>
      <c r="P77" s="121">
        <v>2200</v>
      </c>
      <c r="Q77" s="119">
        <v>144</v>
      </c>
      <c r="R77" s="6"/>
      <c r="S77" s="6"/>
      <c r="T77" s="13"/>
      <c r="U77" s="13"/>
      <c r="V77" s="13"/>
      <c r="W77" s="13"/>
      <c r="X77" s="7">
        <v>19905</v>
      </c>
      <c r="Y77" s="7" t="s">
        <v>5</v>
      </c>
      <c r="Z77" s="10">
        <v>15</v>
      </c>
      <c r="AA77" s="73">
        <f t="shared" ref="AA77:AA92" si="21">MAX(B77:W77)</f>
        <v>12249</v>
      </c>
      <c r="AB77" s="72">
        <f t="shared" ref="AB77:AB92" si="22">X77/AA77</f>
        <v>1.6250306147440607</v>
      </c>
      <c r="AC77" t="s">
        <v>345</v>
      </c>
      <c r="AD77">
        <v>19905</v>
      </c>
    </row>
    <row r="78" spans="1:60" ht="18" customHeight="1" x14ac:dyDescent="0.2">
      <c r="A78" s="1">
        <v>1997</v>
      </c>
      <c r="B78" s="6"/>
      <c r="C78" s="119">
        <v>0</v>
      </c>
      <c r="D78" s="6"/>
      <c r="E78" s="119">
        <v>0</v>
      </c>
      <c r="F78" s="119">
        <v>0</v>
      </c>
      <c r="G78" s="119">
        <v>0</v>
      </c>
      <c r="H78" s="119">
        <v>2</v>
      </c>
      <c r="I78" s="119">
        <v>49</v>
      </c>
      <c r="J78" s="6"/>
      <c r="K78" s="122">
        <v>382</v>
      </c>
      <c r="L78" s="121">
        <v>1500</v>
      </c>
      <c r="M78" s="122">
        <v>10562</v>
      </c>
      <c r="N78" s="121">
        <v>10000</v>
      </c>
      <c r="O78" s="121">
        <v>15000</v>
      </c>
      <c r="P78" s="122">
        <v>1342</v>
      </c>
      <c r="Q78" s="6"/>
      <c r="R78" s="6"/>
      <c r="S78" s="6"/>
      <c r="T78" s="13"/>
      <c r="U78" s="13"/>
      <c r="V78" s="13"/>
      <c r="W78" s="13"/>
      <c r="X78" s="7">
        <v>46394</v>
      </c>
      <c r="Y78" s="7" t="s">
        <v>5</v>
      </c>
      <c r="Z78" s="10">
        <v>10</v>
      </c>
      <c r="AA78" s="73">
        <f t="shared" si="21"/>
        <v>15000</v>
      </c>
      <c r="AB78" s="72">
        <f t="shared" si="22"/>
        <v>3.0929333333333333</v>
      </c>
      <c r="AC78" t="s">
        <v>345</v>
      </c>
      <c r="AD78">
        <v>46394</v>
      </c>
    </row>
    <row r="79" spans="1:60" ht="18" customHeight="1" x14ac:dyDescent="0.2">
      <c r="A79" s="1">
        <v>1998</v>
      </c>
      <c r="B79" s="6"/>
      <c r="C79" s="6"/>
      <c r="D79" s="6"/>
      <c r="E79" s="6"/>
      <c r="F79" s="119">
        <v>0</v>
      </c>
      <c r="G79" s="113">
        <v>0</v>
      </c>
      <c r="H79" s="119">
        <v>0</v>
      </c>
      <c r="I79" s="6"/>
      <c r="J79" s="113">
        <v>50</v>
      </c>
      <c r="K79" s="121">
        <v>5500</v>
      </c>
      <c r="L79" s="121">
        <v>20000</v>
      </c>
      <c r="M79" s="540">
        <v>60000</v>
      </c>
      <c r="N79" s="122">
        <v>24300</v>
      </c>
      <c r="O79" s="121">
        <v>30000</v>
      </c>
      <c r="P79" s="359"/>
      <c r="Q79" s="119">
        <v>0</v>
      </c>
      <c r="R79" s="6"/>
      <c r="S79" s="119">
        <v>2</v>
      </c>
      <c r="T79" s="13"/>
      <c r="U79" s="13"/>
      <c r="V79" s="13"/>
      <c r="W79" s="13"/>
      <c r="X79" s="7">
        <v>140624</v>
      </c>
      <c r="Y79" s="7" t="s">
        <v>5</v>
      </c>
      <c r="Z79" s="10">
        <v>15</v>
      </c>
      <c r="AA79" s="73">
        <f t="shared" si="21"/>
        <v>60000</v>
      </c>
      <c r="AB79" s="72">
        <f t="shared" si="22"/>
        <v>2.3437333333333332</v>
      </c>
      <c r="AC79" t="s">
        <v>345</v>
      </c>
      <c r="AD79">
        <v>140624</v>
      </c>
    </row>
    <row r="80" spans="1:60" ht="18" customHeight="1" x14ac:dyDescent="0.2">
      <c r="A80" s="1">
        <v>1999</v>
      </c>
      <c r="B80" s="6"/>
      <c r="C80" s="6"/>
      <c r="D80" s="6"/>
      <c r="E80" s="6"/>
      <c r="F80" s="119">
        <v>0</v>
      </c>
      <c r="G80" s="119">
        <v>0</v>
      </c>
      <c r="H80" s="119">
        <v>0</v>
      </c>
      <c r="I80" s="6"/>
      <c r="J80" s="119">
        <v>500</v>
      </c>
      <c r="K80" s="122">
        <v>1000</v>
      </c>
      <c r="L80" s="122">
        <v>15000</v>
      </c>
      <c r="M80" s="122">
        <v>30500</v>
      </c>
      <c r="N80" s="122">
        <v>7500</v>
      </c>
      <c r="O80" s="121">
        <v>4000</v>
      </c>
      <c r="P80" s="121">
        <v>50</v>
      </c>
      <c r="Q80" s="119">
        <v>82</v>
      </c>
      <c r="R80" s="6"/>
      <c r="S80" s="6"/>
      <c r="T80" s="13"/>
      <c r="U80" s="13"/>
      <c r="V80" s="13"/>
      <c r="W80" s="13"/>
      <c r="X80" s="9">
        <v>37660</v>
      </c>
      <c r="Y80" s="7" t="s">
        <v>5</v>
      </c>
      <c r="Z80" s="60">
        <v>12.5</v>
      </c>
      <c r="AA80" s="73">
        <f t="shared" si="21"/>
        <v>30500</v>
      </c>
      <c r="AB80" s="72">
        <f t="shared" si="22"/>
        <v>1.2347540983606557</v>
      </c>
      <c r="AC80" t="s">
        <v>345</v>
      </c>
      <c r="AD80">
        <v>37660</v>
      </c>
      <c r="AF80">
        <v>500</v>
      </c>
    </row>
    <row r="81" spans="1:60" ht="18" customHeight="1" x14ac:dyDescent="0.2">
      <c r="A81" s="1">
        <v>2000</v>
      </c>
      <c r="B81" s="6"/>
      <c r="C81" s="6"/>
      <c r="D81" s="119">
        <v>0</v>
      </c>
      <c r="E81" s="6"/>
      <c r="F81" s="6"/>
      <c r="G81" s="6"/>
      <c r="H81" s="119">
        <v>1</v>
      </c>
      <c r="I81" s="119">
        <v>12</v>
      </c>
      <c r="J81" s="119">
        <v>3</v>
      </c>
      <c r="K81" s="122">
        <v>489</v>
      </c>
      <c r="L81" s="541">
        <v>500</v>
      </c>
      <c r="M81" s="541">
        <v>1050</v>
      </c>
      <c r="N81" s="541">
        <v>1800</v>
      </c>
      <c r="O81" s="541">
        <v>1500</v>
      </c>
      <c r="P81" s="541">
        <v>1450</v>
      </c>
      <c r="Q81" s="119">
        <v>350</v>
      </c>
      <c r="R81" s="119">
        <v>0</v>
      </c>
      <c r="S81" s="119">
        <v>0</v>
      </c>
      <c r="T81" s="124">
        <v>0</v>
      </c>
      <c r="U81" s="13"/>
      <c r="V81" s="13"/>
      <c r="W81" s="13"/>
      <c r="X81" s="10">
        <v>5109</v>
      </c>
      <c r="Y81" s="26" t="s">
        <v>7</v>
      </c>
      <c r="AA81" s="73">
        <f t="shared" si="21"/>
        <v>1800</v>
      </c>
      <c r="AB81" s="72">
        <f t="shared" si="22"/>
        <v>2.8383333333333334</v>
      </c>
      <c r="AC81" t="s">
        <v>345</v>
      </c>
      <c r="AD81">
        <v>5109</v>
      </c>
    </row>
    <row r="82" spans="1:60" ht="18" customHeight="1" x14ac:dyDescent="0.2">
      <c r="A82" s="1">
        <v>2001</v>
      </c>
      <c r="B82" s="6"/>
      <c r="C82" s="6"/>
      <c r="D82" s="6"/>
      <c r="E82" s="6"/>
      <c r="F82" s="6"/>
      <c r="G82" s="6"/>
      <c r="H82" s="119">
        <v>0</v>
      </c>
      <c r="I82" s="6"/>
      <c r="J82" s="114">
        <v>100</v>
      </c>
      <c r="K82" s="122">
        <v>566</v>
      </c>
      <c r="L82" s="122">
        <v>4119</v>
      </c>
      <c r="M82" s="122">
        <v>2960</v>
      </c>
      <c r="N82" s="121">
        <v>10000</v>
      </c>
      <c r="O82" s="121">
        <v>5000</v>
      </c>
      <c r="P82" s="359"/>
      <c r="Q82" s="119">
        <v>30</v>
      </c>
      <c r="R82" s="119">
        <v>1</v>
      </c>
      <c r="S82" s="6"/>
      <c r="T82" s="13"/>
      <c r="U82" s="13"/>
      <c r="V82" s="13"/>
      <c r="W82" s="13"/>
      <c r="X82" s="7">
        <v>9682</v>
      </c>
      <c r="Y82" s="26" t="s">
        <v>7</v>
      </c>
      <c r="AA82" s="73">
        <f t="shared" si="21"/>
        <v>10000</v>
      </c>
      <c r="AB82" s="72">
        <f t="shared" si="22"/>
        <v>0.96819999999999995</v>
      </c>
      <c r="AC82" t="s">
        <v>345</v>
      </c>
      <c r="AD82">
        <v>9682</v>
      </c>
    </row>
    <row r="83" spans="1:60" ht="18" customHeight="1" x14ac:dyDescent="0.2">
      <c r="A83" s="1">
        <v>2002</v>
      </c>
      <c r="B83" s="6"/>
      <c r="C83" s="6"/>
      <c r="D83" s="6"/>
      <c r="E83" s="6"/>
      <c r="F83" s="6"/>
      <c r="G83" s="119">
        <v>1</v>
      </c>
      <c r="H83" s="119">
        <v>17</v>
      </c>
      <c r="I83" s="119">
        <v>51</v>
      </c>
      <c r="J83" s="113">
        <v>100</v>
      </c>
      <c r="K83" s="121">
        <v>2000</v>
      </c>
      <c r="L83" s="121">
        <v>4500</v>
      </c>
      <c r="M83" s="121">
        <v>13000</v>
      </c>
      <c r="N83" s="121">
        <v>15000</v>
      </c>
      <c r="O83" s="541">
        <v>40000</v>
      </c>
      <c r="P83" s="121">
        <v>6000</v>
      </c>
      <c r="Q83" s="6"/>
      <c r="R83" s="119">
        <v>33</v>
      </c>
      <c r="S83" s="6"/>
      <c r="T83" s="13"/>
      <c r="U83" s="13"/>
      <c r="V83" s="13"/>
      <c r="W83" s="13"/>
      <c r="X83" s="7">
        <v>60000</v>
      </c>
      <c r="Y83" s="26" t="s">
        <v>8</v>
      </c>
      <c r="AA83" s="73">
        <f t="shared" si="21"/>
        <v>40000</v>
      </c>
      <c r="AB83" s="72">
        <f t="shared" si="22"/>
        <v>1.5</v>
      </c>
      <c r="AC83" t="s">
        <v>346</v>
      </c>
      <c r="AD83">
        <v>60000</v>
      </c>
      <c r="AE83">
        <v>60000</v>
      </c>
    </row>
    <row r="84" spans="1:60" ht="18" customHeight="1" x14ac:dyDescent="0.2">
      <c r="A84" s="1">
        <v>2003</v>
      </c>
      <c r="B84" s="6"/>
      <c r="C84" s="6"/>
      <c r="D84" s="6"/>
      <c r="E84" s="6"/>
      <c r="F84" s="6"/>
      <c r="G84" s="119">
        <v>10</v>
      </c>
      <c r="H84" s="6"/>
      <c r="I84" s="119">
        <v>184</v>
      </c>
      <c r="J84" s="119">
        <v>309</v>
      </c>
      <c r="K84" s="121">
        <v>1500</v>
      </c>
      <c r="L84" s="359"/>
      <c r="M84" s="541">
        <v>15000</v>
      </c>
      <c r="N84" s="121">
        <v>25000</v>
      </c>
      <c r="O84" s="359"/>
      <c r="P84" s="359"/>
      <c r="Q84" s="6"/>
      <c r="R84" s="6"/>
      <c r="S84" s="6"/>
      <c r="T84" s="13"/>
      <c r="U84" s="13"/>
      <c r="V84" s="13"/>
      <c r="W84" s="13"/>
      <c r="X84" s="7">
        <v>51294</v>
      </c>
      <c r="Y84" s="11" t="s">
        <v>5</v>
      </c>
      <c r="Z84" s="60">
        <v>12</v>
      </c>
      <c r="AA84" s="73">
        <f t="shared" si="21"/>
        <v>25000</v>
      </c>
      <c r="AB84" s="72">
        <f t="shared" si="22"/>
        <v>2.0517599999999998</v>
      </c>
      <c r="AC84" t="s">
        <v>337</v>
      </c>
      <c r="AD84">
        <v>51294</v>
      </c>
      <c r="AE84">
        <v>51294</v>
      </c>
    </row>
    <row r="85" spans="1:60" ht="18" customHeight="1" x14ac:dyDescent="0.2">
      <c r="A85" s="1">
        <v>2004</v>
      </c>
      <c r="B85" s="6"/>
      <c r="C85" s="6"/>
      <c r="D85" s="6"/>
      <c r="E85" s="6"/>
      <c r="F85" s="6"/>
      <c r="G85" s="6"/>
      <c r="H85" s="119">
        <v>0</v>
      </c>
      <c r="I85" s="119">
        <v>395</v>
      </c>
      <c r="J85" s="119">
        <v>1067</v>
      </c>
      <c r="K85" s="122">
        <v>2142</v>
      </c>
      <c r="L85" s="541">
        <v>20000</v>
      </c>
      <c r="M85" s="541">
        <v>35000</v>
      </c>
      <c r="N85" s="121">
        <v>8000</v>
      </c>
      <c r="O85" s="122">
        <v>12205</v>
      </c>
      <c r="P85" s="122">
        <v>2924</v>
      </c>
      <c r="Q85" s="6"/>
      <c r="R85" s="6"/>
      <c r="S85" s="6"/>
      <c r="T85" s="13"/>
      <c r="U85" s="13"/>
      <c r="V85" s="13"/>
      <c r="W85" s="13"/>
      <c r="X85" s="7">
        <v>35237</v>
      </c>
      <c r="Y85" s="11" t="s">
        <v>5</v>
      </c>
      <c r="Z85" s="60">
        <v>14</v>
      </c>
      <c r="AA85" s="73">
        <f t="shared" si="21"/>
        <v>35000</v>
      </c>
      <c r="AB85" s="72">
        <f t="shared" si="22"/>
        <v>1.0067714285714287</v>
      </c>
      <c r="AC85" t="s">
        <v>337</v>
      </c>
      <c r="AD85">
        <v>35237</v>
      </c>
      <c r="AE85">
        <v>35237</v>
      </c>
    </row>
    <row r="86" spans="1:60" ht="18" customHeight="1" x14ac:dyDescent="0.2">
      <c r="A86" s="1">
        <v>2005</v>
      </c>
      <c r="B86" s="6"/>
      <c r="C86" s="6"/>
      <c r="D86" s="6"/>
      <c r="E86" s="6"/>
      <c r="F86" s="6"/>
      <c r="G86" s="6"/>
      <c r="H86" s="6"/>
      <c r="I86" s="119">
        <v>46</v>
      </c>
      <c r="J86" s="119">
        <v>37</v>
      </c>
      <c r="K86" s="541">
        <v>3207</v>
      </c>
      <c r="L86" s="541">
        <v>9237</v>
      </c>
      <c r="M86" s="121">
        <v>15000</v>
      </c>
      <c r="N86" s="122">
        <v>7746</v>
      </c>
      <c r="O86" s="359"/>
      <c r="P86" s="121">
        <v>1500</v>
      </c>
      <c r="Q86" s="6"/>
      <c r="R86" s="6"/>
      <c r="S86" s="6"/>
      <c r="T86" s="13"/>
      <c r="U86" s="13"/>
      <c r="V86" s="13"/>
      <c r="W86" s="13"/>
      <c r="X86" s="11">
        <v>28810</v>
      </c>
      <c r="Y86" s="11" t="s">
        <v>5</v>
      </c>
      <c r="Z86" s="60">
        <v>10.5</v>
      </c>
      <c r="AA86" s="73">
        <f t="shared" si="21"/>
        <v>15000</v>
      </c>
      <c r="AB86" s="72">
        <f t="shared" si="22"/>
        <v>1.9206666666666667</v>
      </c>
      <c r="AC86" t="s">
        <v>337</v>
      </c>
      <c r="AD86">
        <v>28810</v>
      </c>
      <c r="AE86">
        <v>28810</v>
      </c>
      <c r="AF86">
        <v>0</v>
      </c>
    </row>
    <row r="87" spans="1:60" ht="18" customHeight="1" x14ac:dyDescent="0.2">
      <c r="A87" s="1">
        <v>2006</v>
      </c>
      <c r="B87" s="6"/>
      <c r="C87" s="6"/>
      <c r="D87" s="6"/>
      <c r="E87" s="6"/>
      <c r="F87" s="6"/>
      <c r="G87" s="6"/>
      <c r="H87" s="119">
        <v>29</v>
      </c>
      <c r="I87" s="119">
        <v>333</v>
      </c>
      <c r="J87" s="119">
        <v>851</v>
      </c>
      <c r="K87" s="122">
        <v>2410</v>
      </c>
      <c r="L87" s="122">
        <v>4276</v>
      </c>
      <c r="M87" s="122">
        <v>4666</v>
      </c>
      <c r="N87" s="359"/>
      <c r="O87" s="359"/>
      <c r="P87" s="359"/>
      <c r="Q87" s="6"/>
      <c r="R87" s="6"/>
      <c r="S87" s="6"/>
      <c r="T87" s="13"/>
      <c r="U87" s="13"/>
      <c r="V87" s="13"/>
      <c r="W87" s="13"/>
      <c r="X87" s="12">
        <v>8472</v>
      </c>
      <c r="Y87" s="11" t="s">
        <v>5</v>
      </c>
      <c r="Z87" s="53">
        <v>14</v>
      </c>
      <c r="AA87" s="73">
        <f t="shared" si="21"/>
        <v>4666</v>
      </c>
      <c r="AB87" s="72">
        <f t="shared" si="22"/>
        <v>1.8156879554222032</v>
      </c>
      <c r="AC87" t="s">
        <v>337</v>
      </c>
      <c r="AD87">
        <v>8472</v>
      </c>
      <c r="AE87">
        <v>8472</v>
      </c>
    </row>
    <row r="88" spans="1:60" ht="18" customHeight="1" x14ac:dyDescent="0.2">
      <c r="A88" s="1">
        <v>2007</v>
      </c>
      <c r="B88" s="6"/>
      <c r="C88" s="6"/>
      <c r="D88" s="6"/>
      <c r="E88" s="6"/>
      <c r="F88" s="119">
        <v>0</v>
      </c>
      <c r="G88" s="6"/>
      <c r="H88" s="6"/>
      <c r="I88" s="119">
        <v>237</v>
      </c>
      <c r="J88" s="6"/>
      <c r="K88" s="122">
        <v>7</v>
      </c>
      <c r="L88" s="122">
        <v>5972</v>
      </c>
      <c r="M88" s="122">
        <v>18956</v>
      </c>
      <c r="N88" s="359"/>
      <c r="O88" s="122">
        <v>4430</v>
      </c>
      <c r="P88" s="359"/>
      <c r="Q88" s="6"/>
      <c r="R88" s="6"/>
      <c r="S88" s="6"/>
      <c r="T88" s="13"/>
      <c r="U88" s="13"/>
      <c r="V88" s="13"/>
      <c r="W88" s="13"/>
      <c r="X88" s="12">
        <v>23576</v>
      </c>
      <c r="Y88" s="11" t="s">
        <v>5</v>
      </c>
      <c r="Z88" s="60">
        <v>15</v>
      </c>
      <c r="AA88" s="73">
        <f t="shared" si="21"/>
        <v>18956</v>
      </c>
      <c r="AB88" s="72">
        <f t="shared" si="22"/>
        <v>1.2437223042836041</v>
      </c>
      <c r="AC88" t="s">
        <v>337</v>
      </c>
      <c r="AD88">
        <v>23576</v>
      </c>
      <c r="AE88" s="434" t="s">
        <v>336</v>
      </c>
      <c r="AF88">
        <v>0</v>
      </c>
    </row>
    <row r="89" spans="1:60" s="55" customFormat="1" ht="18" customHeight="1" x14ac:dyDescent="0.2">
      <c r="A89" s="13">
        <v>2008</v>
      </c>
      <c r="B89" s="13"/>
      <c r="C89" s="13"/>
      <c r="D89" s="124">
        <v>0</v>
      </c>
      <c r="E89" s="13"/>
      <c r="F89" s="124">
        <v>0</v>
      </c>
      <c r="G89" s="13"/>
      <c r="H89" s="124">
        <v>5</v>
      </c>
      <c r="I89" s="13"/>
      <c r="J89" s="124">
        <v>75</v>
      </c>
      <c r="K89" s="542">
        <v>2328</v>
      </c>
      <c r="L89" s="19"/>
      <c r="M89" s="542">
        <v>5475</v>
      </c>
      <c r="N89" s="19"/>
      <c r="O89" s="542">
        <v>75</v>
      </c>
      <c r="P89" s="19"/>
      <c r="Q89" s="13"/>
      <c r="R89" s="13"/>
      <c r="S89" s="13"/>
      <c r="T89" s="13"/>
      <c r="U89" s="13"/>
      <c r="V89" s="13"/>
      <c r="W89" s="13"/>
      <c r="X89" s="13">
        <v>8405</v>
      </c>
      <c r="Y89" s="11" t="s">
        <v>5</v>
      </c>
      <c r="Z89" s="58">
        <v>12</v>
      </c>
      <c r="AA89" s="73">
        <f t="shared" si="21"/>
        <v>5475</v>
      </c>
      <c r="AB89" s="72">
        <f t="shared" si="22"/>
        <v>1.5351598173515981</v>
      </c>
      <c r="AC89" t="s">
        <v>337</v>
      </c>
      <c r="AD89">
        <v>8405</v>
      </c>
      <c r="AE89" s="434" t="s">
        <v>336</v>
      </c>
      <c r="AF89">
        <v>0</v>
      </c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60" ht="18" customHeight="1" x14ac:dyDescent="0.2">
      <c r="A90" s="13">
        <v>2009</v>
      </c>
      <c r="B90" s="13"/>
      <c r="C90" s="13"/>
      <c r="D90" s="13"/>
      <c r="E90" s="13"/>
      <c r="F90" s="13"/>
      <c r="G90" s="124">
        <v>0</v>
      </c>
      <c r="H90" s="13"/>
      <c r="I90" s="124">
        <v>69</v>
      </c>
      <c r="J90" s="124">
        <v>706</v>
      </c>
      <c r="K90" s="542">
        <v>1183</v>
      </c>
      <c r="L90" s="542">
        <v>1770</v>
      </c>
      <c r="M90" s="542">
        <v>2675</v>
      </c>
      <c r="N90" s="542">
        <v>3416</v>
      </c>
      <c r="O90" s="19"/>
      <c r="P90" s="19"/>
      <c r="Q90" s="13"/>
      <c r="R90" s="13"/>
      <c r="S90" s="13"/>
      <c r="T90" s="13"/>
      <c r="U90" s="13"/>
      <c r="V90" s="13"/>
      <c r="W90" s="13"/>
      <c r="X90" s="13">
        <v>6400</v>
      </c>
      <c r="Y90" s="11" t="s">
        <v>5</v>
      </c>
      <c r="Z90" s="58">
        <v>15</v>
      </c>
      <c r="AA90" s="73">
        <f t="shared" si="21"/>
        <v>3416</v>
      </c>
      <c r="AB90" s="72">
        <f t="shared" si="22"/>
        <v>1.873536299765808</v>
      </c>
      <c r="AC90" t="s">
        <v>341</v>
      </c>
      <c r="AD90">
        <v>6400</v>
      </c>
      <c r="AE90">
        <v>6400</v>
      </c>
    </row>
    <row r="91" spans="1:60" ht="18" customHeight="1" x14ac:dyDescent="0.2">
      <c r="A91" s="13">
        <v>2010</v>
      </c>
      <c r="B91" s="13"/>
      <c r="C91" s="13"/>
      <c r="D91" s="13"/>
      <c r="E91" s="124">
        <v>0</v>
      </c>
      <c r="F91" s="13"/>
      <c r="G91" s="13"/>
      <c r="H91" s="124">
        <v>7</v>
      </c>
      <c r="I91" s="124">
        <v>47</v>
      </c>
      <c r="J91" s="124">
        <v>1296</v>
      </c>
      <c r="K91" s="542">
        <v>2661</v>
      </c>
      <c r="L91" s="19"/>
      <c r="M91" s="19"/>
      <c r="N91" s="19"/>
      <c r="O91" s="19"/>
      <c r="P91" s="19"/>
      <c r="Q91" s="13"/>
      <c r="R91" s="13"/>
      <c r="S91" s="13"/>
      <c r="T91" s="13"/>
      <c r="U91" s="13"/>
      <c r="V91" s="13"/>
      <c r="W91" s="13"/>
      <c r="X91" s="13">
        <v>5970</v>
      </c>
      <c r="Y91" s="11"/>
      <c r="Z91" s="58"/>
      <c r="AA91" s="73">
        <f>MAX(B91:W91)</f>
        <v>2661</v>
      </c>
      <c r="AB91" s="72">
        <f>X91/AA91</f>
        <v>2.2435174746335962</v>
      </c>
      <c r="AC91" t="s">
        <v>339</v>
      </c>
      <c r="AD91">
        <v>5970</v>
      </c>
      <c r="AE91">
        <v>5970</v>
      </c>
      <c r="AF91">
        <v>0</v>
      </c>
    </row>
    <row r="92" spans="1:60" ht="18" customHeight="1" x14ac:dyDescent="0.2">
      <c r="A92" s="13">
        <v>2011</v>
      </c>
      <c r="B92" s="13"/>
      <c r="C92" s="13"/>
      <c r="D92" s="13"/>
      <c r="E92" s="13"/>
      <c r="F92" s="13"/>
      <c r="G92" s="13"/>
      <c r="H92" s="13"/>
      <c r="I92" s="124">
        <v>3</v>
      </c>
      <c r="J92" s="124">
        <v>35</v>
      </c>
      <c r="K92" s="19"/>
      <c r="L92" s="19"/>
      <c r="M92" s="542">
        <v>12470</v>
      </c>
      <c r="N92" s="19"/>
      <c r="O92" s="542">
        <v>8910</v>
      </c>
      <c r="P92" s="542">
        <v>74</v>
      </c>
      <c r="Q92" s="13"/>
      <c r="R92" s="13"/>
      <c r="S92" s="13"/>
      <c r="T92" s="13"/>
      <c r="U92" s="13"/>
      <c r="V92" s="13"/>
      <c r="W92" s="13"/>
      <c r="X92" s="13">
        <v>27219</v>
      </c>
      <c r="Y92" s="11" t="s">
        <v>5</v>
      </c>
      <c r="Z92" s="58">
        <v>13</v>
      </c>
      <c r="AA92" s="73">
        <f t="shared" si="21"/>
        <v>12470</v>
      </c>
      <c r="AB92" s="72">
        <f t="shared" si="22"/>
        <v>2.182758620689655</v>
      </c>
      <c r="AC92" t="s">
        <v>337</v>
      </c>
      <c r="AD92">
        <v>27219</v>
      </c>
      <c r="AE92">
        <v>27219</v>
      </c>
      <c r="AF92">
        <v>0</v>
      </c>
    </row>
    <row r="93" spans="1:60" ht="18" customHeight="1" x14ac:dyDescent="0.2">
      <c r="A93" s="13">
        <v>2012</v>
      </c>
      <c r="B93" s="13"/>
      <c r="C93" s="13"/>
      <c r="D93" s="13"/>
      <c r="E93" s="13"/>
      <c r="F93" s="13"/>
      <c r="G93" s="124">
        <v>2</v>
      </c>
      <c r="H93" s="124">
        <v>206</v>
      </c>
      <c r="I93" s="124">
        <v>703</v>
      </c>
      <c r="J93" s="124">
        <v>1513</v>
      </c>
      <c r="K93" s="19"/>
      <c r="L93" s="19"/>
      <c r="M93" s="542">
        <v>5666</v>
      </c>
      <c r="N93" s="19"/>
      <c r="O93" s="542">
        <v>14</v>
      </c>
      <c r="P93" s="19"/>
      <c r="Q93" s="13"/>
      <c r="R93" s="13"/>
      <c r="S93" s="13"/>
      <c r="T93" s="13"/>
      <c r="U93" s="13"/>
      <c r="V93" s="13"/>
      <c r="W93" s="13"/>
      <c r="X93" s="13">
        <v>15755</v>
      </c>
      <c r="Y93" s="11" t="s">
        <v>5</v>
      </c>
      <c r="Z93" s="58">
        <v>15</v>
      </c>
      <c r="AA93" s="73">
        <f t="shared" ref="AA93:AA98" si="23">MAX(B93:W93)</f>
        <v>5666</v>
      </c>
      <c r="AB93" s="72">
        <f t="shared" ref="AB93:AB98" si="24">X93/AA93</f>
        <v>2.7806212495587714</v>
      </c>
      <c r="AC93" t="s">
        <v>337</v>
      </c>
      <c r="AD93">
        <v>15755</v>
      </c>
      <c r="AE93">
        <v>15755</v>
      </c>
      <c r="AF93">
        <v>0</v>
      </c>
    </row>
    <row r="94" spans="1:60" ht="18" customHeight="1" x14ac:dyDescent="0.2">
      <c r="A94" s="13">
        <v>2013</v>
      </c>
      <c r="B94" s="13"/>
      <c r="C94" s="13"/>
      <c r="D94" s="13"/>
      <c r="E94" s="13"/>
      <c r="F94" s="123">
        <v>0</v>
      </c>
      <c r="G94" s="1"/>
      <c r="H94" s="1"/>
      <c r="I94" s="123">
        <v>50</v>
      </c>
      <c r="J94" s="1"/>
      <c r="K94" s="543">
        <v>2407</v>
      </c>
      <c r="L94" s="543">
        <v>2295</v>
      </c>
      <c r="M94" s="543">
        <v>578</v>
      </c>
      <c r="N94" s="14"/>
      <c r="O94" s="14"/>
      <c r="P94" s="544"/>
      <c r="Q94" s="123">
        <v>0</v>
      </c>
      <c r="R94" s="13"/>
      <c r="S94" s="13"/>
      <c r="T94" s="13"/>
      <c r="U94" s="13"/>
      <c r="V94" s="13"/>
      <c r="W94" s="13"/>
      <c r="X94" s="13">
        <v>6465</v>
      </c>
      <c r="Y94" s="11" t="s">
        <v>5</v>
      </c>
      <c r="Z94" s="58">
        <v>15</v>
      </c>
      <c r="AA94" s="73">
        <f t="shared" si="23"/>
        <v>2407</v>
      </c>
      <c r="AB94" s="72">
        <f t="shared" si="24"/>
        <v>2.6859160781055254</v>
      </c>
      <c r="AC94" t="s">
        <v>337</v>
      </c>
      <c r="AD94">
        <v>6465</v>
      </c>
      <c r="AE94">
        <v>6465</v>
      </c>
      <c r="AF94">
        <v>0</v>
      </c>
    </row>
    <row r="95" spans="1:60" ht="18" customHeight="1" x14ac:dyDescent="0.2">
      <c r="A95" s="13">
        <v>2014</v>
      </c>
      <c r="B95" s="13"/>
      <c r="C95" s="13"/>
      <c r="D95" s="13"/>
      <c r="E95" s="13"/>
      <c r="F95" s="13"/>
      <c r="G95" s="123">
        <v>0</v>
      </c>
      <c r="H95" s="1"/>
      <c r="I95" s="123">
        <v>4</v>
      </c>
      <c r="J95" s="123">
        <v>584</v>
      </c>
      <c r="K95" s="543">
        <v>2363</v>
      </c>
      <c r="L95" s="543">
        <v>2685</v>
      </c>
      <c r="M95" s="14"/>
      <c r="N95" s="14"/>
      <c r="O95" s="14"/>
      <c r="P95" s="543">
        <v>32</v>
      </c>
      <c r="Q95" s="13"/>
      <c r="R95" s="13"/>
      <c r="S95" s="13"/>
      <c r="T95" s="13"/>
      <c r="U95" s="13"/>
      <c r="V95" s="13"/>
      <c r="W95" s="13"/>
      <c r="X95" s="13">
        <v>4299</v>
      </c>
      <c r="Y95" s="11" t="s">
        <v>5</v>
      </c>
      <c r="Z95" s="58">
        <v>20</v>
      </c>
      <c r="AA95" s="73">
        <f t="shared" si="23"/>
        <v>2685</v>
      </c>
      <c r="AB95" s="72">
        <f t="shared" si="24"/>
        <v>1.6011173184357541</v>
      </c>
      <c r="AC95" t="s">
        <v>346</v>
      </c>
      <c r="AD95">
        <v>4299</v>
      </c>
      <c r="AE95">
        <v>4299</v>
      </c>
      <c r="AF95">
        <v>0</v>
      </c>
    </row>
    <row r="96" spans="1:60" ht="18" customHeight="1" x14ac:dyDescent="0.2">
      <c r="A96" s="13">
        <v>2015</v>
      </c>
      <c r="B96" s="13"/>
      <c r="C96" s="13"/>
      <c r="D96" s="13"/>
      <c r="E96" s="13"/>
      <c r="F96" s="123">
        <v>2</v>
      </c>
      <c r="G96" s="119">
        <v>34</v>
      </c>
      <c r="H96" s="119">
        <v>405</v>
      </c>
      <c r="I96" s="119">
        <v>565</v>
      </c>
      <c r="J96" s="119">
        <v>1490</v>
      </c>
      <c r="K96" s="19"/>
      <c r="L96" s="122">
        <v>3981</v>
      </c>
      <c r="M96" s="122">
        <v>3867</v>
      </c>
      <c r="N96" s="122">
        <v>310</v>
      </c>
      <c r="O96" s="19"/>
      <c r="P96" s="19"/>
      <c r="Q96" s="13"/>
      <c r="R96" s="13"/>
      <c r="S96" s="13"/>
      <c r="T96" s="13"/>
      <c r="U96" s="13"/>
      <c r="V96" s="13"/>
      <c r="W96" s="13"/>
      <c r="X96" s="13">
        <v>7710</v>
      </c>
      <c r="Y96" s="11" t="s">
        <v>5</v>
      </c>
      <c r="Z96" s="58">
        <v>15</v>
      </c>
      <c r="AA96" s="73">
        <f t="shared" si="23"/>
        <v>3981</v>
      </c>
      <c r="AB96" s="72">
        <f t="shared" si="24"/>
        <v>1.9366993217784476</v>
      </c>
      <c r="AC96" t="s">
        <v>339</v>
      </c>
      <c r="AD96">
        <v>7710</v>
      </c>
      <c r="AE96">
        <v>7710</v>
      </c>
      <c r="AF96">
        <v>0</v>
      </c>
    </row>
    <row r="97" spans="1:60" ht="18" customHeight="1" x14ac:dyDescent="0.2">
      <c r="A97" s="13">
        <v>2016</v>
      </c>
      <c r="B97" s="13"/>
      <c r="C97" s="13"/>
      <c r="D97" s="13"/>
      <c r="E97" s="13"/>
      <c r="F97" s="123">
        <v>0</v>
      </c>
      <c r="G97" s="123">
        <v>2</v>
      </c>
      <c r="H97" s="119">
        <v>7</v>
      </c>
      <c r="I97" s="119">
        <v>161</v>
      </c>
      <c r="J97" s="548">
        <v>591</v>
      </c>
      <c r="K97" s="304">
        <v>1562</v>
      </c>
      <c r="L97" s="548">
        <v>13080</v>
      </c>
      <c r="M97" s="19"/>
      <c r="N97" s="19"/>
      <c r="O97" s="304">
        <v>4962</v>
      </c>
      <c r="P97" s="19"/>
      <c r="Q97" s="13"/>
      <c r="R97" s="13"/>
      <c r="S97" s="13"/>
      <c r="T97" s="13"/>
      <c r="U97" s="13"/>
      <c r="V97" s="13"/>
      <c r="W97" s="13"/>
      <c r="X97" s="13">
        <v>22975</v>
      </c>
      <c r="Y97" s="11"/>
      <c r="Z97" s="58">
        <v>15</v>
      </c>
      <c r="AA97" s="73">
        <f t="shared" si="23"/>
        <v>13080</v>
      </c>
      <c r="AB97" s="72">
        <f t="shared" si="24"/>
        <v>1.7564984709480123</v>
      </c>
      <c r="AD97">
        <f>7</f>
        <v>7</v>
      </c>
    </row>
    <row r="98" spans="1:60" ht="18" customHeight="1" x14ac:dyDescent="0.2">
      <c r="A98" s="13">
        <v>2017</v>
      </c>
      <c r="B98" s="13"/>
      <c r="C98" s="13"/>
      <c r="D98" s="13"/>
      <c r="E98" s="13"/>
      <c r="F98" s="123">
        <v>1</v>
      </c>
      <c r="G98" s="123">
        <v>6</v>
      </c>
      <c r="H98" s="123">
        <v>22</v>
      </c>
      <c r="I98" s="123">
        <v>22</v>
      </c>
      <c r="J98" s="123">
        <v>86</v>
      </c>
      <c r="K98" s="123">
        <v>1242</v>
      </c>
      <c r="L98" s="13"/>
      <c r="M98" s="491">
        <v>1659</v>
      </c>
      <c r="N98" s="13"/>
      <c r="O98" s="304">
        <v>356</v>
      </c>
      <c r="P98" s="13"/>
      <c r="Q98" s="13"/>
      <c r="R98" s="13"/>
      <c r="S98" s="13"/>
      <c r="T98" s="13"/>
      <c r="U98" s="13"/>
      <c r="V98" s="13"/>
      <c r="W98" s="13"/>
      <c r="X98" s="13">
        <v>3037</v>
      </c>
      <c r="Y98" s="11"/>
      <c r="Z98" s="58"/>
      <c r="AA98" s="73">
        <f t="shared" si="23"/>
        <v>1659</v>
      </c>
      <c r="AB98" s="72">
        <f t="shared" si="24"/>
        <v>1.8306208559373116</v>
      </c>
      <c r="AD98" s="93">
        <f>7.5*9</f>
        <v>67.5</v>
      </c>
    </row>
    <row r="99" spans="1:60" ht="18" customHeight="1" x14ac:dyDescent="0.2">
      <c r="A99" s="13">
        <v>2018</v>
      </c>
      <c r="B99" s="13"/>
      <c r="C99" s="13"/>
      <c r="D99" s="13"/>
      <c r="E99" s="13"/>
      <c r="F99" s="123">
        <v>1</v>
      </c>
      <c r="G99" s="123">
        <v>0</v>
      </c>
      <c r="H99" s="123">
        <v>15</v>
      </c>
      <c r="I99" s="550">
        <v>151</v>
      </c>
      <c r="J99" s="13"/>
      <c r="K99" s="550">
        <v>769</v>
      </c>
      <c r="L99" s="307">
        <v>1053</v>
      </c>
      <c r="M99" s="13"/>
      <c r="N99" s="546">
        <v>625</v>
      </c>
      <c r="O99" s="13"/>
      <c r="P99" s="13"/>
      <c r="Q99" s="13"/>
      <c r="R99" s="13"/>
      <c r="S99" s="13"/>
      <c r="T99" s="13"/>
      <c r="U99" s="13"/>
      <c r="V99" s="13"/>
      <c r="W99" s="13"/>
      <c r="X99" s="13">
        <v>2174</v>
      </c>
      <c r="Y99" s="11"/>
      <c r="Z99" s="58">
        <v>15</v>
      </c>
      <c r="AA99" s="73">
        <f>MAX(B99:W99)</f>
        <v>1053</v>
      </c>
      <c r="AB99" s="72">
        <f>X99/AA99</f>
        <v>2.0645773979107314</v>
      </c>
      <c r="AD99" s="93"/>
    </row>
    <row r="100" spans="1:60" ht="18" customHeight="1" x14ac:dyDescent="0.2">
      <c r="A100" s="13">
        <v>2019</v>
      </c>
      <c r="B100" s="13"/>
      <c r="C100" s="13"/>
      <c r="D100" s="13"/>
      <c r="E100" s="13"/>
      <c r="F100" s="123">
        <v>0</v>
      </c>
      <c r="G100" s="123">
        <v>0</v>
      </c>
      <c r="H100" s="123">
        <v>2</v>
      </c>
      <c r="I100" s="550">
        <v>25</v>
      </c>
      <c r="J100" s="543">
        <v>132</v>
      </c>
      <c r="K100" s="565">
        <v>439</v>
      </c>
      <c r="L100" s="13"/>
      <c r="M100" s="552">
        <v>741</v>
      </c>
      <c r="N100" s="300">
        <v>356</v>
      </c>
      <c r="O100" s="300">
        <v>42</v>
      </c>
      <c r="P100" s="13"/>
      <c r="Q100" s="13"/>
      <c r="R100" s="13"/>
      <c r="S100" s="13"/>
      <c r="T100" s="13"/>
      <c r="U100" s="13"/>
      <c r="V100" s="13"/>
      <c r="W100" s="13"/>
      <c r="X100" s="13">
        <v>1376</v>
      </c>
      <c r="Y100" s="11"/>
      <c r="Z100" s="58">
        <v>15</v>
      </c>
      <c r="AA100" s="73">
        <f>MAX(B100:W100)</f>
        <v>741</v>
      </c>
      <c r="AB100" s="72">
        <f>X100/AA100</f>
        <v>1.8569500674763832</v>
      </c>
      <c r="AD100" s="93"/>
    </row>
    <row r="101" spans="1:60" ht="18" customHeight="1" x14ac:dyDescent="0.2">
      <c r="A101" s="13">
        <v>2020</v>
      </c>
      <c r="B101" s="13"/>
      <c r="C101" s="13"/>
      <c r="D101" s="13"/>
      <c r="E101" s="13"/>
      <c r="F101" s="13"/>
      <c r="G101" s="109">
        <v>51</v>
      </c>
      <c r="H101" s="13"/>
      <c r="I101" s="109">
        <v>20</v>
      </c>
      <c r="J101" s="590">
        <v>61</v>
      </c>
      <c r="K101" s="590">
        <v>850</v>
      </c>
      <c r="L101" s="687">
        <v>2985</v>
      </c>
      <c r="M101" s="13"/>
      <c r="N101" s="155">
        <v>2265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>
        <v>5631</v>
      </c>
      <c r="Y101" s="11"/>
      <c r="Z101" s="58"/>
      <c r="AA101" s="73">
        <f t="shared" ref="AA101:AA103" si="25">MAX(B101:W101)</f>
        <v>2985</v>
      </c>
      <c r="AB101" s="72">
        <f t="shared" ref="AB101:AB103" si="26">X101/AA101</f>
        <v>1.8864321608040202</v>
      </c>
      <c r="AD101" s="93"/>
    </row>
    <row r="102" spans="1:60" s="150" customFormat="1" ht="18" customHeight="1" x14ac:dyDescent="0.2">
      <c r="A102" s="89">
        <v>2021</v>
      </c>
      <c r="B102" s="89"/>
      <c r="C102" s="89"/>
      <c r="D102" s="89"/>
      <c r="E102" s="89"/>
      <c r="F102" s="89"/>
      <c r="G102" s="109">
        <v>2</v>
      </c>
      <c r="H102" s="109">
        <v>5</v>
      </c>
      <c r="I102" s="109">
        <v>50</v>
      </c>
      <c r="J102" s="736"/>
      <c r="K102" s="736"/>
      <c r="L102" s="512">
        <v>1619</v>
      </c>
      <c r="M102" s="89"/>
      <c r="N102" s="737"/>
      <c r="O102" s="687">
        <v>237</v>
      </c>
      <c r="P102" s="89"/>
      <c r="Q102" s="89"/>
      <c r="R102" s="89"/>
      <c r="S102" s="89"/>
      <c r="T102" s="89"/>
      <c r="U102" s="89"/>
      <c r="V102" s="89"/>
      <c r="W102" s="89"/>
      <c r="X102" s="89">
        <v>3177</v>
      </c>
      <c r="Y102" s="11"/>
      <c r="Z102" s="92"/>
      <c r="AA102" s="73">
        <f t="shared" si="25"/>
        <v>1619</v>
      </c>
      <c r="AB102" s="72">
        <f t="shared" si="26"/>
        <v>1.9623224212476837</v>
      </c>
      <c r="AC102" s="151"/>
      <c r="AD102" s="74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</row>
    <row r="103" spans="1:60" s="150" customFormat="1" ht="18" customHeight="1" x14ac:dyDescent="0.2">
      <c r="A103" s="89">
        <v>2022</v>
      </c>
      <c r="B103" s="89"/>
      <c r="C103" s="89"/>
      <c r="D103" s="89"/>
      <c r="E103" s="89"/>
      <c r="F103" s="89"/>
      <c r="G103" s="89"/>
      <c r="H103" s="109">
        <v>36</v>
      </c>
      <c r="I103" s="109">
        <v>40</v>
      </c>
      <c r="J103" s="590">
        <v>99</v>
      </c>
      <c r="K103" s="590">
        <v>212</v>
      </c>
      <c r="L103" s="694">
        <v>282</v>
      </c>
      <c r="M103" s="89"/>
      <c r="N103" s="155">
        <v>1915</v>
      </c>
      <c r="O103" s="742"/>
      <c r="P103" s="155">
        <v>1190</v>
      </c>
      <c r="Q103" s="89"/>
      <c r="R103" s="89"/>
      <c r="S103" s="89"/>
      <c r="T103" s="89"/>
      <c r="U103" s="89"/>
      <c r="V103" s="89"/>
      <c r="W103" s="89"/>
      <c r="X103" s="89">
        <v>3065</v>
      </c>
      <c r="Y103" s="11"/>
      <c r="Z103" s="92"/>
      <c r="AA103" s="73">
        <f t="shared" si="25"/>
        <v>1915</v>
      </c>
      <c r="AB103" s="72">
        <f t="shared" si="26"/>
        <v>1.6005221932114881</v>
      </c>
      <c r="AC103" s="151"/>
      <c r="AD103" s="74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</row>
    <row r="104" spans="1:60" s="150" customFormat="1" ht="18" customHeight="1" x14ac:dyDescent="0.2">
      <c r="A104" s="89">
        <v>2023</v>
      </c>
      <c r="B104" s="89"/>
      <c r="C104" s="89"/>
      <c r="D104" s="89"/>
      <c r="E104" s="89"/>
      <c r="F104" s="109">
        <v>6</v>
      </c>
      <c r="G104" s="89"/>
      <c r="H104" s="109">
        <v>0</v>
      </c>
      <c r="I104" s="447">
        <v>16</v>
      </c>
      <c r="J104" s="109">
        <v>406</v>
      </c>
      <c r="K104" s="89"/>
      <c r="L104" s="89"/>
      <c r="M104" s="155">
        <v>9386</v>
      </c>
      <c r="N104" s="155">
        <v>2640</v>
      </c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11"/>
      <c r="Z104" s="92"/>
      <c r="AB104" s="151"/>
      <c r="AC104" s="151"/>
      <c r="AD104" s="74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</row>
    <row r="105" spans="1:60" ht="18" customHeight="1" x14ac:dyDescent="0.2">
      <c r="A105" s="64" t="s">
        <v>17</v>
      </c>
      <c r="B105" s="16"/>
      <c r="C105" s="16">
        <f>AVERAGE(C76:C90)</f>
        <v>0</v>
      </c>
      <c r="D105" s="16">
        <f t="shared" ref="D105:S105" si="27">AVERAGE(D76:D90)</f>
        <v>0</v>
      </c>
      <c r="E105" s="16">
        <f t="shared" si="27"/>
        <v>0</v>
      </c>
      <c r="F105" s="16">
        <f t="shared" si="27"/>
        <v>0</v>
      </c>
      <c r="G105" s="16">
        <f t="shared" si="27"/>
        <v>2</v>
      </c>
      <c r="H105" s="16">
        <f t="shared" si="27"/>
        <v>5.4545454545454541</v>
      </c>
      <c r="I105" s="16">
        <f t="shared" si="27"/>
        <v>160.54545454545453</v>
      </c>
      <c r="J105" s="16">
        <f t="shared" si="27"/>
        <v>390.61538461538464</v>
      </c>
      <c r="K105" s="16">
        <f t="shared" si="27"/>
        <v>1801</v>
      </c>
      <c r="L105" s="16">
        <f t="shared" si="27"/>
        <v>7337</v>
      </c>
      <c r="M105" s="16">
        <f t="shared" si="27"/>
        <v>16011.714285714286</v>
      </c>
      <c r="N105" s="16">
        <f t="shared" si="27"/>
        <v>11050.916666666666</v>
      </c>
      <c r="O105" s="16">
        <f t="shared" si="27"/>
        <v>12103.818181818182</v>
      </c>
      <c r="P105" s="16">
        <f t="shared" si="27"/>
        <v>2209.4285714285716</v>
      </c>
      <c r="Q105" s="16">
        <f t="shared" si="27"/>
        <v>121.2</v>
      </c>
      <c r="R105" s="16">
        <f t="shared" si="27"/>
        <v>11.333333333333334</v>
      </c>
      <c r="S105" s="16">
        <f t="shared" si="27"/>
        <v>1</v>
      </c>
      <c r="T105" s="16"/>
      <c r="U105" s="16"/>
      <c r="V105" s="16"/>
      <c r="W105" s="16"/>
      <c r="X105" s="16">
        <f>AVERAGE(X76:X90)</f>
        <v>33102.800000000003</v>
      </c>
      <c r="Y105" s="17"/>
      <c r="Z105" s="16">
        <f>AVERAGE(Z76:Z90)</f>
        <v>13.333333333333334</v>
      </c>
    </row>
    <row r="108" spans="1:60" x14ac:dyDescent="0.2">
      <c r="A108" s="1002" t="s">
        <v>591</v>
      </c>
      <c r="B108" s="1003"/>
      <c r="C108" s="1003"/>
      <c r="D108" s="1003"/>
      <c r="E108" s="1003"/>
      <c r="F108" s="1003"/>
      <c r="G108" s="1003"/>
      <c r="H108" s="1003"/>
      <c r="I108" s="1003"/>
    </row>
    <row r="109" spans="1:60" ht="13.5" thickBot="1" x14ac:dyDescent="0.25"/>
    <row r="110" spans="1:60" ht="13.5" thickTop="1" x14ac:dyDescent="0.2">
      <c r="A110" s="1004" t="s">
        <v>0</v>
      </c>
      <c r="B110" s="1006" t="s">
        <v>1</v>
      </c>
      <c r="C110" s="1006"/>
      <c r="D110" s="1006"/>
      <c r="E110" s="1006"/>
      <c r="F110" s="1006"/>
      <c r="G110" s="1006"/>
      <c r="H110" s="1006"/>
      <c r="I110" s="1006"/>
      <c r="J110" s="1006"/>
      <c r="K110" s="1006"/>
      <c r="L110" s="1006"/>
      <c r="M110" s="1006"/>
      <c r="N110" s="1006"/>
      <c r="O110" s="1006"/>
      <c r="P110" s="1006"/>
      <c r="Q110" s="1006"/>
      <c r="R110" s="1006"/>
      <c r="S110" s="1006"/>
      <c r="T110" s="1006"/>
      <c r="U110" s="1006"/>
      <c r="V110" s="1006"/>
      <c r="W110" s="1006"/>
      <c r="X110" s="1004" t="s">
        <v>2</v>
      </c>
      <c r="Y110" s="1010" t="s">
        <v>3</v>
      </c>
      <c r="Z110" s="1008" t="s">
        <v>4</v>
      </c>
    </row>
    <row r="111" spans="1:60" x14ac:dyDescent="0.2">
      <c r="A111" s="1005"/>
      <c r="B111" s="18">
        <v>81</v>
      </c>
      <c r="C111" s="18">
        <v>82</v>
      </c>
      <c r="D111" s="18">
        <v>83</v>
      </c>
      <c r="E111" s="18">
        <v>84</v>
      </c>
      <c r="F111" s="18">
        <v>91</v>
      </c>
      <c r="G111" s="18">
        <v>92</v>
      </c>
      <c r="H111" s="18">
        <v>93</v>
      </c>
      <c r="I111" s="18">
        <v>94</v>
      </c>
      <c r="J111" s="18">
        <v>101</v>
      </c>
      <c r="K111" s="18">
        <v>102</v>
      </c>
      <c r="L111" s="18">
        <v>103</v>
      </c>
      <c r="M111" s="18">
        <v>104</v>
      </c>
      <c r="N111" s="18">
        <v>105</v>
      </c>
      <c r="O111" s="18">
        <v>111</v>
      </c>
      <c r="P111" s="18">
        <v>112</v>
      </c>
      <c r="Q111" s="18">
        <v>113</v>
      </c>
      <c r="R111" s="18">
        <v>114</v>
      </c>
      <c r="S111" s="18">
        <v>115</v>
      </c>
      <c r="T111" s="18">
        <v>121</v>
      </c>
      <c r="U111" s="18">
        <v>122</v>
      </c>
      <c r="V111" s="18">
        <v>123</v>
      </c>
      <c r="W111" s="18">
        <v>124</v>
      </c>
      <c r="X111" s="1005"/>
      <c r="Y111" s="1011"/>
      <c r="Z111" s="1009"/>
      <c r="AC111" t="s">
        <v>574</v>
      </c>
    </row>
    <row r="112" spans="1:60" x14ac:dyDescent="0.2">
      <c r="A112" s="13">
        <v>2003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>
        <v>147</v>
      </c>
      <c r="Y112" s="224" t="s">
        <v>5</v>
      </c>
      <c r="Z112" s="225">
        <v>25</v>
      </c>
      <c r="AC112">
        <v>387353</v>
      </c>
    </row>
    <row r="113" spans="1:60" x14ac:dyDescent="0.2">
      <c r="A113" s="13">
        <v>2004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>
        <v>2098</v>
      </c>
      <c r="Y113" s="224" t="s">
        <v>5</v>
      </c>
      <c r="Z113" s="231">
        <f>45/2</f>
        <v>22.5</v>
      </c>
      <c r="AC113">
        <v>326819</v>
      </c>
    </row>
    <row r="114" spans="1:60" x14ac:dyDescent="0.2">
      <c r="A114" s="13">
        <v>2005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>
        <v>3</v>
      </c>
      <c r="Y114" s="224" t="s">
        <v>6</v>
      </c>
      <c r="Z114" s="231"/>
      <c r="AC114">
        <v>304911</v>
      </c>
    </row>
    <row r="115" spans="1:60" x14ac:dyDescent="0.2">
      <c r="A115" s="13">
        <v>2007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>
        <v>59</v>
      </c>
      <c r="Y115" s="224" t="s">
        <v>9</v>
      </c>
      <c r="Z115" s="231"/>
      <c r="AC115">
        <v>197433</v>
      </c>
    </row>
    <row r="116" spans="1:60" x14ac:dyDescent="0.2">
      <c r="A116" s="13">
        <v>2008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>
        <v>3</v>
      </c>
      <c r="Y116" s="224" t="s">
        <v>6</v>
      </c>
      <c r="Z116" s="231"/>
      <c r="AC116">
        <v>120921</v>
      </c>
    </row>
    <row r="117" spans="1:60" x14ac:dyDescent="0.2">
      <c r="A117" s="1">
        <v>2011</v>
      </c>
      <c r="B117" s="6"/>
      <c r="C117" s="6"/>
      <c r="D117" s="6"/>
      <c r="E117" s="6"/>
      <c r="F117" s="6"/>
      <c r="G117" s="6"/>
      <c r="H117" s="6"/>
      <c r="I117" s="6">
        <v>1</v>
      </c>
      <c r="J117" s="6">
        <v>18</v>
      </c>
      <c r="K117" s="6"/>
      <c r="L117" s="6"/>
      <c r="M117" s="6">
        <v>0</v>
      </c>
      <c r="N117" s="6"/>
      <c r="O117" s="6">
        <v>1</v>
      </c>
      <c r="P117" s="6">
        <v>0</v>
      </c>
      <c r="Q117" s="6"/>
      <c r="R117" s="6"/>
      <c r="S117" s="6"/>
      <c r="T117" s="13"/>
      <c r="U117" s="13"/>
      <c r="V117" s="13"/>
      <c r="W117" s="13"/>
      <c r="X117" s="7">
        <v>18</v>
      </c>
      <c r="Y117" s="7" t="s">
        <v>9</v>
      </c>
      <c r="Z117" s="10"/>
      <c r="AA117" s="73">
        <f t="shared" ref="AA117:AA122" si="28">MAX(B117:W117)</f>
        <v>18</v>
      </c>
      <c r="AB117" s="72">
        <f t="shared" ref="AB117:AB122" si="29">X117/AA117</f>
        <v>1</v>
      </c>
      <c r="AC117" s="72">
        <v>124921</v>
      </c>
      <c r="AD117" s="72"/>
      <c r="AE117" s="72"/>
    </row>
    <row r="118" spans="1:60" x14ac:dyDescent="0.2">
      <c r="A118" s="13">
        <v>2012</v>
      </c>
      <c r="B118" s="1"/>
      <c r="C118" s="1"/>
      <c r="D118" s="1"/>
      <c r="E118" s="1"/>
      <c r="F118" s="1"/>
      <c r="G118" s="1">
        <v>38</v>
      </c>
      <c r="H118" s="1">
        <v>21</v>
      </c>
      <c r="I118" s="1">
        <v>18</v>
      </c>
      <c r="J118" s="1">
        <v>39</v>
      </c>
      <c r="K118" s="1"/>
      <c r="L118" s="1"/>
      <c r="M118" s="1">
        <v>10</v>
      </c>
      <c r="N118" s="1"/>
      <c r="O118" s="1">
        <v>1</v>
      </c>
      <c r="P118" s="1"/>
      <c r="Q118" s="1"/>
      <c r="R118" s="1"/>
      <c r="S118" s="1"/>
      <c r="T118" s="1"/>
      <c r="U118" s="1"/>
      <c r="V118" s="1"/>
      <c r="W118" s="1"/>
      <c r="X118" s="25">
        <v>100</v>
      </c>
      <c r="Z118" s="60">
        <v>25</v>
      </c>
      <c r="AA118" s="73">
        <f t="shared" si="28"/>
        <v>39</v>
      </c>
      <c r="AB118" s="72">
        <f t="shared" si="29"/>
        <v>2.5641025641025643</v>
      </c>
      <c r="AC118" s="72">
        <v>334148</v>
      </c>
      <c r="AD118" s="72"/>
      <c r="AE118" s="72"/>
    </row>
    <row r="119" spans="1:60" x14ac:dyDescent="0.2">
      <c r="A119" s="13">
        <v>2013</v>
      </c>
      <c r="B119" s="1"/>
      <c r="C119" s="1"/>
      <c r="D119" s="1"/>
      <c r="E119" s="1"/>
      <c r="F119" s="1">
        <v>78</v>
      </c>
      <c r="G119" s="1"/>
      <c r="H119" s="1"/>
      <c r="I119" s="1">
        <v>32</v>
      </c>
      <c r="J119" s="1"/>
      <c r="K119" s="1">
        <v>3</v>
      </c>
      <c r="L119" s="1">
        <v>33</v>
      </c>
      <c r="M119" s="1">
        <v>42</v>
      </c>
      <c r="N119" s="1"/>
      <c r="O119" s="1"/>
      <c r="P119" s="1"/>
      <c r="Q119" s="1">
        <v>0</v>
      </c>
      <c r="R119" s="1"/>
      <c r="S119" s="1"/>
      <c r="T119" s="1"/>
      <c r="U119" s="1"/>
      <c r="V119" s="1"/>
      <c r="W119" s="1"/>
      <c r="X119" s="25">
        <v>181</v>
      </c>
      <c r="Y119" s="25" t="s">
        <v>5</v>
      </c>
      <c r="Z119" s="60">
        <v>25</v>
      </c>
      <c r="AA119" s="73">
        <f t="shared" si="28"/>
        <v>78</v>
      </c>
      <c r="AB119" s="72">
        <f t="shared" si="29"/>
        <v>2.3205128205128207</v>
      </c>
      <c r="AC119" s="72">
        <v>552296</v>
      </c>
      <c r="AD119" s="72"/>
      <c r="AE119" s="72"/>
      <c r="AF119" s="386">
        <v>42607</v>
      </c>
      <c r="AG119" s="96">
        <v>42693</v>
      </c>
    </row>
    <row r="120" spans="1:60" x14ac:dyDescent="0.2">
      <c r="A120" s="13">
        <v>2014</v>
      </c>
      <c r="B120" s="1"/>
      <c r="C120" s="1"/>
      <c r="D120" s="1"/>
      <c r="E120" s="1"/>
      <c r="F120" s="1"/>
      <c r="G120" s="1">
        <v>265</v>
      </c>
      <c r="H120" s="1"/>
      <c r="I120" s="1">
        <v>295</v>
      </c>
      <c r="J120" s="1">
        <v>183</v>
      </c>
      <c r="K120" s="1">
        <v>391</v>
      </c>
      <c r="L120" s="1">
        <v>79</v>
      </c>
      <c r="M120" s="1"/>
      <c r="N120" s="1"/>
      <c r="O120" s="1"/>
      <c r="P120" s="1">
        <v>0</v>
      </c>
      <c r="Q120" s="1"/>
      <c r="R120" s="1"/>
      <c r="S120" s="1"/>
      <c r="T120" s="1"/>
      <c r="U120" s="1"/>
      <c r="V120" s="1"/>
      <c r="W120" s="1"/>
      <c r="X120" s="25">
        <v>587</v>
      </c>
      <c r="Y120" s="11" t="s">
        <v>5</v>
      </c>
      <c r="Z120" s="60">
        <v>30</v>
      </c>
      <c r="AA120" s="73">
        <f t="shared" si="28"/>
        <v>391</v>
      </c>
      <c r="AB120" s="72">
        <f t="shared" si="29"/>
        <v>1.5012787723785166</v>
      </c>
      <c r="AC120" s="72">
        <v>813193</v>
      </c>
      <c r="AD120" s="72"/>
      <c r="AE120" s="72"/>
      <c r="AF120" s="96">
        <v>42597</v>
      </c>
      <c r="AG120" s="96">
        <v>42686</v>
      </c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</row>
    <row r="121" spans="1:60" x14ac:dyDescent="0.2">
      <c r="A121" s="13">
        <v>2015</v>
      </c>
      <c r="B121" s="1"/>
      <c r="C121" s="1"/>
      <c r="D121" s="1"/>
      <c r="E121" s="1"/>
      <c r="F121" s="1">
        <v>559</v>
      </c>
      <c r="G121" s="1">
        <v>817</v>
      </c>
      <c r="H121" s="1">
        <v>584</v>
      </c>
      <c r="I121" s="1">
        <v>602</v>
      </c>
      <c r="J121" s="1">
        <v>697</v>
      </c>
      <c r="K121" s="1"/>
      <c r="L121" s="1">
        <v>1112</v>
      </c>
      <c r="M121" s="1">
        <v>1437</v>
      </c>
      <c r="N121" s="1">
        <v>325</v>
      </c>
      <c r="O121" s="1"/>
      <c r="P121" s="1"/>
      <c r="Q121" s="1"/>
      <c r="R121" s="1"/>
      <c r="S121" s="1"/>
      <c r="T121" s="1"/>
      <c r="U121" s="1"/>
      <c r="V121" s="1"/>
      <c r="W121" s="1"/>
      <c r="X121" s="25">
        <v>2231</v>
      </c>
      <c r="Y121" s="11" t="s">
        <v>5</v>
      </c>
      <c r="Z121" s="58">
        <v>30</v>
      </c>
      <c r="AA121" s="73">
        <f t="shared" si="28"/>
        <v>1437</v>
      </c>
      <c r="AB121" s="72">
        <f t="shared" si="29"/>
        <v>1.5525400139178844</v>
      </c>
      <c r="AC121" s="72">
        <v>339667</v>
      </c>
      <c r="AD121" s="72"/>
      <c r="AE121" s="72"/>
      <c r="AF121" s="96">
        <v>42614</v>
      </c>
      <c r="AG121" s="96">
        <v>42689</v>
      </c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</row>
    <row r="122" spans="1:60" x14ac:dyDescent="0.2">
      <c r="A122" s="25">
        <v>2016</v>
      </c>
      <c r="B122" s="1"/>
      <c r="C122" s="1"/>
      <c r="D122" s="1"/>
      <c r="E122" s="1"/>
      <c r="F122" s="123">
        <v>75</v>
      </c>
      <c r="G122" s="123">
        <v>521</v>
      </c>
      <c r="H122" s="119">
        <v>622</v>
      </c>
      <c r="I122" s="119">
        <v>378</v>
      </c>
      <c r="J122" s="548">
        <v>796</v>
      </c>
      <c r="K122" s="548">
        <v>882</v>
      </c>
      <c r="L122" s="119">
        <v>940</v>
      </c>
      <c r="M122" s="1"/>
      <c r="N122" s="1"/>
      <c r="O122" s="304">
        <v>11</v>
      </c>
      <c r="P122" s="1"/>
      <c r="Q122" s="1"/>
      <c r="R122" s="1"/>
      <c r="S122" s="1"/>
      <c r="T122" s="1"/>
      <c r="U122" s="1"/>
      <c r="V122" s="1"/>
      <c r="W122" s="1"/>
      <c r="X122" s="25">
        <v>2223</v>
      </c>
      <c r="Y122" s="11"/>
      <c r="Z122" s="58">
        <v>25</v>
      </c>
      <c r="AA122" s="73">
        <f t="shared" si="28"/>
        <v>940</v>
      </c>
      <c r="AB122" s="72">
        <f t="shared" si="29"/>
        <v>2.3648936170212767</v>
      </c>
      <c r="AC122" s="72">
        <v>186340</v>
      </c>
      <c r="AD122" s="72"/>
      <c r="AE122" s="72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</row>
    <row r="123" spans="1:60" x14ac:dyDescent="0.2">
      <c r="A123" s="25">
        <v>2017</v>
      </c>
      <c r="B123" s="1"/>
      <c r="C123" s="1"/>
      <c r="D123" s="1"/>
      <c r="E123" s="1"/>
      <c r="F123" s="123">
        <v>145</v>
      </c>
      <c r="G123" s="123">
        <v>156</v>
      </c>
      <c r="H123" s="123">
        <v>154</v>
      </c>
      <c r="I123" s="123">
        <v>202</v>
      </c>
      <c r="J123" s="123">
        <v>170</v>
      </c>
      <c r="K123" s="123">
        <v>133</v>
      </c>
      <c r="L123" s="1"/>
      <c r="M123" s="480">
        <v>12</v>
      </c>
      <c r="N123" s="1"/>
      <c r="O123" s="304">
        <v>23</v>
      </c>
      <c r="P123" s="1"/>
      <c r="Q123" s="1"/>
      <c r="R123" s="1"/>
      <c r="S123" s="1"/>
      <c r="T123" s="1"/>
      <c r="U123" s="1"/>
      <c r="V123" s="1"/>
      <c r="W123" s="1"/>
      <c r="X123" s="25">
        <v>316</v>
      </c>
      <c r="Y123" s="11"/>
      <c r="Z123" s="58"/>
      <c r="AA123" s="73">
        <f>MAX(B123:W123)</f>
        <v>202</v>
      </c>
      <c r="AB123" s="72">
        <f>X123/AA123</f>
        <v>1.5643564356435644</v>
      </c>
      <c r="AC123" s="72">
        <v>249048</v>
      </c>
      <c r="AD123" s="72"/>
      <c r="AE123" s="72"/>
    </row>
    <row r="124" spans="1:60" x14ac:dyDescent="0.2">
      <c r="A124" s="524">
        <v>2018</v>
      </c>
      <c r="B124" s="1"/>
      <c r="C124" s="1"/>
      <c r="D124" s="1"/>
      <c r="E124" s="1"/>
      <c r="F124" s="123">
        <v>189</v>
      </c>
      <c r="G124" s="123">
        <v>173</v>
      </c>
      <c r="H124" s="123">
        <v>132</v>
      </c>
      <c r="I124" s="548">
        <v>489</v>
      </c>
      <c r="J124" s="1"/>
      <c r="K124" s="548">
        <v>271</v>
      </c>
      <c r="L124" s="307">
        <v>282</v>
      </c>
      <c r="M124" s="1"/>
      <c r="N124" s="546">
        <v>86</v>
      </c>
      <c r="O124" s="1"/>
      <c r="P124" s="1"/>
      <c r="Q124" s="1"/>
      <c r="R124" s="1"/>
      <c r="S124" s="1"/>
      <c r="T124" s="1"/>
      <c r="U124" s="1"/>
      <c r="V124" s="1"/>
      <c r="W124" s="1"/>
      <c r="X124" s="524">
        <v>896</v>
      </c>
      <c r="Y124" s="11"/>
      <c r="Z124" s="58">
        <v>25</v>
      </c>
      <c r="AA124" s="73">
        <f>MAX(B124:W124)</f>
        <v>489</v>
      </c>
      <c r="AB124" s="72">
        <f>X124/AA124</f>
        <v>1.8323108384458078</v>
      </c>
      <c r="AC124" s="72">
        <v>721812</v>
      </c>
      <c r="AD124" s="72"/>
      <c r="AE124" s="72"/>
    </row>
    <row r="125" spans="1:60" x14ac:dyDescent="0.2">
      <c r="A125" s="572">
        <v>2019</v>
      </c>
      <c r="B125" s="1"/>
      <c r="C125" s="1"/>
      <c r="D125" s="1"/>
      <c r="E125" s="1"/>
      <c r="F125" s="123">
        <v>9</v>
      </c>
      <c r="G125" s="123">
        <v>1</v>
      </c>
      <c r="H125" s="123">
        <v>23</v>
      </c>
      <c r="I125" s="123">
        <v>0</v>
      </c>
      <c r="J125" s="123">
        <v>1</v>
      </c>
      <c r="K125" s="123">
        <v>3</v>
      </c>
      <c r="L125" s="1"/>
      <c r="M125" s="551">
        <v>0</v>
      </c>
      <c r="N125" s="123">
        <v>0</v>
      </c>
      <c r="O125" s="123">
        <v>0</v>
      </c>
      <c r="P125" s="1"/>
      <c r="Q125" s="1"/>
      <c r="R125" s="1"/>
      <c r="S125" s="1"/>
      <c r="T125" s="1"/>
      <c r="U125" s="1"/>
      <c r="V125" s="1"/>
      <c r="W125" s="1"/>
      <c r="X125" s="572">
        <v>26</v>
      </c>
      <c r="Y125" s="7" t="s">
        <v>9</v>
      </c>
      <c r="Z125" s="58"/>
      <c r="AA125" s="73"/>
      <c r="AB125" s="72"/>
      <c r="AC125" s="72">
        <v>439035</v>
      </c>
      <c r="AD125" s="72"/>
      <c r="AE125" s="72"/>
    </row>
    <row r="126" spans="1:60" x14ac:dyDescent="0.2">
      <c r="A126" s="689">
        <v>2020</v>
      </c>
      <c r="B126" s="1"/>
      <c r="C126" s="1"/>
      <c r="D126" s="1"/>
      <c r="E126" s="1"/>
      <c r="F126" s="1"/>
      <c r="G126" s="106">
        <v>0</v>
      </c>
      <c r="H126" s="1"/>
      <c r="I126" s="106">
        <v>0</v>
      </c>
      <c r="J126" s="106">
        <v>0</v>
      </c>
      <c r="K126" s="106">
        <v>5</v>
      </c>
      <c r="L126" s="712">
        <v>0</v>
      </c>
      <c r="M126" s="1"/>
      <c r="N126" s="106">
        <v>5</v>
      </c>
      <c r="O126" s="1"/>
      <c r="P126" s="1"/>
      <c r="Q126" s="1"/>
      <c r="R126" s="1"/>
      <c r="S126" s="1"/>
      <c r="T126" s="1"/>
      <c r="U126" s="1"/>
      <c r="V126" s="1"/>
      <c r="W126" s="1"/>
      <c r="X126" s="689">
        <v>6</v>
      </c>
      <c r="Y126" s="7"/>
      <c r="Z126" s="58"/>
      <c r="AA126" s="73"/>
      <c r="AB126" s="72"/>
      <c r="AC126" s="72"/>
      <c r="AD126" s="72"/>
      <c r="AE126" s="72"/>
    </row>
    <row r="127" spans="1:60" s="150" customFormat="1" x14ac:dyDescent="0.2">
      <c r="A127" s="743">
        <v>2021</v>
      </c>
      <c r="B127" s="227"/>
      <c r="C127" s="227"/>
      <c r="D127" s="227"/>
      <c r="E127" s="227"/>
      <c r="F127" s="227"/>
      <c r="G127" s="106">
        <v>313</v>
      </c>
      <c r="H127" s="106">
        <v>454</v>
      </c>
      <c r="I127" s="106">
        <v>1136</v>
      </c>
      <c r="J127" s="227"/>
      <c r="K127" s="227"/>
      <c r="L127" s="773">
        <v>773</v>
      </c>
      <c r="M127" s="227"/>
      <c r="N127" s="227"/>
      <c r="O127" s="683">
        <v>14</v>
      </c>
      <c r="P127" s="227"/>
      <c r="Q127" s="227"/>
      <c r="R127" s="227"/>
      <c r="S127" s="227"/>
      <c r="T127" s="227"/>
      <c r="U127" s="227"/>
      <c r="V127" s="227"/>
      <c r="W127" s="227"/>
      <c r="X127" s="743">
        <v>1793</v>
      </c>
      <c r="Y127" s="11"/>
      <c r="Z127" s="92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</row>
    <row r="128" spans="1:60" s="150" customFormat="1" x14ac:dyDescent="0.2">
      <c r="A128" s="743">
        <v>2022</v>
      </c>
      <c r="B128" s="227"/>
      <c r="C128" s="227"/>
      <c r="D128" s="227"/>
      <c r="E128" s="227"/>
      <c r="F128" s="227"/>
      <c r="G128" s="227"/>
      <c r="H128" s="106">
        <v>252</v>
      </c>
      <c r="I128" s="106">
        <v>156</v>
      </c>
      <c r="J128" s="427">
        <v>273</v>
      </c>
      <c r="K128" s="536">
        <v>344</v>
      </c>
      <c r="L128" s="890">
        <v>196</v>
      </c>
      <c r="M128" s="227"/>
      <c r="N128" s="106">
        <v>307</v>
      </c>
      <c r="O128" s="868"/>
      <c r="P128" s="156">
        <v>207</v>
      </c>
      <c r="Q128" s="227"/>
      <c r="R128" s="227"/>
      <c r="S128" s="227"/>
      <c r="T128" s="227"/>
      <c r="U128" s="227"/>
      <c r="V128" s="227"/>
      <c r="W128" s="227"/>
      <c r="X128" s="743">
        <v>614</v>
      </c>
      <c r="Y128" s="11"/>
      <c r="Z128" s="92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151"/>
      <c r="AU128" s="151"/>
      <c r="AV128" s="151"/>
      <c r="AW128" s="151"/>
      <c r="AX128" s="151"/>
      <c r="AY128" s="151"/>
      <c r="AZ128" s="151"/>
      <c r="BA128" s="151"/>
      <c r="BB128" s="151"/>
      <c r="BC128" s="151"/>
      <c r="BD128" s="151"/>
      <c r="BE128" s="151"/>
      <c r="BF128" s="151"/>
      <c r="BG128" s="151"/>
      <c r="BH128" s="151"/>
    </row>
    <row r="129" spans="1:60" s="150" customFormat="1" x14ac:dyDescent="0.2">
      <c r="A129" s="743">
        <v>2023</v>
      </c>
      <c r="B129" s="227"/>
      <c r="C129" s="227"/>
      <c r="D129" s="227"/>
      <c r="E129" s="227"/>
      <c r="F129" s="106">
        <v>1620</v>
      </c>
      <c r="G129" s="227"/>
      <c r="H129" s="106">
        <v>1780</v>
      </c>
      <c r="I129" s="585">
        <v>408</v>
      </c>
      <c r="J129" s="106">
        <v>363</v>
      </c>
      <c r="K129" s="227"/>
      <c r="L129" s="227"/>
      <c r="M129" s="156">
        <v>265</v>
      </c>
      <c r="N129" s="156">
        <v>35</v>
      </c>
      <c r="O129" s="227"/>
      <c r="P129" s="227"/>
      <c r="Q129" s="227"/>
      <c r="R129" s="227"/>
      <c r="S129" s="227"/>
      <c r="T129" s="227"/>
      <c r="U129" s="227"/>
      <c r="V129" s="227"/>
      <c r="W129" s="227"/>
      <c r="X129" s="743"/>
      <c r="Y129" s="11"/>
      <c r="Z129" s="92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  <c r="AY129" s="151"/>
      <c r="AZ129" s="151"/>
      <c r="BA129" s="151"/>
      <c r="BB129" s="151"/>
      <c r="BC129" s="151"/>
      <c r="BD129" s="151"/>
      <c r="BE129" s="151"/>
      <c r="BF129" s="151"/>
      <c r="BG129" s="151"/>
      <c r="BH129" s="151"/>
    </row>
    <row r="130" spans="1:60" x14ac:dyDescent="0.2">
      <c r="A130" s="64" t="s">
        <v>17</v>
      </c>
      <c r="B130" s="16"/>
      <c r="C130" s="16"/>
      <c r="D130" s="16"/>
      <c r="E130" s="16"/>
      <c r="F130" s="16">
        <f>AVERAGE(F117:F125)</f>
        <v>175.83333333333334</v>
      </c>
      <c r="G130" s="16">
        <f>AVERAGE(G117:G126)</f>
        <v>246.375</v>
      </c>
      <c r="H130" s="16">
        <f>AVERAGE(H117:H125)</f>
        <v>256</v>
      </c>
      <c r="I130" s="16">
        <f>AVERAGE(I117:I124)</f>
        <v>252.125</v>
      </c>
      <c r="J130" s="16">
        <f>AVERAGE(J117:J123)</f>
        <v>317.16666666666669</v>
      </c>
      <c r="K130" s="16">
        <f>AVERAGE(K117:K124)</f>
        <v>336</v>
      </c>
      <c r="L130" s="16">
        <f>AVERAGE(L117:L122)</f>
        <v>541</v>
      </c>
      <c r="M130" s="16">
        <f>AVERAGE(M117:M123)</f>
        <v>300.2</v>
      </c>
      <c r="N130" s="16">
        <f>AVERAGE(N117:N122)</f>
        <v>325</v>
      </c>
      <c r="O130" s="16">
        <f>AVERAGE(O117:O122)</f>
        <v>4.333333333333333</v>
      </c>
      <c r="P130" s="16">
        <f>AVERAGE(P117:P122)</f>
        <v>0</v>
      </c>
      <c r="Q130" s="16">
        <f>AVERAGE(Q117:Q122)</f>
        <v>0</v>
      </c>
      <c r="R130" s="16"/>
      <c r="S130" s="16"/>
      <c r="T130" s="16"/>
      <c r="U130" s="16"/>
      <c r="V130" s="16"/>
      <c r="W130" s="16"/>
      <c r="X130" s="16">
        <f>AVERAGE(X117:X122)</f>
        <v>890</v>
      </c>
      <c r="Y130" s="17"/>
      <c r="Z130" s="16">
        <f>AVERAGE(Z112:Z122)</f>
        <v>26.071428571428573</v>
      </c>
    </row>
  </sheetData>
  <mergeCells count="28">
    <mergeCell ref="AS40:AS41"/>
    <mergeCell ref="AT40:AT41"/>
    <mergeCell ref="Y3:Y4"/>
    <mergeCell ref="Y38:Y39"/>
    <mergeCell ref="X110:X111"/>
    <mergeCell ref="Z110:Z111"/>
    <mergeCell ref="AR3:AR4"/>
    <mergeCell ref="AS3:AS4"/>
    <mergeCell ref="Z74:Z75"/>
    <mergeCell ref="Z3:Z4"/>
    <mergeCell ref="Z38:Z39"/>
    <mergeCell ref="AH4:AH5"/>
    <mergeCell ref="AI4:AI5"/>
    <mergeCell ref="A1:I1"/>
    <mergeCell ref="B3:W3"/>
    <mergeCell ref="X3:X4"/>
    <mergeCell ref="A36:I36"/>
    <mergeCell ref="Y110:Y111"/>
    <mergeCell ref="A72:I72"/>
    <mergeCell ref="B74:W74"/>
    <mergeCell ref="X74:X75"/>
    <mergeCell ref="A38:A39"/>
    <mergeCell ref="B38:W38"/>
    <mergeCell ref="X38:X39"/>
    <mergeCell ref="A108:I108"/>
    <mergeCell ref="A110:A111"/>
    <mergeCell ref="B110:W110"/>
    <mergeCell ref="Y74:Y75"/>
  </mergeCells>
  <phoneticPr fontId="4" type="noConversion"/>
  <pageMargins left="0.75" right="0.75" top="1" bottom="1" header="0.5" footer="0.5"/>
  <pageSetup scale="67" fitToHeight="2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J130"/>
  <sheetViews>
    <sheetView zoomScale="75" workbookViewId="0">
      <selection activeCell="X33" sqref="X33"/>
    </sheetView>
  </sheetViews>
  <sheetFormatPr defaultColWidth="9.140625" defaultRowHeight="12.75" x14ac:dyDescent="0.2"/>
  <cols>
    <col min="1" max="1" width="10.28515625" style="2" customWidth="1"/>
    <col min="2" max="23" width="6.5703125" style="2" customWidth="1"/>
    <col min="24" max="25" width="9.140625" style="2"/>
    <col min="26" max="26" width="11.7109375" style="56" customWidth="1"/>
    <col min="27" max="27" width="9.140625" style="2"/>
    <col min="28" max="28" width="8.7109375"/>
    <col min="29" max="29" width="14.28515625" customWidth="1"/>
    <col min="30" max="30" width="8.7109375"/>
    <col min="31" max="31" width="12" bestFit="1" customWidth="1"/>
    <col min="32" max="34" width="8.7109375"/>
    <col min="35" max="35" width="14.42578125" bestFit="1" customWidth="1"/>
    <col min="36" max="44" width="8.7109375"/>
    <col min="45" max="45" width="20" bestFit="1" customWidth="1"/>
    <col min="46" max="46" width="14.42578125" bestFit="1" customWidth="1"/>
    <col min="47" max="47" width="20" bestFit="1" customWidth="1"/>
    <col min="48" max="51" width="8.7109375"/>
    <col min="52" max="56" width="9.140625" style="2"/>
    <col min="57" max="57" width="14.42578125" style="2" bestFit="1" customWidth="1"/>
    <col min="58" max="67" width="9.140625" style="2"/>
    <col min="68" max="68" width="14.42578125" style="2" bestFit="1" customWidth="1"/>
    <col min="69" max="77" width="9.140625" style="2"/>
    <col min="78" max="78" width="20.28515625" style="2" bestFit="1" customWidth="1"/>
    <col min="79" max="79" width="14.42578125" style="2" bestFit="1" customWidth="1"/>
    <col min="80" max="89" width="9.140625" style="2"/>
    <col min="90" max="90" width="20" style="2" bestFit="1" customWidth="1"/>
    <col min="91" max="99" width="9.140625" style="2"/>
    <col min="100" max="100" width="11.140625" style="2" bestFit="1" customWidth="1"/>
    <col min="101" max="101" width="14.42578125" style="2" bestFit="1" customWidth="1"/>
    <col min="102" max="110" width="9.140625" style="2"/>
    <col min="111" max="111" width="13.7109375" style="2" customWidth="1"/>
    <col min="112" max="113" width="9.140625" style="2"/>
    <col min="114" max="114" width="10.85546875" style="2" bestFit="1" customWidth="1"/>
    <col min="115" max="16384" width="9.140625" style="2"/>
  </cols>
  <sheetData>
    <row r="1" spans="1:114" ht="18" customHeight="1" x14ac:dyDescent="0.2">
      <c r="A1" s="1002" t="s">
        <v>592</v>
      </c>
      <c r="B1" s="1003"/>
      <c r="C1" s="1003"/>
      <c r="D1" s="1003"/>
      <c r="E1" s="1003"/>
      <c r="F1" s="1003"/>
      <c r="G1" s="1003"/>
      <c r="H1" s="1003"/>
      <c r="I1" s="1003"/>
      <c r="J1" s="86" t="s">
        <v>95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114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1:114" ht="18" customHeight="1" thickTop="1" x14ac:dyDescent="0.25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C3" t="s">
        <v>334</v>
      </c>
      <c r="AD3" s="2"/>
      <c r="AH3" s="1013" t="s">
        <v>117</v>
      </c>
      <c r="AI3" s="1013" t="s">
        <v>118</v>
      </c>
      <c r="AJ3" s="157" t="s">
        <v>119</v>
      </c>
      <c r="AL3" s="158" t="s">
        <v>120</v>
      </c>
      <c r="AM3" s="158"/>
      <c r="AN3" s="159"/>
      <c r="AO3" s="160" t="s">
        <v>121</v>
      </c>
      <c r="AP3" s="160"/>
      <c r="AQ3" s="161" t="s">
        <v>122</v>
      </c>
      <c r="AS3" s="1013" t="s">
        <v>117</v>
      </c>
      <c r="AT3" s="1013" t="s">
        <v>118</v>
      </c>
      <c r="AU3" s="157" t="s">
        <v>119</v>
      </c>
      <c r="AW3" s="158" t="s">
        <v>120</v>
      </c>
      <c r="AX3" s="158"/>
      <c r="AY3" s="159"/>
      <c r="AZ3" s="160" t="s">
        <v>121</v>
      </c>
      <c r="BA3" s="160"/>
      <c r="BB3" s="161" t="s">
        <v>122</v>
      </c>
      <c r="BD3" s="1013" t="s">
        <v>117</v>
      </c>
      <c r="BE3" s="1013" t="s">
        <v>118</v>
      </c>
      <c r="BF3" s="157" t="s">
        <v>119</v>
      </c>
      <c r="BG3"/>
      <c r="BH3" s="158" t="s">
        <v>120</v>
      </c>
      <c r="BI3" s="158"/>
      <c r="BJ3" s="159"/>
      <c r="BK3" s="160" t="s">
        <v>121</v>
      </c>
      <c r="BL3" s="160"/>
      <c r="BM3" s="161" t="s">
        <v>122</v>
      </c>
      <c r="BO3" s="1013" t="s">
        <v>117</v>
      </c>
      <c r="BP3" s="1013" t="s">
        <v>118</v>
      </c>
      <c r="BQ3" s="157" t="s">
        <v>119</v>
      </c>
      <c r="BR3"/>
      <c r="BS3" s="158" t="s">
        <v>120</v>
      </c>
      <c r="BT3" s="158"/>
      <c r="BU3" s="159"/>
      <c r="BV3" s="160" t="s">
        <v>121</v>
      </c>
      <c r="BW3" s="160"/>
      <c r="BX3" s="161" t="s">
        <v>122</v>
      </c>
      <c r="BZ3" s="1013" t="s">
        <v>117</v>
      </c>
      <c r="CA3" s="1013" t="s">
        <v>118</v>
      </c>
      <c r="CB3" s="157" t="s">
        <v>119</v>
      </c>
      <c r="CC3"/>
      <c r="CD3" s="158" t="s">
        <v>120</v>
      </c>
      <c r="CE3" s="158"/>
      <c r="CF3" s="159"/>
      <c r="CG3" s="160" t="s">
        <v>121</v>
      </c>
      <c r="CH3" s="160"/>
      <c r="CI3" s="161" t="s">
        <v>122</v>
      </c>
      <c r="CK3" s="1013" t="s">
        <v>117</v>
      </c>
      <c r="CL3" s="1013" t="s">
        <v>118</v>
      </c>
      <c r="CM3" s="157" t="s">
        <v>119</v>
      </c>
      <c r="CN3"/>
      <c r="CO3" s="158" t="s">
        <v>120</v>
      </c>
      <c r="CP3" s="158"/>
      <c r="CQ3" s="159"/>
      <c r="CR3" s="160" t="s">
        <v>121</v>
      </c>
      <c r="CS3" s="160"/>
      <c r="CT3" s="161" t="s">
        <v>122</v>
      </c>
      <c r="CV3" s="1013" t="s">
        <v>117</v>
      </c>
      <c r="CW3" s="1013" t="s">
        <v>118</v>
      </c>
      <c r="CX3" s="157" t="s">
        <v>119</v>
      </c>
      <c r="CY3"/>
      <c r="CZ3" s="158" t="s">
        <v>120</v>
      </c>
      <c r="DA3" s="158"/>
      <c r="DB3" s="159"/>
      <c r="DC3" s="160" t="s">
        <v>121</v>
      </c>
      <c r="DD3" s="160"/>
      <c r="DE3" s="161" t="s">
        <v>122</v>
      </c>
    </row>
    <row r="4" spans="1:114" ht="18" customHeight="1" x14ac:dyDescent="0.2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68" t="s">
        <v>44</v>
      </c>
      <c r="AB4" t="s">
        <v>142</v>
      </c>
      <c r="AC4" s="2" t="s">
        <v>335</v>
      </c>
      <c r="AD4" t="s">
        <v>340</v>
      </c>
      <c r="AE4" s="2" t="s">
        <v>151</v>
      </c>
      <c r="AF4" t="s">
        <v>234</v>
      </c>
      <c r="AH4" s="1014"/>
      <c r="AI4" s="1014"/>
      <c r="AJ4" s="162" t="s">
        <v>123</v>
      </c>
      <c r="AL4" s="163" t="s">
        <v>124</v>
      </c>
      <c r="AM4" s="163" t="s">
        <v>125</v>
      </c>
      <c r="AN4" s="163"/>
      <c r="AO4" s="164" t="s">
        <v>126</v>
      </c>
      <c r="AQ4" s="164" t="s">
        <v>126</v>
      </c>
      <c r="AS4" s="1014"/>
      <c r="AT4" s="1014"/>
      <c r="AU4" s="162" t="s">
        <v>123</v>
      </c>
      <c r="AW4" s="163" t="s">
        <v>124</v>
      </c>
      <c r="AX4" s="163" t="s">
        <v>125</v>
      </c>
      <c r="AY4" s="163"/>
      <c r="AZ4" s="164" t="s">
        <v>126</v>
      </c>
      <c r="BA4"/>
      <c r="BB4" s="164" t="s">
        <v>126</v>
      </c>
      <c r="BD4" s="1014"/>
      <c r="BE4" s="1014"/>
      <c r="BF4" s="162" t="s">
        <v>123</v>
      </c>
      <c r="BG4"/>
      <c r="BH4" s="163" t="s">
        <v>124</v>
      </c>
      <c r="BI4" s="163" t="s">
        <v>125</v>
      </c>
      <c r="BJ4" s="163"/>
      <c r="BK4" s="164" t="s">
        <v>126</v>
      </c>
      <c r="BL4"/>
      <c r="BM4" s="164" t="s">
        <v>126</v>
      </c>
      <c r="BO4" s="1014"/>
      <c r="BP4" s="1014"/>
      <c r="BQ4" s="162" t="s">
        <v>123</v>
      </c>
      <c r="BR4"/>
      <c r="BS4" s="163" t="s">
        <v>124</v>
      </c>
      <c r="BT4" s="163" t="s">
        <v>125</v>
      </c>
      <c r="BU4" s="163"/>
      <c r="BV4" s="164" t="s">
        <v>126</v>
      </c>
      <c r="BW4"/>
      <c r="BX4" s="164" t="s">
        <v>126</v>
      </c>
      <c r="BZ4" s="1014"/>
      <c r="CA4" s="1014"/>
      <c r="CB4" s="162" t="s">
        <v>123</v>
      </c>
      <c r="CC4"/>
      <c r="CD4" s="163" t="s">
        <v>124</v>
      </c>
      <c r="CE4" s="163" t="s">
        <v>125</v>
      </c>
      <c r="CF4" s="163"/>
      <c r="CG4" s="164" t="s">
        <v>126</v>
      </c>
      <c r="CH4"/>
      <c r="CI4" s="164" t="s">
        <v>126</v>
      </c>
      <c r="CK4" s="1014"/>
      <c r="CL4" s="1014"/>
      <c r="CM4" s="162" t="s">
        <v>123</v>
      </c>
      <c r="CN4"/>
      <c r="CO4" s="163" t="s">
        <v>124</v>
      </c>
      <c r="CP4" s="163" t="s">
        <v>125</v>
      </c>
      <c r="CQ4" s="163"/>
      <c r="CR4" s="164" t="s">
        <v>126</v>
      </c>
      <c r="CS4"/>
      <c r="CT4" s="164" t="s">
        <v>126</v>
      </c>
      <c r="CV4" s="1014"/>
      <c r="CW4" s="1014"/>
      <c r="CX4" s="162" t="s">
        <v>123</v>
      </c>
      <c r="CY4"/>
      <c r="CZ4" s="163" t="s">
        <v>124</v>
      </c>
      <c r="DA4" s="163" t="s">
        <v>125</v>
      </c>
      <c r="DB4" s="163"/>
      <c r="DC4" s="164" t="s">
        <v>126</v>
      </c>
      <c r="DD4"/>
      <c r="DE4" s="164" t="s">
        <v>126</v>
      </c>
    </row>
    <row r="5" spans="1:114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6">
        <v>31</v>
      </c>
      <c r="I5" s="365">
        <v>157</v>
      </c>
      <c r="J5" s="6">
        <v>59</v>
      </c>
      <c r="K5" s="6"/>
      <c r="L5" s="6">
        <v>131</v>
      </c>
      <c r="M5" s="6"/>
      <c r="N5" s="6">
        <v>33</v>
      </c>
      <c r="O5" s="6"/>
      <c r="P5" s="6"/>
      <c r="Q5" s="6"/>
      <c r="R5" s="6"/>
      <c r="S5" s="6"/>
      <c r="T5" s="1"/>
      <c r="U5" s="1"/>
      <c r="V5" s="1"/>
      <c r="W5" s="1"/>
      <c r="X5" s="7">
        <v>291</v>
      </c>
      <c r="Y5" s="7" t="s">
        <v>5</v>
      </c>
      <c r="Z5" s="10">
        <v>15</v>
      </c>
      <c r="AB5">
        <f>X5/MAX(B5:W5)</f>
        <v>1.8535031847133758</v>
      </c>
      <c r="AC5" t="s">
        <v>316</v>
      </c>
      <c r="AD5">
        <v>291</v>
      </c>
      <c r="AE5"/>
      <c r="AF5">
        <v>7</v>
      </c>
      <c r="AG5"/>
      <c r="AH5" s="165"/>
      <c r="AI5" s="166"/>
      <c r="AJ5" s="167"/>
      <c r="AK5"/>
      <c r="AL5"/>
      <c r="AM5"/>
      <c r="AN5"/>
      <c r="AO5"/>
      <c r="AP5"/>
      <c r="AQ5"/>
      <c r="AR5"/>
      <c r="AS5" s="165"/>
      <c r="AT5" s="166"/>
      <c r="AU5" s="167"/>
      <c r="AV5"/>
      <c r="AW5"/>
      <c r="AX5"/>
      <c r="AY5"/>
      <c r="AZ5"/>
      <c r="BA5"/>
      <c r="BB5"/>
      <c r="BD5" s="165"/>
      <c r="BE5" s="166"/>
      <c r="BF5" s="167"/>
      <c r="BG5"/>
      <c r="BH5"/>
      <c r="BI5"/>
      <c r="BJ5"/>
      <c r="BK5"/>
      <c r="BL5"/>
      <c r="BM5"/>
      <c r="BO5" s="165"/>
      <c r="BP5" s="166"/>
      <c r="BQ5" s="167"/>
      <c r="BR5"/>
      <c r="BS5"/>
      <c r="BT5"/>
      <c r="BU5"/>
      <c r="BV5"/>
      <c r="BW5"/>
      <c r="BX5"/>
      <c r="BZ5" s="165"/>
      <c r="CA5" s="166"/>
      <c r="CB5" s="167"/>
      <c r="CC5"/>
      <c r="CD5"/>
      <c r="CE5"/>
      <c r="CF5"/>
      <c r="CG5"/>
      <c r="CH5"/>
      <c r="CI5"/>
      <c r="CK5" s="165"/>
      <c r="CL5" s="166"/>
      <c r="CM5" s="167"/>
      <c r="CN5"/>
      <c r="CO5"/>
      <c r="CP5"/>
      <c r="CQ5"/>
      <c r="CR5"/>
      <c r="CS5"/>
      <c r="CT5"/>
      <c r="CV5" s="165"/>
      <c r="CW5" s="166"/>
      <c r="CX5" s="167"/>
      <c r="CY5"/>
      <c r="CZ5"/>
      <c r="DA5"/>
      <c r="DB5"/>
      <c r="DC5"/>
      <c r="DD5"/>
      <c r="DE5"/>
    </row>
    <row r="6" spans="1:114" s="8" customFormat="1" ht="18" customHeight="1" x14ac:dyDescent="0.2">
      <c r="A6" s="1">
        <v>1996</v>
      </c>
      <c r="B6" s="6"/>
      <c r="C6" s="6"/>
      <c r="D6" s="6"/>
      <c r="E6" s="6"/>
      <c r="F6" s="6"/>
      <c r="G6" s="6">
        <v>29</v>
      </c>
      <c r="H6" s="6">
        <v>63</v>
      </c>
      <c r="I6" s="6">
        <v>74</v>
      </c>
      <c r="J6" s="6">
        <v>0</v>
      </c>
      <c r="K6" s="6">
        <v>204</v>
      </c>
      <c r="L6" s="6"/>
      <c r="M6" s="6"/>
      <c r="N6" s="365">
        <v>239</v>
      </c>
      <c r="O6" s="6"/>
      <c r="P6" s="6">
        <v>50</v>
      </c>
      <c r="Q6" s="6"/>
      <c r="R6" s="6"/>
      <c r="S6" s="6"/>
      <c r="T6" s="1"/>
      <c r="U6" s="1"/>
      <c r="V6" s="1"/>
      <c r="W6" s="1"/>
      <c r="X6" s="7">
        <v>528</v>
      </c>
      <c r="Y6" s="7" t="s">
        <v>5</v>
      </c>
      <c r="Z6" s="10">
        <v>20</v>
      </c>
      <c r="AB6">
        <f t="shared" ref="AB6:AB26" si="0">X6/MAX(B6:W6)</f>
        <v>2.2092050209205021</v>
      </c>
      <c r="AC6" t="s">
        <v>342</v>
      </c>
      <c r="AD6">
        <v>528</v>
      </c>
      <c r="AE6"/>
      <c r="AF6">
        <v>33</v>
      </c>
      <c r="AG6" s="93"/>
      <c r="AH6" s="165" t="s">
        <v>26</v>
      </c>
      <c r="AI6" s="166"/>
      <c r="AJ6" s="167"/>
      <c r="AK6"/>
      <c r="AL6"/>
      <c r="AM6"/>
      <c r="AN6"/>
      <c r="AO6"/>
      <c r="AP6"/>
      <c r="AQ6"/>
      <c r="AR6"/>
      <c r="AS6" s="165" t="s">
        <v>26</v>
      </c>
      <c r="AT6" s="166"/>
      <c r="AU6" s="167"/>
      <c r="AV6"/>
      <c r="AW6"/>
      <c r="AX6"/>
      <c r="AY6"/>
      <c r="AZ6"/>
      <c r="BA6"/>
      <c r="BB6"/>
      <c r="BD6" s="165" t="s">
        <v>26</v>
      </c>
      <c r="BE6" s="166"/>
      <c r="BF6" s="167"/>
      <c r="BG6"/>
      <c r="BH6"/>
      <c r="BI6"/>
      <c r="BJ6"/>
      <c r="BK6"/>
      <c r="BL6"/>
      <c r="BM6"/>
      <c r="BO6" s="165" t="s">
        <v>26</v>
      </c>
      <c r="BP6" s="166"/>
      <c r="BQ6" s="167"/>
      <c r="BR6"/>
      <c r="BS6"/>
      <c r="BT6"/>
      <c r="BU6"/>
      <c r="BV6"/>
      <c r="BW6"/>
      <c r="BX6"/>
      <c r="BZ6" s="165" t="s">
        <v>26</v>
      </c>
      <c r="CA6" s="166"/>
      <c r="CB6" s="167"/>
      <c r="CC6"/>
      <c r="CD6"/>
      <c r="CE6"/>
      <c r="CF6"/>
      <c r="CG6"/>
      <c r="CH6"/>
      <c r="CI6"/>
      <c r="CK6" s="165" t="s">
        <v>26</v>
      </c>
      <c r="CL6" s="166"/>
      <c r="CM6" s="167"/>
      <c r="CN6"/>
      <c r="CO6"/>
      <c r="CP6"/>
      <c r="CQ6"/>
      <c r="CR6"/>
      <c r="CS6"/>
      <c r="CT6"/>
      <c r="CV6" s="165" t="s">
        <v>26</v>
      </c>
      <c r="CW6" s="166"/>
      <c r="CX6" s="167"/>
      <c r="CY6"/>
      <c r="CZ6"/>
      <c r="DA6"/>
      <c r="DB6"/>
      <c r="DC6"/>
      <c r="DD6"/>
      <c r="DE6"/>
    </row>
    <row r="7" spans="1:114" s="8" customFormat="1" ht="18" customHeight="1" x14ac:dyDescent="0.2">
      <c r="A7" s="1">
        <v>1997</v>
      </c>
      <c r="B7" s="6"/>
      <c r="C7" s="6"/>
      <c r="D7" s="6">
        <v>3</v>
      </c>
      <c r="E7" s="6"/>
      <c r="F7" s="6">
        <v>21</v>
      </c>
      <c r="G7" s="6"/>
      <c r="H7" s="365">
        <v>173</v>
      </c>
      <c r="I7" s="6"/>
      <c r="J7" s="6"/>
      <c r="K7" s="6">
        <v>147</v>
      </c>
      <c r="L7" s="6"/>
      <c r="M7" s="6">
        <v>135</v>
      </c>
      <c r="N7" s="6"/>
      <c r="O7" s="6"/>
      <c r="P7" s="6">
        <v>22</v>
      </c>
      <c r="Q7" s="6"/>
      <c r="R7" s="6"/>
      <c r="S7" s="6">
        <v>0</v>
      </c>
      <c r="T7" s="1"/>
      <c r="U7" s="1"/>
      <c r="V7" s="1"/>
      <c r="W7" s="1"/>
      <c r="X7" s="7">
        <v>275</v>
      </c>
      <c r="Y7" s="7" t="s">
        <v>5</v>
      </c>
      <c r="Z7" s="10">
        <v>30</v>
      </c>
      <c r="AB7">
        <f t="shared" si="0"/>
        <v>1.5895953757225434</v>
      </c>
      <c r="AC7" t="s">
        <v>338</v>
      </c>
      <c r="AD7">
        <v>275</v>
      </c>
      <c r="AE7"/>
      <c r="AF7">
        <v>18</v>
      </c>
      <c r="AG7"/>
      <c r="AH7" s="165" t="s">
        <v>127</v>
      </c>
      <c r="AI7" s="168">
        <v>36404</v>
      </c>
      <c r="AJ7" s="167">
        <v>0</v>
      </c>
      <c r="AK7"/>
      <c r="AL7"/>
      <c r="AM7" s="169">
        <v>0</v>
      </c>
      <c r="AN7"/>
      <c r="AO7"/>
      <c r="AP7"/>
      <c r="AQ7"/>
      <c r="AR7"/>
      <c r="AS7" s="165" t="s">
        <v>127</v>
      </c>
      <c r="AT7" s="168">
        <v>35657</v>
      </c>
      <c r="AU7" s="167">
        <v>0</v>
      </c>
      <c r="AV7"/>
      <c r="AW7"/>
      <c r="AX7" s="169">
        <v>0</v>
      </c>
      <c r="AY7"/>
      <c r="AZ7"/>
      <c r="BA7"/>
      <c r="BB7"/>
      <c r="BD7" s="165" t="s">
        <v>127</v>
      </c>
      <c r="BE7" s="168">
        <v>36017</v>
      </c>
      <c r="BF7" s="167">
        <v>0</v>
      </c>
      <c r="BG7"/>
      <c r="BH7"/>
      <c r="BI7" s="169">
        <v>0</v>
      </c>
      <c r="BJ7"/>
      <c r="BK7"/>
      <c r="BL7"/>
      <c r="BM7"/>
      <c r="BO7" s="165" t="s">
        <v>127</v>
      </c>
      <c r="BP7" s="168">
        <v>36770</v>
      </c>
      <c r="BQ7" s="167">
        <v>0</v>
      </c>
      <c r="BR7"/>
      <c r="BS7"/>
      <c r="BT7" s="169">
        <v>0</v>
      </c>
      <c r="BU7"/>
      <c r="BV7"/>
      <c r="BW7"/>
      <c r="BX7"/>
      <c r="BZ7" s="165" t="s">
        <v>127</v>
      </c>
      <c r="CA7" s="168">
        <v>37135</v>
      </c>
      <c r="CB7" s="167">
        <v>0</v>
      </c>
      <c r="CC7"/>
      <c r="CD7"/>
      <c r="CE7" s="169">
        <v>0</v>
      </c>
      <c r="CF7"/>
      <c r="CG7"/>
      <c r="CH7"/>
      <c r="CI7"/>
      <c r="CK7" s="165" t="s">
        <v>127</v>
      </c>
      <c r="CL7" s="168">
        <v>37500</v>
      </c>
      <c r="CM7" s="167">
        <v>0</v>
      </c>
      <c r="CN7"/>
      <c r="CO7"/>
      <c r="CP7" s="169">
        <v>0</v>
      </c>
      <c r="CQ7"/>
      <c r="CR7"/>
      <c r="CS7"/>
      <c r="CT7"/>
      <c r="CV7" s="165" t="s">
        <v>127</v>
      </c>
      <c r="CW7" s="168">
        <v>43343</v>
      </c>
      <c r="CX7" s="167">
        <v>0</v>
      </c>
      <c r="CY7"/>
      <c r="CZ7"/>
      <c r="DA7" s="169">
        <v>0</v>
      </c>
      <c r="DB7"/>
      <c r="DC7"/>
      <c r="DD7"/>
      <c r="DE7"/>
      <c r="DH7" s="8" t="s">
        <v>132</v>
      </c>
      <c r="DI7" s="8" t="s">
        <v>26</v>
      </c>
    </row>
    <row r="8" spans="1:114" s="8" customFormat="1" ht="18" customHeight="1" x14ac:dyDescent="0.2">
      <c r="A8" s="1">
        <v>1998</v>
      </c>
      <c r="B8" s="6"/>
      <c r="C8" s="6">
        <v>0</v>
      </c>
      <c r="D8" s="6"/>
      <c r="E8" s="6"/>
      <c r="F8" s="6"/>
      <c r="G8" s="6">
        <v>2</v>
      </c>
      <c r="H8" s="6"/>
      <c r="I8" s="6">
        <v>20</v>
      </c>
      <c r="J8" s="6"/>
      <c r="K8" s="365">
        <v>246</v>
      </c>
      <c r="L8" s="6"/>
      <c r="M8" s="6">
        <v>102</v>
      </c>
      <c r="N8" s="6"/>
      <c r="O8" s="6">
        <v>34</v>
      </c>
      <c r="P8" s="6"/>
      <c r="Q8" s="6">
        <v>6</v>
      </c>
      <c r="R8" s="6"/>
      <c r="S8" s="6">
        <v>0</v>
      </c>
      <c r="T8" s="1"/>
      <c r="U8" s="1">
        <v>0</v>
      </c>
      <c r="V8" s="1"/>
      <c r="W8" s="1"/>
      <c r="X8" s="7">
        <v>306</v>
      </c>
      <c r="Y8" s="7" t="s">
        <v>5</v>
      </c>
      <c r="Z8" s="10">
        <v>20</v>
      </c>
      <c r="AB8">
        <f t="shared" si="0"/>
        <v>1.2439024390243902</v>
      </c>
      <c r="AC8" t="s">
        <v>338</v>
      </c>
      <c r="AD8">
        <v>306</v>
      </c>
      <c r="AE8"/>
      <c r="AF8">
        <v>18</v>
      </c>
      <c r="AG8"/>
      <c r="AH8" s="165"/>
      <c r="AI8" s="168">
        <v>36413</v>
      </c>
      <c r="AJ8" s="170">
        <v>17</v>
      </c>
      <c r="AK8"/>
      <c r="AL8" s="171">
        <v>1</v>
      </c>
      <c r="AM8" s="172">
        <f t="shared" ref="AM8:AM16" si="1">AJ8/AL8</f>
        <v>17</v>
      </c>
      <c r="AN8"/>
      <c r="AO8" s="172">
        <f t="shared" ref="AO8:AO13" si="2">(AI8-AI7)*(AJ8+AJ7)</f>
        <v>153</v>
      </c>
      <c r="AP8"/>
      <c r="AQ8" s="172">
        <f t="shared" ref="AQ8:AQ13" si="3">(AI8-AI7)*(AM8+AM7)</f>
        <v>153</v>
      </c>
      <c r="AR8"/>
      <c r="AS8" s="165"/>
      <c r="AT8" s="168">
        <v>35662</v>
      </c>
      <c r="AU8" s="170">
        <v>3</v>
      </c>
      <c r="AV8"/>
      <c r="AW8" s="183">
        <f>AU8/AX8</f>
        <v>1</v>
      </c>
      <c r="AX8" s="182">
        <v>3</v>
      </c>
      <c r="AY8"/>
      <c r="AZ8" s="172">
        <f t="shared" ref="AZ8:AZ16" si="4">(AT8-AT7)*(AU8+AU7)</f>
        <v>15</v>
      </c>
      <c r="BA8"/>
      <c r="BB8" s="172">
        <f t="shared" ref="BB8:BB16" si="5">(AT8-AT7)*(AX8+AX7)</f>
        <v>15</v>
      </c>
      <c r="BD8" s="165"/>
      <c r="BE8" s="168">
        <v>36020</v>
      </c>
      <c r="BF8" s="170">
        <v>0</v>
      </c>
      <c r="BG8"/>
      <c r="BH8" s="183">
        <v>1</v>
      </c>
      <c r="BI8" s="182">
        <v>0</v>
      </c>
      <c r="BJ8"/>
      <c r="BK8" s="172">
        <f>(BE8-BE7)*(BF8+BF7)</f>
        <v>0</v>
      </c>
      <c r="BL8"/>
      <c r="BM8" s="172">
        <f>(BE8-BE7)*(BI8+BI7)</f>
        <v>0</v>
      </c>
      <c r="BO8" s="165"/>
      <c r="BP8" s="168">
        <v>36784</v>
      </c>
      <c r="BQ8" s="170">
        <v>68</v>
      </c>
      <c r="BR8"/>
      <c r="BS8" s="183">
        <v>1</v>
      </c>
      <c r="BT8" s="182">
        <v>68</v>
      </c>
      <c r="BU8"/>
      <c r="BV8" s="172">
        <f>(BP8-BP7)*(BQ8+BQ7)</f>
        <v>952</v>
      </c>
      <c r="BW8"/>
      <c r="BX8" s="172">
        <f>(BP8-BP7)*(BT8+BT7)</f>
        <v>952</v>
      </c>
      <c r="BZ8" s="165"/>
      <c r="CA8" s="168">
        <v>37156</v>
      </c>
      <c r="CB8" s="170">
        <v>81</v>
      </c>
      <c r="CC8"/>
      <c r="CD8" s="183">
        <v>1</v>
      </c>
      <c r="CE8" s="182">
        <v>83</v>
      </c>
      <c r="CF8"/>
      <c r="CG8" s="172">
        <f>(CA8-CA7)*(CB8+CB7)</f>
        <v>1701</v>
      </c>
      <c r="CH8"/>
      <c r="CI8" s="172">
        <f>(CA8-CA7)*(CE8+CE7)</f>
        <v>1743</v>
      </c>
      <c r="CK8" s="165"/>
      <c r="CL8" s="168">
        <v>37525</v>
      </c>
      <c r="CM8" s="170">
        <v>73</v>
      </c>
      <c r="CN8"/>
      <c r="CO8" s="183">
        <v>1</v>
      </c>
      <c r="CP8" s="182">
        <v>73</v>
      </c>
      <c r="CQ8"/>
      <c r="CR8" s="172">
        <f t="shared" ref="CR8:CR14" si="6">(CL8-CL7)*(CM8+CM7)</f>
        <v>1825</v>
      </c>
      <c r="CS8"/>
      <c r="CT8" s="172">
        <f t="shared" ref="CT8:CT14" si="7">(CL8-CL7)*(CP8+CP7)</f>
        <v>1825</v>
      </c>
      <c r="CV8" s="165"/>
      <c r="CW8" s="168">
        <v>43344</v>
      </c>
      <c r="CX8" s="170">
        <v>0</v>
      </c>
      <c r="CY8"/>
      <c r="CZ8" s="171">
        <v>0.9</v>
      </c>
      <c r="DA8" s="172">
        <v>0</v>
      </c>
      <c r="DB8"/>
      <c r="DC8" s="172">
        <f>(CW8-CW7)*(CX8+CX7)</f>
        <v>0</v>
      </c>
      <c r="DD8"/>
      <c r="DE8" s="172">
        <f>(CW8-CW7)*(DA8+DA7)</f>
        <v>0</v>
      </c>
      <c r="DG8" s="168">
        <v>40436</v>
      </c>
      <c r="DH8" s="8">
        <v>4</v>
      </c>
      <c r="DI8" s="8">
        <v>4</v>
      </c>
      <c r="DJ8" s="184">
        <f>DH8+DI8</f>
        <v>8</v>
      </c>
    </row>
    <row r="9" spans="1:114" s="8" customFormat="1" ht="18" customHeight="1" x14ac:dyDescent="0.2">
      <c r="A9" s="1">
        <v>1999</v>
      </c>
      <c r="B9" s="6"/>
      <c r="C9" s="6"/>
      <c r="D9" s="6"/>
      <c r="E9" s="6"/>
      <c r="F9" s="6"/>
      <c r="G9" s="6">
        <v>17</v>
      </c>
      <c r="H9" s="6"/>
      <c r="I9" s="6">
        <v>37</v>
      </c>
      <c r="J9" s="6">
        <v>67</v>
      </c>
      <c r="K9" s="365">
        <v>76</v>
      </c>
      <c r="L9" s="6">
        <v>15</v>
      </c>
      <c r="M9" s="6">
        <v>62</v>
      </c>
      <c r="N9" s="6">
        <v>28</v>
      </c>
      <c r="O9" s="6">
        <v>17</v>
      </c>
      <c r="P9" s="6"/>
      <c r="Q9" s="6">
        <v>1</v>
      </c>
      <c r="R9" s="6"/>
      <c r="S9" s="6">
        <v>1</v>
      </c>
      <c r="T9" s="1"/>
      <c r="U9" s="1"/>
      <c r="V9" s="1">
        <v>0</v>
      </c>
      <c r="W9" s="1"/>
      <c r="X9" s="9">
        <v>160</v>
      </c>
      <c r="Y9" s="7" t="s">
        <v>5</v>
      </c>
      <c r="Z9" s="9">
        <v>25</v>
      </c>
      <c r="AB9">
        <f t="shared" si="0"/>
        <v>2.1052631578947367</v>
      </c>
      <c r="AC9" t="s">
        <v>338</v>
      </c>
      <c r="AD9">
        <v>160</v>
      </c>
      <c r="AE9"/>
      <c r="AF9">
        <v>8</v>
      </c>
      <c r="AG9"/>
      <c r="AH9" s="165"/>
      <c r="AI9" s="168">
        <v>36422</v>
      </c>
      <c r="AJ9" s="170">
        <v>37</v>
      </c>
      <c r="AK9"/>
      <c r="AL9" s="171">
        <v>1</v>
      </c>
      <c r="AM9" s="172">
        <f t="shared" si="1"/>
        <v>37</v>
      </c>
      <c r="AN9"/>
      <c r="AO9" s="172">
        <f t="shared" si="2"/>
        <v>486</v>
      </c>
      <c r="AP9"/>
      <c r="AQ9" s="172">
        <f t="shared" si="3"/>
        <v>486</v>
      </c>
      <c r="AR9"/>
      <c r="AS9" s="165"/>
      <c r="AT9" s="168">
        <v>35678</v>
      </c>
      <c r="AU9" s="170">
        <v>21</v>
      </c>
      <c r="AV9"/>
      <c r="AW9" s="183">
        <f t="shared" ref="AW9:AW14" si="8">AU9/AX9</f>
        <v>1</v>
      </c>
      <c r="AX9" s="182">
        <v>21</v>
      </c>
      <c r="AY9"/>
      <c r="AZ9" s="172">
        <f t="shared" si="4"/>
        <v>384</v>
      </c>
      <c r="BA9"/>
      <c r="BB9" s="172">
        <f t="shared" si="5"/>
        <v>384</v>
      </c>
      <c r="BD9" s="165"/>
      <c r="BE9" s="168">
        <v>36047</v>
      </c>
      <c r="BF9" s="170">
        <v>2</v>
      </c>
      <c r="BG9"/>
      <c r="BH9" s="183">
        <f t="shared" ref="BH9:BH14" si="9">BF9/BI9</f>
        <v>1</v>
      </c>
      <c r="BI9" s="182">
        <v>2</v>
      </c>
      <c r="BJ9"/>
      <c r="BK9" s="172">
        <f t="shared" ref="BK9:BK15" si="10">(BE9-BE8)*(BF9+BF8)</f>
        <v>54</v>
      </c>
      <c r="BL9"/>
      <c r="BM9" s="172">
        <f t="shared" ref="BM9:BM15" si="11">(BE9-BE8)*(BI9+BI8)</f>
        <v>54</v>
      </c>
      <c r="BO9" s="165"/>
      <c r="BP9" s="168">
        <v>36797</v>
      </c>
      <c r="BQ9" s="170">
        <v>85</v>
      </c>
      <c r="BR9"/>
      <c r="BS9" s="183">
        <f>BQ9/BT9</f>
        <v>0.9042553191489362</v>
      </c>
      <c r="BT9" s="182">
        <v>94</v>
      </c>
      <c r="BU9"/>
      <c r="BV9" s="172">
        <f t="shared" ref="BV9:BV15" si="12">(BP9-BP8)*(BQ9+BQ8)</f>
        <v>1989</v>
      </c>
      <c r="BW9"/>
      <c r="BX9" s="172">
        <f t="shared" ref="BX9:BX15" si="13">(BP9-BP8)*(BT9+BT8)</f>
        <v>2106</v>
      </c>
      <c r="BZ9" s="165"/>
      <c r="CA9" s="168">
        <v>37167</v>
      </c>
      <c r="CB9" s="170">
        <v>186</v>
      </c>
      <c r="CC9"/>
      <c r="CD9" s="183">
        <f>CB9/CE9</f>
        <v>0.98936170212765961</v>
      </c>
      <c r="CE9" s="182">
        <v>188</v>
      </c>
      <c r="CF9"/>
      <c r="CG9" s="172">
        <f t="shared" ref="CG9:CG15" si="14">(CA9-CA8)*(CB9+CB8)</f>
        <v>2937</v>
      </c>
      <c r="CH9"/>
      <c r="CI9" s="172">
        <f t="shared" ref="CI9:CI15" si="15">(CA9-CA8)*(CE9+CE8)</f>
        <v>2981</v>
      </c>
      <c r="CK9" s="165"/>
      <c r="CL9" s="168">
        <v>37535</v>
      </c>
      <c r="CM9" s="170">
        <v>83</v>
      </c>
      <c r="CN9"/>
      <c r="CO9" s="183">
        <f>CM9/CP9</f>
        <v>1</v>
      </c>
      <c r="CP9" s="182">
        <v>83</v>
      </c>
      <c r="CQ9"/>
      <c r="CR9" s="172">
        <f t="shared" si="6"/>
        <v>1560</v>
      </c>
      <c r="CS9"/>
      <c r="CT9" s="172">
        <f t="shared" si="7"/>
        <v>1560</v>
      </c>
      <c r="CV9" s="165"/>
      <c r="CW9" s="168">
        <v>43362</v>
      </c>
      <c r="CX9" s="170">
        <f>391+67</f>
        <v>458</v>
      </c>
      <c r="CY9"/>
      <c r="CZ9" s="171">
        <v>0.9</v>
      </c>
      <c r="DA9" s="172">
        <f>CX9/CZ9</f>
        <v>508.88888888888886</v>
      </c>
      <c r="DB9"/>
      <c r="DC9" s="172">
        <f t="shared" ref="DC9:DC14" si="16">(CW9-CW8)*(CX9+CX8)</f>
        <v>8244</v>
      </c>
      <c r="DD9"/>
      <c r="DE9" s="172">
        <f t="shared" ref="DE9:DE14" si="17">(CW9-CW8)*(DA9+DA8)</f>
        <v>9160</v>
      </c>
      <c r="DG9" s="168">
        <v>40443</v>
      </c>
      <c r="DH9" s="8">
        <v>21</v>
      </c>
      <c r="DI9" s="8">
        <v>10</v>
      </c>
      <c r="DJ9" s="184">
        <f t="shared" ref="DJ9:DJ14" si="18">DH9+DI9</f>
        <v>31</v>
      </c>
    </row>
    <row r="10" spans="1:114" s="8" customFormat="1" ht="18" customHeight="1" x14ac:dyDescent="0.2">
      <c r="A10" s="1">
        <v>2000</v>
      </c>
      <c r="B10" s="6"/>
      <c r="C10" s="6"/>
      <c r="D10" s="6"/>
      <c r="E10" s="6"/>
      <c r="F10" s="6"/>
      <c r="G10" s="6"/>
      <c r="H10" s="6">
        <v>68</v>
      </c>
      <c r="I10" s="6"/>
      <c r="J10" s="6">
        <v>85</v>
      </c>
      <c r="K10" s="365">
        <v>98</v>
      </c>
      <c r="L10" s="6">
        <v>72</v>
      </c>
      <c r="M10" s="6"/>
      <c r="N10" s="6">
        <v>16</v>
      </c>
      <c r="O10" s="6"/>
      <c r="P10" s="6">
        <v>2</v>
      </c>
      <c r="Q10" s="6">
        <v>0</v>
      </c>
      <c r="R10" s="6"/>
      <c r="S10" s="6"/>
      <c r="T10" s="1">
        <v>0</v>
      </c>
      <c r="U10" s="1"/>
      <c r="V10" s="1"/>
      <c r="W10" s="1"/>
      <c r="X10" s="10">
        <v>143</v>
      </c>
      <c r="Y10" s="7" t="s">
        <v>5</v>
      </c>
      <c r="Z10" s="9">
        <v>25</v>
      </c>
      <c r="AB10">
        <f t="shared" si="0"/>
        <v>1.4591836734693877</v>
      </c>
      <c r="AC10" t="s">
        <v>338</v>
      </c>
      <c r="AD10">
        <v>143</v>
      </c>
      <c r="AE10"/>
      <c r="AF10">
        <v>16</v>
      </c>
      <c r="AG10"/>
      <c r="AH10" s="173"/>
      <c r="AI10" s="168">
        <v>36430</v>
      </c>
      <c r="AJ10" s="170">
        <v>68</v>
      </c>
      <c r="AK10"/>
      <c r="AL10" s="171">
        <v>1</v>
      </c>
      <c r="AM10" s="172">
        <f t="shared" si="1"/>
        <v>68</v>
      </c>
      <c r="AN10"/>
      <c r="AO10" s="172">
        <f t="shared" si="2"/>
        <v>840</v>
      </c>
      <c r="AP10"/>
      <c r="AQ10" s="172">
        <f t="shared" si="3"/>
        <v>840</v>
      </c>
      <c r="AR10"/>
      <c r="AS10" s="173"/>
      <c r="AT10" s="168">
        <v>35692</v>
      </c>
      <c r="AU10" s="170">
        <v>173</v>
      </c>
      <c r="AV10"/>
      <c r="AW10" s="183">
        <f t="shared" si="8"/>
        <v>0.97740112994350281</v>
      </c>
      <c r="AX10" s="182">
        <v>177</v>
      </c>
      <c r="AY10"/>
      <c r="AZ10" s="172">
        <f t="shared" si="4"/>
        <v>2716</v>
      </c>
      <c r="BA10"/>
      <c r="BB10" s="172">
        <f t="shared" si="5"/>
        <v>2772</v>
      </c>
      <c r="BD10" s="173"/>
      <c r="BE10" s="168">
        <v>36062</v>
      </c>
      <c r="BF10" s="170">
        <v>20</v>
      </c>
      <c r="BG10"/>
      <c r="BH10" s="183">
        <f t="shared" si="9"/>
        <v>1</v>
      </c>
      <c r="BI10" s="182">
        <v>20</v>
      </c>
      <c r="BJ10"/>
      <c r="BK10" s="172">
        <f t="shared" si="10"/>
        <v>330</v>
      </c>
      <c r="BL10"/>
      <c r="BM10" s="172">
        <f t="shared" si="11"/>
        <v>330</v>
      </c>
      <c r="BO10" s="173"/>
      <c r="BP10" s="168">
        <v>36802</v>
      </c>
      <c r="BQ10" s="170">
        <v>98</v>
      </c>
      <c r="BR10"/>
      <c r="BS10" s="183">
        <f>BQ10/BT10</f>
        <v>1</v>
      </c>
      <c r="BT10" s="182">
        <v>98</v>
      </c>
      <c r="BU10"/>
      <c r="BV10" s="172">
        <f t="shared" si="12"/>
        <v>915</v>
      </c>
      <c r="BW10"/>
      <c r="BX10" s="172">
        <f t="shared" si="13"/>
        <v>960</v>
      </c>
      <c r="BZ10" s="173"/>
      <c r="CA10" s="168">
        <v>37181</v>
      </c>
      <c r="CB10" s="170">
        <v>87</v>
      </c>
      <c r="CC10"/>
      <c r="CD10" s="183">
        <f>CB10/CE10</f>
        <v>1</v>
      </c>
      <c r="CE10" s="182">
        <v>87</v>
      </c>
      <c r="CF10"/>
      <c r="CG10" s="172">
        <f t="shared" si="14"/>
        <v>3822</v>
      </c>
      <c r="CH10"/>
      <c r="CI10" s="172">
        <f t="shared" si="15"/>
        <v>3850</v>
      </c>
      <c r="CK10" s="173"/>
      <c r="CL10" s="168">
        <v>37546</v>
      </c>
      <c r="CM10" s="170">
        <v>32</v>
      </c>
      <c r="CN10"/>
      <c r="CO10" s="183">
        <f>CM10/CP10</f>
        <v>1</v>
      </c>
      <c r="CP10" s="182">
        <v>32</v>
      </c>
      <c r="CQ10"/>
      <c r="CR10" s="172">
        <f t="shared" si="6"/>
        <v>1265</v>
      </c>
      <c r="CS10"/>
      <c r="CT10" s="172">
        <f t="shared" si="7"/>
        <v>1265</v>
      </c>
      <c r="CV10" s="173"/>
      <c r="CW10" s="168">
        <v>43372</v>
      </c>
      <c r="CX10" s="170">
        <f>541+145</f>
        <v>686</v>
      </c>
      <c r="CY10"/>
      <c r="CZ10" s="171">
        <v>0.8</v>
      </c>
      <c r="DA10" s="172">
        <f>CX10/CZ10</f>
        <v>857.5</v>
      </c>
      <c r="DB10"/>
      <c r="DC10" s="172">
        <f t="shared" si="16"/>
        <v>11440</v>
      </c>
      <c r="DD10"/>
      <c r="DE10" s="172">
        <f t="shared" si="17"/>
        <v>13663.888888888889</v>
      </c>
      <c r="DG10" s="168">
        <v>40453</v>
      </c>
      <c r="DH10" s="8">
        <v>18</v>
      </c>
      <c r="DI10" s="8">
        <v>6</v>
      </c>
      <c r="DJ10" s="184">
        <f t="shared" si="18"/>
        <v>24</v>
      </c>
    </row>
    <row r="11" spans="1:114" s="8" customFormat="1" ht="18" customHeight="1" x14ac:dyDescent="0.2">
      <c r="A11" s="1">
        <v>2001</v>
      </c>
      <c r="B11" s="6"/>
      <c r="C11" s="6"/>
      <c r="D11" s="6"/>
      <c r="E11" s="6"/>
      <c r="F11" s="6"/>
      <c r="G11" s="6"/>
      <c r="H11" s="6">
        <v>81</v>
      </c>
      <c r="I11" s="6"/>
      <c r="J11" s="365">
        <v>186</v>
      </c>
      <c r="K11" s="6"/>
      <c r="L11" s="6">
        <v>87</v>
      </c>
      <c r="M11" s="6"/>
      <c r="N11" s="6">
        <v>29</v>
      </c>
      <c r="O11" s="6"/>
      <c r="P11" s="6"/>
      <c r="Q11" s="6">
        <v>0</v>
      </c>
      <c r="R11" s="6"/>
      <c r="S11" s="6"/>
      <c r="T11" s="1"/>
      <c r="U11" s="1"/>
      <c r="V11" s="1"/>
      <c r="W11" s="1"/>
      <c r="X11" s="7">
        <v>263</v>
      </c>
      <c r="Y11" s="7" t="s">
        <v>5</v>
      </c>
      <c r="Z11" s="10">
        <v>20</v>
      </c>
      <c r="AB11">
        <f t="shared" si="0"/>
        <v>1.413978494623656</v>
      </c>
      <c r="AC11" t="s">
        <v>338</v>
      </c>
      <c r="AD11">
        <v>263</v>
      </c>
      <c r="AE11"/>
      <c r="AF11">
        <v>8</v>
      </c>
      <c r="AG11"/>
      <c r="AH11" s="174"/>
      <c r="AI11" s="168">
        <v>36438</v>
      </c>
      <c r="AJ11" s="170">
        <v>78</v>
      </c>
      <c r="AK11"/>
      <c r="AL11" s="171">
        <v>1</v>
      </c>
      <c r="AM11" s="172">
        <f t="shared" si="1"/>
        <v>78</v>
      </c>
      <c r="AN11"/>
      <c r="AO11" s="172">
        <f t="shared" si="2"/>
        <v>1168</v>
      </c>
      <c r="AP11"/>
      <c r="AQ11" s="172">
        <f t="shared" si="3"/>
        <v>1168</v>
      </c>
      <c r="AR11"/>
      <c r="AS11" s="174"/>
      <c r="AT11" s="168">
        <v>35710</v>
      </c>
      <c r="AU11" s="170">
        <v>147</v>
      </c>
      <c r="AV11"/>
      <c r="AW11" s="183">
        <f t="shared" si="8"/>
        <v>0.96710526315789469</v>
      </c>
      <c r="AX11" s="182">
        <v>152</v>
      </c>
      <c r="AY11"/>
      <c r="AZ11" s="172">
        <f t="shared" si="4"/>
        <v>5760</v>
      </c>
      <c r="BA11"/>
      <c r="BB11" s="172">
        <f t="shared" si="5"/>
        <v>5922</v>
      </c>
      <c r="BD11" s="174"/>
      <c r="BE11" s="168">
        <v>36075</v>
      </c>
      <c r="BF11" s="170">
        <v>246</v>
      </c>
      <c r="BG11"/>
      <c r="BH11" s="183">
        <f t="shared" si="9"/>
        <v>0.9609375</v>
      </c>
      <c r="BI11" s="182">
        <v>256</v>
      </c>
      <c r="BJ11"/>
      <c r="BK11" s="172">
        <f t="shared" si="10"/>
        <v>3458</v>
      </c>
      <c r="BL11"/>
      <c r="BM11" s="172">
        <f t="shared" si="11"/>
        <v>3588</v>
      </c>
      <c r="BO11" s="174"/>
      <c r="BP11" s="168">
        <v>36812</v>
      </c>
      <c r="BQ11" s="170">
        <v>72</v>
      </c>
      <c r="BR11"/>
      <c r="BS11" s="183">
        <f>BQ11/BT11</f>
        <v>1</v>
      </c>
      <c r="BT11" s="182">
        <v>72</v>
      </c>
      <c r="BU11"/>
      <c r="BV11" s="172">
        <f t="shared" si="12"/>
        <v>1700</v>
      </c>
      <c r="BW11"/>
      <c r="BX11" s="172">
        <f t="shared" si="13"/>
        <v>1700</v>
      </c>
      <c r="BZ11" s="174"/>
      <c r="CA11" s="168">
        <v>37194</v>
      </c>
      <c r="CB11" s="170">
        <v>29</v>
      </c>
      <c r="CC11"/>
      <c r="CD11" s="183">
        <f>CB11/CE11</f>
        <v>0.96666666666666667</v>
      </c>
      <c r="CE11" s="182">
        <v>30</v>
      </c>
      <c r="CF11"/>
      <c r="CG11" s="172">
        <f t="shared" si="14"/>
        <v>1508</v>
      </c>
      <c r="CH11"/>
      <c r="CI11" s="172">
        <f t="shared" si="15"/>
        <v>1521</v>
      </c>
      <c r="CK11" s="174"/>
      <c r="CL11" s="168">
        <v>37557</v>
      </c>
      <c r="CM11" s="170">
        <v>48</v>
      </c>
      <c r="CN11"/>
      <c r="CO11" s="183">
        <f>CM11/CP11</f>
        <v>1</v>
      </c>
      <c r="CP11" s="182">
        <v>48</v>
      </c>
      <c r="CQ11"/>
      <c r="CR11" s="172">
        <f t="shared" si="6"/>
        <v>880</v>
      </c>
      <c r="CS11"/>
      <c r="CT11" s="172">
        <f t="shared" si="7"/>
        <v>880</v>
      </c>
      <c r="CV11" s="174"/>
      <c r="CW11" s="168">
        <v>43383</v>
      </c>
      <c r="CX11" s="170">
        <f>567+140</f>
        <v>707</v>
      </c>
      <c r="CY11"/>
      <c r="CZ11" s="171">
        <v>0.9</v>
      </c>
      <c r="DA11" s="172">
        <f>CX11/CZ11</f>
        <v>785.55555555555554</v>
      </c>
      <c r="DB11"/>
      <c r="DC11" s="172">
        <f t="shared" si="16"/>
        <v>15323</v>
      </c>
      <c r="DD11"/>
      <c r="DE11" s="172">
        <f t="shared" si="17"/>
        <v>18073.611111111113</v>
      </c>
      <c r="DG11" s="168">
        <v>40468</v>
      </c>
      <c r="DH11" s="8">
        <v>19</v>
      </c>
      <c r="DI11" s="8">
        <v>9</v>
      </c>
      <c r="DJ11" s="184">
        <f t="shared" si="18"/>
        <v>28</v>
      </c>
    </row>
    <row r="12" spans="1:114" s="8" customFormat="1" ht="18" customHeight="1" x14ac:dyDescent="0.2">
      <c r="A12" s="1">
        <v>2002</v>
      </c>
      <c r="B12" s="6"/>
      <c r="C12" s="6"/>
      <c r="D12" s="6"/>
      <c r="E12" s="6"/>
      <c r="F12" s="6"/>
      <c r="G12" s="6"/>
      <c r="H12" s="365">
        <v>53</v>
      </c>
      <c r="I12" s="6">
        <v>44</v>
      </c>
      <c r="J12" s="6"/>
      <c r="K12" s="6">
        <v>52</v>
      </c>
      <c r="L12" s="6">
        <v>22</v>
      </c>
      <c r="M12" s="6"/>
      <c r="N12" s="6">
        <v>48</v>
      </c>
      <c r="O12" s="6"/>
      <c r="P12" s="6"/>
      <c r="Q12" s="6"/>
      <c r="R12" s="6">
        <v>0</v>
      </c>
      <c r="S12" s="6"/>
      <c r="T12" s="1">
        <v>0</v>
      </c>
      <c r="U12" s="1"/>
      <c r="V12" s="1"/>
      <c r="W12" s="1"/>
      <c r="X12" s="7">
        <v>128</v>
      </c>
      <c r="Y12" s="7" t="s">
        <v>5</v>
      </c>
      <c r="Z12" s="10">
        <v>27</v>
      </c>
      <c r="AB12">
        <f t="shared" si="0"/>
        <v>2.4150943396226414</v>
      </c>
      <c r="AC12" t="s">
        <v>346</v>
      </c>
      <c r="AD12">
        <v>128</v>
      </c>
      <c r="AE12">
        <v>137</v>
      </c>
      <c r="AF12">
        <v>9</v>
      </c>
      <c r="AG12"/>
      <c r="AI12" s="168">
        <v>36450</v>
      </c>
      <c r="AJ12" s="170">
        <v>64</v>
      </c>
      <c r="AK12"/>
      <c r="AL12" s="171">
        <v>1</v>
      </c>
      <c r="AM12" s="172">
        <f t="shared" si="1"/>
        <v>64</v>
      </c>
      <c r="AN12"/>
      <c r="AO12" s="172">
        <f t="shared" si="2"/>
        <v>1704</v>
      </c>
      <c r="AP12"/>
      <c r="AQ12" s="172">
        <f t="shared" si="3"/>
        <v>1704</v>
      </c>
      <c r="AR12"/>
      <c r="AT12" s="168">
        <v>35722</v>
      </c>
      <c r="AU12" s="170">
        <v>135</v>
      </c>
      <c r="AV12"/>
      <c r="AW12" s="183">
        <f t="shared" si="8"/>
        <v>0.97826086956521741</v>
      </c>
      <c r="AX12" s="182">
        <v>138</v>
      </c>
      <c r="AY12"/>
      <c r="AZ12" s="172">
        <f t="shared" si="4"/>
        <v>3384</v>
      </c>
      <c r="BA12"/>
      <c r="BB12" s="172">
        <f t="shared" si="5"/>
        <v>3480</v>
      </c>
      <c r="BE12" s="168">
        <v>36091</v>
      </c>
      <c r="BF12" s="170">
        <v>102</v>
      </c>
      <c r="BG12"/>
      <c r="BH12" s="183">
        <f t="shared" si="9"/>
        <v>0.91891891891891897</v>
      </c>
      <c r="BI12" s="182">
        <v>111</v>
      </c>
      <c r="BJ12"/>
      <c r="BK12" s="172">
        <f t="shared" si="10"/>
        <v>5568</v>
      </c>
      <c r="BL12"/>
      <c r="BM12" s="172">
        <f t="shared" si="11"/>
        <v>5872</v>
      </c>
      <c r="BP12" s="168">
        <v>36826</v>
      </c>
      <c r="BQ12" s="170">
        <v>16</v>
      </c>
      <c r="BR12"/>
      <c r="BS12" s="183">
        <f>BQ12/BT12</f>
        <v>1</v>
      </c>
      <c r="BT12" s="182">
        <v>16</v>
      </c>
      <c r="BU12"/>
      <c r="BV12" s="172">
        <f t="shared" si="12"/>
        <v>1232</v>
      </c>
      <c r="BW12"/>
      <c r="BX12" s="172">
        <f t="shared" si="13"/>
        <v>1232</v>
      </c>
      <c r="CA12" s="168">
        <v>37213</v>
      </c>
      <c r="CB12" s="170">
        <v>0</v>
      </c>
      <c r="CC12"/>
      <c r="CD12" s="183">
        <v>1</v>
      </c>
      <c r="CE12" s="182">
        <v>0</v>
      </c>
      <c r="CF12"/>
      <c r="CG12" s="172">
        <f t="shared" si="14"/>
        <v>551</v>
      </c>
      <c r="CH12"/>
      <c r="CI12" s="172">
        <f t="shared" si="15"/>
        <v>570</v>
      </c>
      <c r="CL12" s="168">
        <v>37585</v>
      </c>
      <c r="CM12" s="170">
        <v>0</v>
      </c>
      <c r="CN12"/>
      <c r="CO12" s="183">
        <v>1</v>
      </c>
      <c r="CP12" s="182">
        <v>0</v>
      </c>
      <c r="CQ12"/>
      <c r="CR12" s="172">
        <f t="shared" si="6"/>
        <v>1344</v>
      </c>
      <c r="CS12"/>
      <c r="CT12" s="172">
        <f t="shared" si="7"/>
        <v>1344</v>
      </c>
      <c r="CW12" s="168">
        <v>43394</v>
      </c>
      <c r="CX12" s="170">
        <f>751+120</f>
        <v>871</v>
      </c>
      <c r="CY12"/>
      <c r="CZ12" s="171">
        <v>0.9</v>
      </c>
      <c r="DA12" s="172">
        <f>CX12/CZ12</f>
        <v>967.77777777777771</v>
      </c>
      <c r="DB12"/>
      <c r="DC12" s="172">
        <f t="shared" si="16"/>
        <v>17358</v>
      </c>
      <c r="DD12"/>
      <c r="DE12" s="172">
        <f t="shared" si="17"/>
        <v>19286.666666666664</v>
      </c>
      <c r="DG12" s="168">
        <v>40480</v>
      </c>
      <c r="DH12" s="8">
        <v>0</v>
      </c>
      <c r="DI12" s="8">
        <v>4</v>
      </c>
      <c r="DJ12" s="184">
        <f t="shared" si="18"/>
        <v>4</v>
      </c>
    </row>
    <row r="13" spans="1:114" s="8" customFormat="1" ht="18" customHeight="1" x14ac:dyDescent="0.2">
      <c r="A13" s="1">
        <v>2003</v>
      </c>
      <c r="B13" s="6"/>
      <c r="C13" s="6"/>
      <c r="D13" s="6"/>
      <c r="E13" s="6"/>
      <c r="F13" s="6"/>
      <c r="G13" s="6">
        <v>8</v>
      </c>
      <c r="H13" s="6"/>
      <c r="I13" s="365">
        <v>77</v>
      </c>
      <c r="J13" s="6">
        <v>70</v>
      </c>
      <c r="K13" s="6"/>
      <c r="L13" s="6"/>
      <c r="M13" s="6"/>
      <c r="N13" s="6">
        <v>9</v>
      </c>
      <c r="O13" s="6">
        <v>1</v>
      </c>
      <c r="P13" s="6">
        <v>1</v>
      </c>
      <c r="Q13" s="6"/>
      <c r="R13" s="6"/>
      <c r="S13" s="6">
        <v>0</v>
      </c>
      <c r="T13" s="1"/>
      <c r="U13" s="1"/>
      <c r="V13" s="1"/>
      <c r="W13" s="1"/>
      <c r="X13" s="7">
        <v>137</v>
      </c>
      <c r="Y13" s="7" t="s">
        <v>5</v>
      </c>
      <c r="Z13" s="10">
        <v>22</v>
      </c>
      <c r="AB13">
        <f t="shared" si="0"/>
        <v>1.7792207792207793</v>
      </c>
      <c r="AC13" t="s">
        <v>339</v>
      </c>
      <c r="AD13">
        <v>137</v>
      </c>
      <c r="AE13">
        <v>144</v>
      </c>
      <c r="AF13">
        <v>7</v>
      </c>
      <c r="AG13"/>
      <c r="AI13" s="168">
        <v>36459</v>
      </c>
      <c r="AJ13" s="170">
        <v>28</v>
      </c>
      <c r="AK13"/>
      <c r="AL13" s="171">
        <v>1</v>
      </c>
      <c r="AM13" s="172">
        <f t="shared" si="1"/>
        <v>28</v>
      </c>
      <c r="AN13"/>
      <c r="AO13" s="172">
        <f t="shared" si="2"/>
        <v>828</v>
      </c>
      <c r="AP13"/>
      <c r="AQ13" s="172">
        <f t="shared" si="3"/>
        <v>828</v>
      </c>
      <c r="AR13"/>
      <c r="AT13" s="168">
        <v>35726</v>
      </c>
      <c r="AU13" s="170">
        <v>111</v>
      </c>
      <c r="AV13"/>
      <c r="AW13" s="183">
        <f t="shared" si="8"/>
        <v>0.9568965517241379</v>
      </c>
      <c r="AX13" s="182">
        <v>116</v>
      </c>
      <c r="AY13"/>
      <c r="AZ13" s="172">
        <f t="shared" si="4"/>
        <v>984</v>
      </c>
      <c r="BA13"/>
      <c r="BB13" s="172">
        <f t="shared" si="5"/>
        <v>1016</v>
      </c>
      <c r="BE13" s="168">
        <v>36102</v>
      </c>
      <c r="BF13" s="170">
        <v>34</v>
      </c>
      <c r="BG13"/>
      <c r="BH13" s="183">
        <f t="shared" si="9"/>
        <v>0.91891891891891897</v>
      </c>
      <c r="BI13" s="182">
        <v>37</v>
      </c>
      <c r="BJ13"/>
      <c r="BK13" s="172">
        <f t="shared" si="10"/>
        <v>1496</v>
      </c>
      <c r="BL13"/>
      <c r="BM13" s="172">
        <f t="shared" si="11"/>
        <v>1628</v>
      </c>
      <c r="BP13" s="168">
        <v>36836</v>
      </c>
      <c r="BQ13" s="170">
        <v>2</v>
      </c>
      <c r="BR13"/>
      <c r="BS13" s="183">
        <f>BQ13/BT13</f>
        <v>1</v>
      </c>
      <c r="BT13" s="182">
        <v>2</v>
      </c>
      <c r="BU13"/>
      <c r="BV13" s="172">
        <f t="shared" si="12"/>
        <v>180</v>
      </c>
      <c r="BW13"/>
      <c r="BX13" s="172">
        <f t="shared" si="13"/>
        <v>180</v>
      </c>
      <c r="CA13" s="168">
        <v>37221</v>
      </c>
      <c r="CB13" s="170">
        <v>0</v>
      </c>
      <c r="CC13"/>
      <c r="CD13" s="183">
        <v>1</v>
      </c>
      <c r="CE13" s="182">
        <v>0</v>
      </c>
      <c r="CF13"/>
      <c r="CG13" s="172">
        <f t="shared" si="14"/>
        <v>0</v>
      </c>
      <c r="CH13"/>
      <c r="CI13" s="172">
        <f t="shared" si="15"/>
        <v>0</v>
      </c>
      <c r="CL13" s="168">
        <v>37599</v>
      </c>
      <c r="CM13" s="170">
        <v>0</v>
      </c>
      <c r="CN13"/>
      <c r="CO13" s="183">
        <v>1</v>
      </c>
      <c r="CP13" s="182">
        <v>0</v>
      </c>
      <c r="CQ13"/>
      <c r="CR13" s="172">
        <f t="shared" si="6"/>
        <v>0</v>
      </c>
      <c r="CS13"/>
      <c r="CT13" s="172">
        <f t="shared" si="7"/>
        <v>0</v>
      </c>
      <c r="CW13" s="168">
        <v>43413</v>
      </c>
      <c r="CX13" s="170">
        <f>442+114</f>
        <v>556</v>
      </c>
      <c r="CY13"/>
      <c r="CZ13" s="171">
        <v>0.9</v>
      </c>
      <c r="DA13" s="172">
        <f>CX13/CZ13</f>
        <v>617.77777777777771</v>
      </c>
      <c r="DB13"/>
      <c r="DC13" s="172">
        <f t="shared" si="16"/>
        <v>27113</v>
      </c>
      <c r="DD13"/>
      <c r="DE13" s="172">
        <f t="shared" si="17"/>
        <v>30125.555555555555</v>
      </c>
      <c r="DG13" s="168">
        <v>40486</v>
      </c>
      <c r="DH13" s="8">
        <v>0</v>
      </c>
      <c r="DJ13" s="184">
        <f t="shared" si="18"/>
        <v>0</v>
      </c>
    </row>
    <row r="14" spans="1:114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6"/>
      <c r="I14" s="6">
        <v>65</v>
      </c>
      <c r="J14" s="365">
        <v>127</v>
      </c>
      <c r="K14" s="6"/>
      <c r="L14" s="6">
        <v>69</v>
      </c>
      <c r="M14" s="6">
        <v>19</v>
      </c>
      <c r="N14" s="6"/>
      <c r="O14" s="6">
        <v>5</v>
      </c>
      <c r="P14" s="6">
        <v>0</v>
      </c>
      <c r="Q14" s="6"/>
      <c r="R14" s="6">
        <v>0</v>
      </c>
      <c r="S14" s="6"/>
      <c r="T14" s="1"/>
      <c r="U14" s="1"/>
      <c r="V14" s="1"/>
      <c r="W14" s="1"/>
      <c r="X14" s="11">
        <v>141</v>
      </c>
      <c r="Y14" s="7" t="s">
        <v>5</v>
      </c>
      <c r="Z14" s="57">
        <v>20</v>
      </c>
      <c r="AB14">
        <f t="shared" si="0"/>
        <v>1.110236220472441</v>
      </c>
      <c r="AC14" t="s">
        <v>337</v>
      </c>
      <c r="AD14">
        <v>141</v>
      </c>
      <c r="AE14">
        <v>143</v>
      </c>
      <c r="AF14">
        <v>2</v>
      </c>
      <c r="AG14"/>
      <c r="AH14" s="174"/>
      <c r="AI14" s="168">
        <v>36465</v>
      </c>
      <c r="AJ14" s="170">
        <v>17</v>
      </c>
      <c r="AK14"/>
      <c r="AL14" s="171">
        <v>1</v>
      </c>
      <c r="AM14" s="172">
        <f t="shared" si="1"/>
        <v>17</v>
      </c>
      <c r="AN14"/>
      <c r="AO14" s="172">
        <f>(AI14-AI11)*(AJ14+AJ11)</f>
        <v>2565</v>
      </c>
      <c r="AP14"/>
      <c r="AQ14" s="172">
        <f>(AI14-AI11)*(AM14+AM11)</f>
        <v>2565</v>
      </c>
      <c r="AR14"/>
      <c r="AS14" s="174"/>
      <c r="AT14" s="168">
        <v>35743</v>
      </c>
      <c r="AU14" s="170">
        <v>22</v>
      </c>
      <c r="AV14"/>
      <c r="AW14" s="183">
        <f t="shared" si="8"/>
        <v>0.95652173913043481</v>
      </c>
      <c r="AX14" s="182">
        <v>23</v>
      </c>
      <c r="AY14"/>
      <c r="AZ14" s="172">
        <f t="shared" si="4"/>
        <v>2261</v>
      </c>
      <c r="BA14"/>
      <c r="BB14" s="172">
        <f t="shared" si="5"/>
        <v>2363</v>
      </c>
      <c r="BD14" s="174"/>
      <c r="BE14" s="168">
        <v>36117</v>
      </c>
      <c r="BF14" s="170">
        <v>6</v>
      </c>
      <c r="BG14"/>
      <c r="BH14" s="183">
        <f t="shared" si="9"/>
        <v>1</v>
      </c>
      <c r="BI14" s="182">
        <v>6</v>
      </c>
      <c r="BJ14"/>
      <c r="BK14" s="172">
        <f t="shared" si="10"/>
        <v>600</v>
      </c>
      <c r="BL14"/>
      <c r="BM14" s="172">
        <f t="shared" si="11"/>
        <v>645</v>
      </c>
      <c r="BO14" s="174"/>
      <c r="BP14" s="168">
        <v>36847</v>
      </c>
      <c r="BQ14" s="170">
        <v>0</v>
      </c>
      <c r="BR14"/>
      <c r="BS14" s="183">
        <v>1</v>
      </c>
      <c r="BT14" s="182">
        <v>0</v>
      </c>
      <c r="BU14"/>
      <c r="BV14" s="172">
        <f t="shared" si="12"/>
        <v>22</v>
      </c>
      <c r="BW14"/>
      <c r="BX14" s="172">
        <f t="shared" si="13"/>
        <v>22</v>
      </c>
      <c r="BZ14" s="174"/>
      <c r="CA14" s="168">
        <v>37229</v>
      </c>
      <c r="CB14" s="170">
        <v>0</v>
      </c>
      <c r="CC14"/>
      <c r="CD14" s="183">
        <v>1</v>
      </c>
      <c r="CE14" s="182">
        <v>0</v>
      </c>
      <c r="CF14"/>
      <c r="CG14" s="172">
        <f t="shared" si="14"/>
        <v>0</v>
      </c>
      <c r="CH14"/>
      <c r="CI14" s="172">
        <f t="shared" si="15"/>
        <v>0</v>
      </c>
      <c r="CK14" s="165" t="s">
        <v>128</v>
      </c>
      <c r="CL14" s="168">
        <v>37600</v>
      </c>
      <c r="CM14" s="176">
        <v>0</v>
      </c>
      <c r="CN14"/>
      <c r="CO14" s="177"/>
      <c r="CP14" s="178">
        <v>0</v>
      </c>
      <c r="CQ14" s="179"/>
      <c r="CR14" s="172">
        <f t="shared" si="6"/>
        <v>0</v>
      </c>
      <c r="CS14"/>
      <c r="CT14" s="172">
        <f t="shared" si="7"/>
        <v>0</v>
      </c>
      <c r="CV14" s="165" t="s">
        <v>128</v>
      </c>
      <c r="CW14" s="168">
        <v>43419</v>
      </c>
      <c r="CX14" s="176">
        <v>0</v>
      </c>
      <c r="CY14"/>
      <c r="CZ14" s="177"/>
      <c r="DA14" s="178">
        <v>0</v>
      </c>
      <c r="DB14" s="179"/>
      <c r="DC14" s="172">
        <f t="shared" si="16"/>
        <v>3336</v>
      </c>
      <c r="DD14"/>
      <c r="DE14" s="172">
        <f t="shared" si="17"/>
        <v>3706.6666666666661</v>
      </c>
      <c r="DG14" s="168">
        <v>40506</v>
      </c>
      <c r="DH14" s="8">
        <v>0</v>
      </c>
      <c r="DI14" s="8">
        <v>0</v>
      </c>
      <c r="DJ14" s="184">
        <f t="shared" si="18"/>
        <v>0</v>
      </c>
    </row>
    <row r="15" spans="1:114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6"/>
      <c r="I15" s="6">
        <v>29</v>
      </c>
      <c r="J15" s="6"/>
      <c r="K15" s="365">
        <v>43</v>
      </c>
      <c r="L15" s="6"/>
      <c r="M15" s="6">
        <v>37</v>
      </c>
      <c r="N15" s="6"/>
      <c r="O15" s="6">
        <v>0</v>
      </c>
      <c r="P15" s="6">
        <v>7</v>
      </c>
      <c r="Q15" s="6">
        <v>0</v>
      </c>
      <c r="R15" s="6">
        <v>0</v>
      </c>
      <c r="S15" s="6"/>
      <c r="T15" s="1"/>
      <c r="U15" s="1"/>
      <c r="V15" s="1"/>
      <c r="W15" s="1"/>
      <c r="X15" s="11">
        <v>65</v>
      </c>
      <c r="Y15" s="7" t="s">
        <v>5</v>
      </c>
      <c r="Z15" s="54">
        <v>28</v>
      </c>
      <c r="AB15">
        <f t="shared" si="0"/>
        <v>1.5116279069767442</v>
      </c>
      <c r="AC15" t="s">
        <v>339</v>
      </c>
      <c r="AD15">
        <v>65</v>
      </c>
      <c r="AE15">
        <v>68</v>
      </c>
      <c r="AF15">
        <v>3</v>
      </c>
      <c r="AG15"/>
      <c r="AH15" s="174"/>
      <c r="AI15" s="168">
        <v>36479</v>
      </c>
      <c r="AJ15" s="170">
        <v>1</v>
      </c>
      <c r="AK15"/>
      <c r="AL15" s="171">
        <v>1</v>
      </c>
      <c r="AM15" s="172">
        <f t="shared" si="1"/>
        <v>1</v>
      </c>
      <c r="AN15"/>
      <c r="AO15" s="172">
        <f>(AI15-AI14)*(AJ15+AJ14)</f>
        <v>252</v>
      </c>
      <c r="AP15"/>
      <c r="AQ15" s="172">
        <f>(AI15-AI14)*(AM15+AM14)</f>
        <v>252</v>
      </c>
      <c r="AR15"/>
      <c r="AS15" s="174"/>
      <c r="AT15" s="168">
        <v>35770</v>
      </c>
      <c r="AU15" s="170">
        <v>0</v>
      </c>
      <c r="AV15"/>
      <c r="AW15" s="183">
        <v>1</v>
      </c>
      <c r="AX15" s="182">
        <v>0</v>
      </c>
      <c r="AY15"/>
      <c r="AZ15" s="172">
        <f t="shared" si="4"/>
        <v>594</v>
      </c>
      <c r="BA15"/>
      <c r="BB15" s="172">
        <f t="shared" si="5"/>
        <v>621</v>
      </c>
      <c r="BD15" s="174"/>
      <c r="BE15" s="168">
        <v>36147</v>
      </c>
      <c r="BF15" s="170">
        <v>0</v>
      </c>
      <c r="BG15"/>
      <c r="BH15" s="183">
        <v>1</v>
      </c>
      <c r="BI15" s="182">
        <v>0</v>
      </c>
      <c r="BJ15"/>
      <c r="BK15" s="172">
        <f t="shared" si="10"/>
        <v>180</v>
      </c>
      <c r="BL15"/>
      <c r="BM15" s="172">
        <f t="shared" si="11"/>
        <v>180</v>
      </c>
      <c r="BO15" s="174"/>
      <c r="BP15" s="168">
        <v>36864</v>
      </c>
      <c r="BQ15" s="170">
        <v>0</v>
      </c>
      <c r="BR15"/>
      <c r="BS15" s="183">
        <v>1</v>
      </c>
      <c r="BT15" s="182">
        <v>0</v>
      </c>
      <c r="BU15"/>
      <c r="BV15" s="172">
        <f t="shared" si="12"/>
        <v>0</v>
      </c>
      <c r="BW15"/>
      <c r="BX15" s="172">
        <f t="shared" si="13"/>
        <v>0</v>
      </c>
      <c r="BZ15" s="174"/>
      <c r="CA15" s="168">
        <v>37230</v>
      </c>
      <c r="CB15" s="170">
        <v>0</v>
      </c>
      <c r="CC15"/>
      <c r="CD15" s="183">
        <v>1</v>
      </c>
      <c r="CE15" s="182">
        <v>0</v>
      </c>
      <c r="CF15"/>
      <c r="CG15" s="172">
        <f t="shared" si="14"/>
        <v>0</v>
      </c>
      <c r="CH15"/>
      <c r="CI15" s="172">
        <f t="shared" si="15"/>
        <v>0</v>
      </c>
      <c r="CK15" s="165" t="s">
        <v>2</v>
      </c>
      <c r="CL15" s="167">
        <v>7</v>
      </c>
      <c r="CM15" s="167"/>
      <c r="CN15" s="167"/>
      <c r="CO15"/>
      <c r="CP15"/>
      <c r="CQ15"/>
      <c r="CR15"/>
      <c r="CS15"/>
      <c r="CT15"/>
      <c r="CV15" s="165" t="s">
        <v>2</v>
      </c>
      <c r="CW15" s="167">
        <v>7</v>
      </c>
      <c r="CX15" s="167"/>
      <c r="CY15" s="167"/>
      <c r="CZ15"/>
      <c r="DA15"/>
      <c r="DB15"/>
      <c r="DC15"/>
      <c r="DD15"/>
      <c r="DE15"/>
    </row>
    <row r="16" spans="1:114" s="8" customFormat="1" ht="18" customHeight="1" x14ac:dyDescent="0.2">
      <c r="A16" s="1">
        <v>2006</v>
      </c>
      <c r="B16" s="6"/>
      <c r="C16" s="6"/>
      <c r="D16" s="6"/>
      <c r="E16" s="6"/>
      <c r="F16" s="6">
        <v>0</v>
      </c>
      <c r="G16" s="6"/>
      <c r="H16" s="6">
        <v>35</v>
      </c>
      <c r="I16" s="6"/>
      <c r="J16" s="6">
        <v>61</v>
      </c>
      <c r="K16" s="6"/>
      <c r="L16" s="365">
        <v>90</v>
      </c>
      <c r="M16" s="6"/>
      <c r="N16" s="6">
        <v>43</v>
      </c>
      <c r="O16" s="6"/>
      <c r="P16" s="6"/>
      <c r="Q16" s="6">
        <v>0</v>
      </c>
      <c r="R16" s="6"/>
      <c r="S16" s="6">
        <v>0</v>
      </c>
      <c r="T16" s="1"/>
      <c r="U16" s="1"/>
      <c r="V16" s="1"/>
      <c r="W16" s="1"/>
      <c r="X16" s="12">
        <v>104</v>
      </c>
      <c r="Y16" s="7" t="s">
        <v>5</v>
      </c>
      <c r="Z16" s="53">
        <v>30</v>
      </c>
      <c r="AB16">
        <f t="shared" si="0"/>
        <v>1.1555555555555554</v>
      </c>
      <c r="AC16" t="s">
        <v>337</v>
      </c>
      <c r="AD16">
        <v>104</v>
      </c>
      <c r="AE16">
        <v>105</v>
      </c>
      <c r="AF16">
        <v>1</v>
      </c>
      <c r="AG16"/>
      <c r="AH16" s="174"/>
      <c r="AI16" s="168">
        <v>36494</v>
      </c>
      <c r="AJ16" s="170">
        <v>1</v>
      </c>
      <c r="AK16"/>
      <c r="AL16" s="171">
        <v>1</v>
      </c>
      <c r="AM16" s="172">
        <f t="shared" si="1"/>
        <v>1</v>
      </c>
      <c r="AN16"/>
      <c r="AO16" s="172">
        <f>(AI16-AI15)*(AJ16+AJ15)</f>
        <v>30</v>
      </c>
      <c r="AP16"/>
      <c r="AQ16" s="172">
        <f>(AI16-AI15)*(AM16+AM15)</f>
        <v>30</v>
      </c>
      <c r="AR16"/>
      <c r="AS16" s="165" t="s">
        <v>128</v>
      </c>
      <c r="AT16" s="175">
        <v>35774</v>
      </c>
      <c r="AU16" s="176">
        <v>0</v>
      </c>
      <c r="AV16"/>
      <c r="AW16" s="177"/>
      <c r="AX16" s="178">
        <v>0</v>
      </c>
      <c r="AY16" s="179"/>
      <c r="AZ16" s="172">
        <f t="shared" si="4"/>
        <v>0</v>
      </c>
      <c r="BA16"/>
      <c r="BB16" s="172">
        <f t="shared" si="5"/>
        <v>0</v>
      </c>
      <c r="BD16" s="165" t="s">
        <v>128</v>
      </c>
      <c r="BE16" s="175">
        <v>36148</v>
      </c>
      <c r="BF16" s="176">
        <v>0</v>
      </c>
      <c r="BG16"/>
      <c r="BH16" s="177"/>
      <c r="BI16" s="178">
        <v>0</v>
      </c>
      <c r="BJ16" s="179"/>
      <c r="BK16" s="172">
        <f>(BE16-BE15)*(BF16+BF15)</f>
        <v>0</v>
      </c>
      <c r="BL16"/>
      <c r="BM16" s="172">
        <f>(BE16-BE15)*(BI16+BI15)</f>
        <v>0</v>
      </c>
      <c r="BO16" s="165" t="s">
        <v>128</v>
      </c>
      <c r="BP16" s="168">
        <v>36865</v>
      </c>
      <c r="BQ16" s="176">
        <v>0</v>
      </c>
      <c r="BR16"/>
      <c r="BS16" s="177"/>
      <c r="BT16" s="178">
        <v>0</v>
      </c>
      <c r="BU16" s="179"/>
      <c r="BV16" s="172">
        <f>(BP16-BP15)*(BQ16+BQ15)</f>
        <v>0</v>
      </c>
      <c r="BW16"/>
      <c r="BX16" s="172">
        <f>(BP16-BP15)*(BT16+BT15)</f>
        <v>0</v>
      </c>
      <c r="BZ16" s="165" t="s">
        <v>128</v>
      </c>
      <c r="CA16" s="168">
        <v>37231</v>
      </c>
      <c r="CB16" s="176">
        <v>0</v>
      </c>
      <c r="CC16"/>
      <c r="CD16" s="177"/>
      <c r="CE16" s="178">
        <v>0</v>
      </c>
      <c r="CF16" s="179"/>
      <c r="CG16" s="172">
        <f>(CA16-CA15)*(CB16+CB15)</f>
        <v>0</v>
      </c>
      <c r="CH16"/>
      <c r="CI16" s="172">
        <f>(CA16-CA15)*(CE16+CE15)</f>
        <v>0</v>
      </c>
      <c r="CK16" s="165" t="s">
        <v>129</v>
      </c>
      <c r="CL16" s="167"/>
      <c r="CM16" s="167">
        <f>MAX(CM7:CM14)</f>
        <v>83</v>
      </c>
      <c r="CN16" s="167"/>
      <c r="CO16" s="167"/>
      <c r="CP16" s="167">
        <f>MAX(CP7:CP14)</f>
        <v>83</v>
      </c>
      <c r="CQ16" s="167"/>
      <c r="CR16" s="167"/>
      <c r="CS16" s="180"/>
      <c r="CT16"/>
      <c r="CV16" s="165" t="s">
        <v>129</v>
      </c>
      <c r="CW16" s="167"/>
      <c r="CX16" s="167">
        <f>MAX(CX7:CX14)</f>
        <v>871</v>
      </c>
      <c r="CY16" s="167"/>
      <c r="CZ16" s="167"/>
      <c r="DA16" s="167">
        <f>MAX(DA7:DA14)</f>
        <v>967.77777777777771</v>
      </c>
      <c r="DB16" s="167"/>
      <c r="DC16" s="167"/>
      <c r="DD16" s="180"/>
      <c r="DE16"/>
    </row>
    <row r="17" spans="1:109" s="8" customFormat="1" ht="18" customHeight="1" x14ac:dyDescent="0.2">
      <c r="A17" s="1">
        <v>2007</v>
      </c>
      <c r="B17" s="6"/>
      <c r="C17" s="6"/>
      <c r="D17" s="6"/>
      <c r="E17" s="6"/>
      <c r="F17" s="6"/>
      <c r="G17" s="6"/>
      <c r="H17" s="6">
        <v>9</v>
      </c>
      <c r="I17" s="6">
        <v>10</v>
      </c>
      <c r="J17" s="6"/>
      <c r="K17" s="365">
        <v>38</v>
      </c>
      <c r="L17" s="6"/>
      <c r="M17" s="6"/>
      <c r="N17" s="6">
        <v>18</v>
      </c>
      <c r="O17" s="6">
        <v>10</v>
      </c>
      <c r="P17" s="6"/>
      <c r="Q17" s="6"/>
      <c r="R17" s="6">
        <v>0</v>
      </c>
      <c r="S17" s="6"/>
      <c r="T17" s="1">
        <v>0</v>
      </c>
      <c r="U17" s="1"/>
      <c r="V17" s="1"/>
      <c r="W17" s="1"/>
      <c r="X17" s="12">
        <v>41</v>
      </c>
      <c r="Y17" s="7" t="s">
        <v>5</v>
      </c>
      <c r="Z17" s="54">
        <v>30</v>
      </c>
      <c r="AB17">
        <f t="shared" si="0"/>
        <v>1.0789473684210527</v>
      </c>
      <c r="AC17" t="s">
        <v>339</v>
      </c>
      <c r="AD17">
        <v>41</v>
      </c>
      <c r="AE17" t="s">
        <v>336</v>
      </c>
      <c r="AF17">
        <v>2</v>
      </c>
      <c r="AG17"/>
      <c r="AH17" s="165" t="s">
        <v>128</v>
      </c>
      <c r="AI17" s="175">
        <v>36513</v>
      </c>
      <c r="AJ17" s="176">
        <v>0</v>
      </c>
      <c r="AK17"/>
      <c r="AL17" s="177"/>
      <c r="AM17" s="178">
        <v>0</v>
      </c>
      <c r="AN17" s="179"/>
      <c r="AO17" s="172">
        <f>(AI17-AI16)*(AJ17+AJ16)</f>
        <v>19</v>
      </c>
      <c r="AP17"/>
      <c r="AQ17" s="172">
        <f>(AI17-AI16)*(AM17+AM16)</f>
        <v>19</v>
      </c>
      <c r="AR17"/>
      <c r="AS17" s="165" t="s">
        <v>2</v>
      </c>
      <c r="AT17" s="167">
        <v>7</v>
      </c>
      <c r="AU17" s="167"/>
      <c r="AV17" s="167"/>
      <c r="AW17"/>
      <c r="AX17"/>
      <c r="AY17"/>
      <c r="AZ17"/>
      <c r="BA17"/>
      <c r="BB17"/>
      <c r="BD17" s="165" t="s">
        <v>2</v>
      </c>
      <c r="BE17" s="167">
        <v>7</v>
      </c>
      <c r="BF17" s="167"/>
      <c r="BG17" s="167"/>
      <c r="BH17"/>
      <c r="BI17"/>
      <c r="BJ17"/>
      <c r="BK17"/>
      <c r="BL17"/>
      <c r="BM17"/>
      <c r="BO17" s="165" t="s">
        <v>2</v>
      </c>
      <c r="BP17" s="167">
        <v>7</v>
      </c>
      <c r="BQ17" s="167"/>
      <c r="BR17" s="167"/>
      <c r="BS17"/>
      <c r="BT17"/>
      <c r="BU17"/>
      <c r="BV17"/>
      <c r="BW17"/>
      <c r="BX17"/>
      <c r="BZ17" s="165" t="s">
        <v>2</v>
      </c>
      <c r="CA17" s="167">
        <v>7</v>
      </c>
      <c r="CB17" s="167"/>
      <c r="CC17" s="167"/>
      <c r="CD17"/>
      <c r="CE17"/>
      <c r="CF17"/>
      <c r="CG17"/>
      <c r="CH17"/>
      <c r="CI17"/>
      <c r="CK17" s="165" t="s">
        <v>130</v>
      </c>
      <c r="CL17" s="167"/>
      <c r="CM17" s="169">
        <v>27</v>
      </c>
      <c r="CN17" s="167"/>
      <c r="CO17"/>
      <c r="CP17" s="169">
        <v>27</v>
      </c>
      <c r="CV17" s="165" t="s">
        <v>130</v>
      </c>
      <c r="CW17" s="167"/>
      <c r="CX17" s="169">
        <v>40</v>
      </c>
      <c r="CY17" s="167"/>
      <c r="CZ17"/>
      <c r="DA17" s="169">
        <v>40</v>
      </c>
    </row>
    <row r="18" spans="1:109" s="8" customFormat="1" ht="18" customHeight="1" x14ac:dyDescent="0.2">
      <c r="A18" s="1">
        <v>2008</v>
      </c>
      <c r="B18" s="1"/>
      <c r="C18" s="1"/>
      <c r="D18" s="1"/>
      <c r="E18" s="1"/>
      <c r="F18" s="1">
        <v>1</v>
      </c>
      <c r="G18" s="1">
        <v>0</v>
      </c>
      <c r="H18" s="1">
        <v>0</v>
      </c>
      <c r="I18" s="1"/>
      <c r="J18" s="1">
        <v>63</v>
      </c>
      <c r="K18" s="363">
        <v>63</v>
      </c>
      <c r="L18" s="1"/>
      <c r="M18" s="1">
        <v>39</v>
      </c>
      <c r="N18" s="1">
        <v>23</v>
      </c>
      <c r="O18" s="1">
        <v>4</v>
      </c>
      <c r="P18" s="1"/>
      <c r="Q18" s="1">
        <v>0</v>
      </c>
      <c r="R18" s="1">
        <v>0</v>
      </c>
      <c r="S18" s="1"/>
      <c r="T18" s="1"/>
      <c r="U18" s="1"/>
      <c r="V18" s="1"/>
      <c r="W18" s="1"/>
      <c r="X18" s="1">
        <v>74</v>
      </c>
      <c r="Y18" s="7" t="s">
        <v>5</v>
      </c>
      <c r="Z18" s="54">
        <v>28</v>
      </c>
      <c r="AB18">
        <f t="shared" si="0"/>
        <v>1.1746031746031746</v>
      </c>
      <c r="AC18" t="s">
        <v>337</v>
      </c>
      <c r="AD18">
        <v>69</v>
      </c>
      <c r="AE18">
        <v>77</v>
      </c>
      <c r="AF18">
        <v>3</v>
      </c>
      <c r="AG18"/>
      <c r="AH18" s="165" t="s">
        <v>2</v>
      </c>
      <c r="AI18" s="167">
        <v>7</v>
      </c>
      <c r="AJ18" s="167"/>
      <c r="AK18" s="167"/>
      <c r="AL18"/>
      <c r="AM18"/>
      <c r="AN18"/>
      <c r="AO18"/>
      <c r="AP18"/>
      <c r="AQ18"/>
      <c r="AR18"/>
      <c r="AS18" s="165" t="s">
        <v>129</v>
      </c>
      <c r="AT18" s="167"/>
      <c r="AU18" s="167">
        <f>MAX(AU7:AU16)</f>
        <v>173</v>
      </c>
      <c r="AV18" s="167"/>
      <c r="AW18" s="167"/>
      <c r="AX18" s="167">
        <f>MAX(AX7:AX16)</f>
        <v>177</v>
      </c>
      <c r="AY18" s="167"/>
      <c r="AZ18" s="167"/>
      <c r="BA18" s="180"/>
      <c r="BB18"/>
      <c r="BD18" s="165" t="s">
        <v>129</v>
      </c>
      <c r="BE18" s="167"/>
      <c r="BF18" s="167">
        <f>MAX(BF7:BF16)</f>
        <v>246</v>
      </c>
      <c r="BG18" s="167"/>
      <c r="BH18" s="167"/>
      <c r="BI18" s="167">
        <f>MAX(BI7:BI16)</f>
        <v>256</v>
      </c>
      <c r="BJ18" s="167"/>
      <c r="BK18" s="167"/>
      <c r="BL18" s="180"/>
      <c r="BM18"/>
      <c r="BO18" s="165" t="s">
        <v>129</v>
      </c>
      <c r="BP18" s="167"/>
      <c r="BQ18" s="167">
        <f>MAX(BQ7:BQ16)</f>
        <v>98</v>
      </c>
      <c r="BR18" s="167"/>
      <c r="BS18" s="167"/>
      <c r="BT18" s="167">
        <f>MAX(BT7:BT16)</f>
        <v>98</v>
      </c>
      <c r="BU18" s="167"/>
      <c r="BV18" s="167"/>
      <c r="BW18" s="180"/>
      <c r="BX18"/>
      <c r="BZ18" s="165" t="s">
        <v>129</v>
      </c>
      <c r="CA18" s="167"/>
      <c r="CB18" s="167">
        <f>MAX(CB7:CB16)</f>
        <v>186</v>
      </c>
      <c r="CC18" s="167"/>
      <c r="CD18" s="167"/>
      <c r="CE18" s="167">
        <f>MAX(CE7:CE16)</f>
        <v>188</v>
      </c>
      <c r="CF18" s="167"/>
      <c r="CG18" s="167"/>
      <c r="CH18" s="180"/>
      <c r="CI18"/>
      <c r="CK18" s="165" t="s">
        <v>131</v>
      </c>
      <c r="CL18" s="167"/>
      <c r="CM18" s="181">
        <f>(0.5*SUM(CR8:CR14))/CM17</f>
        <v>127.29629629629629</v>
      </c>
      <c r="CN18" s="167"/>
      <c r="CO18"/>
      <c r="CP18" s="181">
        <f>(0.5*SUM(CT8:CT14))/CP17</f>
        <v>127.29629629629629</v>
      </c>
      <c r="CV18" s="165" t="s">
        <v>131</v>
      </c>
      <c r="CW18" s="167"/>
      <c r="CX18" s="181">
        <f>(0.5*SUM(DC8:DC14))/CX17</f>
        <v>1035.175</v>
      </c>
      <c r="CY18" s="167"/>
      <c r="CZ18"/>
      <c r="DA18" s="181">
        <f>(0.5*SUM(DE8:DE14))/DA17</f>
        <v>1175.2048611111111</v>
      </c>
    </row>
    <row r="19" spans="1:109" s="8" customFormat="1" ht="18" customHeight="1" x14ac:dyDescent="0.2">
      <c r="A19" s="1">
        <v>2009</v>
      </c>
      <c r="B19" s="1"/>
      <c r="C19" s="1"/>
      <c r="D19" s="1"/>
      <c r="E19" s="1"/>
      <c r="F19" s="1"/>
      <c r="G19" s="1"/>
      <c r="H19" s="1">
        <v>22</v>
      </c>
      <c r="I19" s="1">
        <v>24</v>
      </c>
      <c r="J19" s="363">
        <v>33</v>
      </c>
      <c r="K19" s="1"/>
      <c r="L19" s="1">
        <v>25</v>
      </c>
      <c r="M19" s="1">
        <v>20</v>
      </c>
      <c r="N19" s="1"/>
      <c r="O19" s="1">
        <v>3</v>
      </c>
      <c r="P19" s="1"/>
      <c r="Q19" s="1"/>
      <c r="R19" s="1"/>
      <c r="S19" s="1"/>
      <c r="T19" s="1">
        <v>0</v>
      </c>
      <c r="U19" s="1"/>
      <c r="V19" s="1"/>
      <c r="W19" s="1"/>
      <c r="X19" s="1">
        <v>44</v>
      </c>
      <c r="Y19" s="7" t="s">
        <v>5</v>
      </c>
      <c r="Z19" s="54">
        <v>30</v>
      </c>
      <c r="AB19">
        <f t="shared" si="0"/>
        <v>1.3333333333333333</v>
      </c>
      <c r="AC19" t="s">
        <v>341</v>
      </c>
      <c r="AD19">
        <v>44</v>
      </c>
      <c r="AE19">
        <v>46</v>
      </c>
      <c r="AF19">
        <v>2</v>
      </c>
      <c r="AG19"/>
      <c r="AH19" s="165" t="s">
        <v>129</v>
      </c>
      <c r="AI19" s="167"/>
      <c r="AJ19" s="167">
        <f>MAX(AJ7:AJ17)</f>
        <v>78</v>
      </c>
      <c r="AK19" s="167"/>
      <c r="AL19" s="167"/>
      <c r="AM19" s="167">
        <f>MAX(AM7:AM17)</f>
        <v>78</v>
      </c>
      <c r="AN19" s="167"/>
      <c r="AO19" s="167"/>
      <c r="AP19" s="180"/>
      <c r="AQ19"/>
      <c r="AR19"/>
      <c r="AS19" s="165" t="s">
        <v>130</v>
      </c>
      <c r="AT19" s="167"/>
      <c r="AU19" s="169">
        <v>25</v>
      </c>
      <c r="AV19" s="167"/>
      <c r="AW19"/>
      <c r="AX19" s="169">
        <v>30</v>
      </c>
      <c r="BD19" s="165" t="s">
        <v>130</v>
      </c>
      <c r="BE19" s="167"/>
      <c r="BF19" s="169">
        <v>25</v>
      </c>
      <c r="BG19" s="167"/>
      <c r="BH19"/>
      <c r="BI19" s="169">
        <v>20</v>
      </c>
      <c r="BO19" s="165" t="s">
        <v>130</v>
      </c>
      <c r="BP19" s="167"/>
      <c r="BQ19" s="169">
        <v>25</v>
      </c>
      <c r="BR19" s="167"/>
      <c r="BS19"/>
      <c r="BT19" s="169">
        <v>25</v>
      </c>
      <c r="BZ19" s="165" t="s">
        <v>130</v>
      </c>
      <c r="CA19" s="167"/>
      <c r="CB19" s="169">
        <v>20</v>
      </c>
      <c r="CC19" s="167"/>
      <c r="CD19"/>
      <c r="CE19" s="169">
        <v>20</v>
      </c>
    </row>
    <row r="20" spans="1:109" s="8" customFormat="1" ht="18" customHeight="1" x14ac:dyDescent="0.2">
      <c r="A20" s="1">
        <v>2010</v>
      </c>
      <c r="B20" s="1"/>
      <c r="C20" s="1"/>
      <c r="D20" s="1"/>
      <c r="E20" s="1"/>
      <c r="F20" s="1"/>
      <c r="G20" s="1"/>
      <c r="H20" s="1">
        <v>8</v>
      </c>
      <c r="I20" s="363">
        <v>31</v>
      </c>
      <c r="J20" s="1">
        <v>24</v>
      </c>
      <c r="K20" s="1"/>
      <c r="L20" s="1"/>
      <c r="M20" s="1">
        <v>28</v>
      </c>
      <c r="N20" s="1">
        <v>4</v>
      </c>
      <c r="O20" s="1"/>
      <c r="P20" s="1"/>
      <c r="Q20" s="1"/>
      <c r="R20" s="1">
        <v>0</v>
      </c>
      <c r="S20" s="1"/>
      <c r="T20" s="1"/>
      <c r="U20" s="1"/>
      <c r="V20" s="1"/>
      <c r="W20" s="1"/>
      <c r="X20" s="1">
        <v>50</v>
      </c>
      <c r="Y20" s="7" t="s">
        <v>5</v>
      </c>
      <c r="Z20" s="54">
        <v>21</v>
      </c>
      <c r="AA20" s="8">
        <v>6</v>
      </c>
      <c r="AB20">
        <f t="shared" si="0"/>
        <v>1.6129032258064515</v>
      </c>
      <c r="AC20" t="s">
        <v>339</v>
      </c>
      <c r="AD20">
        <v>50</v>
      </c>
      <c r="AE20">
        <v>65</v>
      </c>
      <c r="AF20">
        <v>15</v>
      </c>
      <c r="AG20"/>
      <c r="AH20" s="165" t="s">
        <v>130</v>
      </c>
      <c r="AI20" s="167"/>
      <c r="AJ20" s="169">
        <v>25</v>
      </c>
      <c r="AK20" s="167"/>
      <c r="AL20"/>
      <c r="AM20" s="169">
        <v>25</v>
      </c>
      <c r="AR20"/>
      <c r="AS20" s="165" t="s">
        <v>131</v>
      </c>
      <c r="AT20" s="167"/>
      <c r="AU20" s="181">
        <f>(0.5*SUM(AZ8:AZ16))/AU19</f>
        <v>321.95999999999998</v>
      </c>
      <c r="AV20" s="167"/>
      <c r="AW20"/>
      <c r="AX20" s="181">
        <f>(0.5*SUM(BB8:BB16))/AX19</f>
        <v>276.21666666666664</v>
      </c>
      <c r="BD20" s="165" t="s">
        <v>131</v>
      </c>
      <c r="BE20" s="167"/>
      <c r="BF20" s="181">
        <f>(0.5*SUM(BK8:BK16))/BF19</f>
        <v>233.72</v>
      </c>
      <c r="BG20" s="167"/>
      <c r="BH20"/>
      <c r="BI20" s="181">
        <f>(0.5*SUM(BM8:BM16))/BI19</f>
        <v>307.42500000000001</v>
      </c>
      <c r="BO20" s="165" t="s">
        <v>131</v>
      </c>
      <c r="BP20" s="167"/>
      <c r="BQ20" s="181">
        <f>(0.5*SUM(BV8:BV16))/BQ19</f>
        <v>139.80000000000001</v>
      </c>
      <c r="BR20" s="167"/>
      <c r="BS20"/>
      <c r="BT20" s="181">
        <f>(0.5*SUM(BX8:BX16))/BT19</f>
        <v>143.04</v>
      </c>
      <c r="BZ20" s="165" t="s">
        <v>131</v>
      </c>
      <c r="CA20" s="167"/>
      <c r="CB20" s="181">
        <f>(0.5*SUM(CG8:CG16))/CB19</f>
        <v>262.97500000000002</v>
      </c>
      <c r="CC20" s="167"/>
      <c r="CD20"/>
      <c r="CE20" s="181">
        <f>(0.5*SUM(CI8:CI16))/CE19</f>
        <v>266.625</v>
      </c>
      <c r="CL20" s="2"/>
      <c r="CM20" s="2">
        <v>128</v>
      </c>
      <c r="CN20" s="2"/>
      <c r="CO20" s="2"/>
      <c r="CW20" s="2"/>
      <c r="CX20" s="2">
        <v>128</v>
      </c>
      <c r="CY20" s="2"/>
      <c r="CZ20" s="2"/>
    </row>
    <row r="21" spans="1:109" s="8" customFormat="1" ht="18" customHeight="1" x14ac:dyDescent="0.2">
      <c r="A21" s="1">
        <v>2011</v>
      </c>
      <c r="B21" s="1"/>
      <c r="C21" s="1"/>
      <c r="D21" s="1"/>
      <c r="E21" s="1"/>
      <c r="F21" s="1"/>
      <c r="G21" s="1">
        <v>2</v>
      </c>
      <c r="H21" s="1">
        <v>26</v>
      </c>
      <c r="I21" s="1"/>
      <c r="J21" s="363">
        <v>53</v>
      </c>
      <c r="K21" s="1"/>
      <c r="L21" s="1"/>
      <c r="M21" s="1">
        <v>39</v>
      </c>
      <c r="N21" s="1">
        <v>21</v>
      </c>
      <c r="O21" s="1">
        <v>55</v>
      </c>
      <c r="P21" s="1"/>
      <c r="Q21" s="1">
        <v>3</v>
      </c>
      <c r="R21" s="1"/>
      <c r="S21" s="1">
        <v>0</v>
      </c>
      <c r="T21" s="1"/>
      <c r="U21" s="1"/>
      <c r="V21" s="1"/>
      <c r="W21" s="1"/>
      <c r="X21" s="1">
        <v>85</v>
      </c>
      <c r="Y21" s="7" t="s">
        <v>5</v>
      </c>
      <c r="Z21" s="54">
        <v>25</v>
      </c>
      <c r="AA21" s="8">
        <v>6</v>
      </c>
      <c r="AB21">
        <f t="shared" si="0"/>
        <v>1.5454545454545454</v>
      </c>
      <c r="AC21" t="s">
        <v>339</v>
      </c>
      <c r="AD21" s="441">
        <v>39</v>
      </c>
      <c r="AE21" s="441">
        <v>48</v>
      </c>
      <c r="AF21" s="441">
        <v>9</v>
      </c>
      <c r="AG21"/>
      <c r="AH21" s="165" t="s">
        <v>131</v>
      </c>
      <c r="AI21" s="167"/>
      <c r="AJ21" s="181">
        <f>(0.5*SUM(AO8:AO17))/AJ20</f>
        <v>160.9</v>
      </c>
      <c r="AK21" s="167"/>
      <c r="AL21"/>
      <c r="AM21" s="181">
        <f>(0.5*SUM(AQ8:AQ17))/AM20</f>
        <v>160.9</v>
      </c>
      <c r="AR21"/>
      <c r="AS21"/>
      <c r="AT21"/>
      <c r="AU21"/>
      <c r="AV21"/>
      <c r="AW21"/>
      <c r="AX21"/>
      <c r="AY21"/>
      <c r="BO21" s="2"/>
      <c r="BP21" s="2"/>
      <c r="BQ21" s="2"/>
      <c r="BR21" s="2"/>
      <c r="BS21" s="2"/>
      <c r="BZ21" s="2"/>
      <c r="CA21" s="2"/>
      <c r="CB21" s="2"/>
      <c r="CC21" s="2"/>
      <c r="CL21" s="2"/>
      <c r="CM21" s="2"/>
      <c r="CN21" s="2"/>
      <c r="CO21" s="2"/>
    </row>
    <row r="22" spans="1:109" s="8" customFormat="1" ht="18" customHeight="1" x14ac:dyDescent="0.2">
      <c r="A22" s="1">
        <v>2012</v>
      </c>
      <c r="B22" s="1"/>
      <c r="C22" s="1"/>
      <c r="D22" s="1"/>
      <c r="E22" s="1"/>
      <c r="F22" s="1">
        <f>0+3</f>
        <v>3</v>
      </c>
      <c r="G22" s="1">
        <f>6+7</f>
        <v>13</v>
      </c>
      <c r="H22" s="1">
        <f>17+17</f>
        <v>34</v>
      </c>
      <c r="I22" s="1">
        <f>55+18</f>
        <v>73</v>
      </c>
      <c r="J22" s="1">
        <f>60+33</f>
        <v>93</v>
      </c>
      <c r="K22" s="1">
        <f>38+33</f>
        <v>71</v>
      </c>
      <c r="L22" s="1"/>
      <c r="M22" s="363">
        <v>154</v>
      </c>
      <c r="N22" s="1"/>
      <c r="O22" s="1"/>
      <c r="P22" s="1">
        <v>5</v>
      </c>
      <c r="Q22" s="1"/>
      <c r="R22" s="1"/>
      <c r="S22" s="1"/>
      <c r="T22" s="1"/>
      <c r="U22" s="1"/>
      <c r="V22" s="1"/>
      <c r="W22" s="1"/>
      <c r="X22" s="1">
        <f>104+95</f>
        <v>199</v>
      </c>
      <c r="Y22" s="7" t="s">
        <v>5</v>
      </c>
      <c r="Z22" s="54">
        <f>AVERAGE(25,20)</f>
        <v>22.5</v>
      </c>
      <c r="AB22">
        <f t="shared" si="0"/>
        <v>1.2922077922077921</v>
      </c>
      <c r="AC22" t="s">
        <v>339</v>
      </c>
      <c r="AD22" s="441">
        <v>104</v>
      </c>
      <c r="AE22" s="441">
        <v>128</v>
      </c>
      <c r="AF22" s="441">
        <v>18</v>
      </c>
      <c r="AG22"/>
      <c r="AH22"/>
      <c r="AI22"/>
      <c r="AJ22"/>
      <c r="AK22"/>
      <c r="AL22"/>
      <c r="AM22"/>
      <c r="AR22"/>
      <c r="AS22"/>
      <c r="AT22"/>
      <c r="AU22"/>
      <c r="AV22"/>
      <c r="AW22"/>
      <c r="AX22"/>
      <c r="AY22"/>
      <c r="BO22" s="2"/>
      <c r="BP22" s="2"/>
      <c r="BQ22" s="2"/>
      <c r="BR22" s="2"/>
      <c r="BS22" s="2"/>
      <c r="BZ22" s="2"/>
      <c r="CA22" s="2"/>
      <c r="CB22" s="2"/>
      <c r="CC22" s="2"/>
      <c r="CL22" s="2"/>
      <c r="CM22" s="2"/>
      <c r="CN22" s="2"/>
      <c r="CO22" s="2"/>
    </row>
    <row r="23" spans="1:109" s="8" customFormat="1" ht="18" customHeight="1" x14ac:dyDescent="0.25">
      <c r="A23" s="1">
        <v>2013</v>
      </c>
      <c r="B23" s="1"/>
      <c r="C23" s="1"/>
      <c r="D23" s="1"/>
      <c r="E23" s="1"/>
      <c r="F23" s="1">
        <f>14+7</f>
        <v>21</v>
      </c>
      <c r="G23" s="1"/>
      <c r="H23" s="1">
        <f>65+19</f>
        <v>84</v>
      </c>
      <c r="I23" s="1"/>
      <c r="J23" s="363">
        <f>192+219</f>
        <v>411</v>
      </c>
      <c r="K23" s="1"/>
      <c r="L23" s="1">
        <v>262</v>
      </c>
      <c r="M23" s="1">
        <v>77</v>
      </c>
      <c r="N23" s="1">
        <v>26</v>
      </c>
      <c r="O23" s="1"/>
      <c r="P23" s="1"/>
      <c r="Q23" s="1">
        <v>0</v>
      </c>
      <c r="R23" s="1"/>
      <c r="S23" s="1"/>
      <c r="T23" s="1"/>
      <c r="U23" s="1"/>
      <c r="V23" s="1"/>
      <c r="W23" s="1"/>
      <c r="X23" s="1">
        <v>584</v>
      </c>
      <c r="Y23" s="7" t="s">
        <v>5</v>
      </c>
      <c r="Z23" s="54">
        <v>20</v>
      </c>
      <c r="AB23">
        <f t="shared" si="0"/>
        <v>1.4209245742092458</v>
      </c>
      <c r="AC23" t="s">
        <v>339</v>
      </c>
      <c r="AD23" s="441">
        <v>296</v>
      </c>
      <c r="AE23" s="441">
        <v>317</v>
      </c>
      <c r="AF23" s="441">
        <v>9</v>
      </c>
      <c r="AG23"/>
      <c r="AH23"/>
      <c r="AI23"/>
      <c r="AJ23"/>
      <c r="AK23"/>
      <c r="AL23"/>
      <c r="AM23"/>
      <c r="AR23"/>
      <c r="AS23"/>
      <c r="AT23"/>
      <c r="AU23"/>
      <c r="AV23"/>
      <c r="AW23"/>
      <c r="AX23"/>
      <c r="AY23"/>
      <c r="BO23" s="2"/>
      <c r="BP23" s="2"/>
      <c r="BQ23" s="2"/>
      <c r="BR23" s="2"/>
      <c r="BS23" s="2"/>
      <c r="BZ23" s="2"/>
      <c r="CA23" s="2"/>
      <c r="CB23" s="2"/>
      <c r="CC23" s="2"/>
      <c r="CL23" s="2"/>
      <c r="CM23" s="2"/>
      <c r="CN23" s="2"/>
      <c r="CO23" s="2"/>
      <c r="CV23" s="1013" t="s">
        <v>117</v>
      </c>
      <c r="CW23" s="1013" t="s">
        <v>118</v>
      </c>
      <c r="CX23" s="508" t="s">
        <v>119</v>
      </c>
      <c r="CY23"/>
      <c r="CZ23" s="158" t="s">
        <v>120</v>
      </c>
      <c r="DA23" s="158"/>
      <c r="DB23" s="159"/>
      <c r="DC23" s="160" t="s">
        <v>121</v>
      </c>
      <c r="DD23" s="160"/>
      <c r="DE23" s="161" t="s">
        <v>122</v>
      </c>
    </row>
    <row r="24" spans="1:109" s="8" customFormat="1" ht="18" customHeight="1" x14ac:dyDescent="0.2">
      <c r="A24" s="1">
        <v>2014</v>
      </c>
      <c r="B24" s="1"/>
      <c r="C24" s="1"/>
      <c r="D24" s="1"/>
      <c r="E24" s="1"/>
      <c r="F24" s="1"/>
      <c r="G24" s="1">
        <v>9</v>
      </c>
      <c r="H24" s="1">
        <v>24</v>
      </c>
      <c r="I24" s="1"/>
      <c r="J24" s="1">
        <v>170</v>
      </c>
      <c r="K24" s="363">
        <v>172</v>
      </c>
      <c r="L24" s="1"/>
      <c r="M24" s="1"/>
      <c r="N24" s="1"/>
      <c r="O24" s="1">
        <v>14</v>
      </c>
      <c r="P24" s="1">
        <v>2</v>
      </c>
      <c r="Q24" s="1">
        <v>0</v>
      </c>
      <c r="R24" s="1"/>
      <c r="S24" s="1"/>
      <c r="T24" s="1"/>
      <c r="U24" s="1"/>
      <c r="V24" s="1"/>
      <c r="W24" s="1"/>
      <c r="X24" s="1">
        <v>289</v>
      </c>
      <c r="Y24" s="7" t="s">
        <v>5</v>
      </c>
      <c r="Z24" s="54">
        <v>20</v>
      </c>
      <c r="AB24">
        <f t="shared" si="0"/>
        <v>1.680232558139535</v>
      </c>
      <c r="AC24" t="s">
        <v>339</v>
      </c>
      <c r="AD24" s="441">
        <v>153</v>
      </c>
      <c r="AE24" s="441">
        <v>252</v>
      </c>
      <c r="AF24" s="441">
        <v>99</v>
      </c>
      <c r="AG24"/>
      <c r="AH24"/>
      <c r="AI24"/>
      <c r="AJ24"/>
      <c r="AK24"/>
      <c r="AL24"/>
      <c r="AM24"/>
      <c r="AR24"/>
      <c r="AS24"/>
      <c r="AT24"/>
      <c r="AU24"/>
      <c r="AV24"/>
      <c r="AW24"/>
      <c r="AX24"/>
      <c r="AY24"/>
      <c r="BO24" s="2"/>
      <c r="BP24" s="2"/>
      <c r="BQ24" s="2"/>
      <c r="BR24" s="2"/>
      <c r="BS24" s="2"/>
      <c r="BZ24" s="2"/>
      <c r="CA24" s="2"/>
      <c r="CB24" s="2"/>
      <c r="CC24" s="2"/>
      <c r="CL24" s="2"/>
      <c r="CM24" s="2"/>
      <c r="CN24" s="2"/>
      <c r="CO24" s="2"/>
      <c r="CP24" s="2"/>
      <c r="CQ24" s="2"/>
      <c r="CR24" s="2"/>
      <c r="CS24" s="2"/>
      <c r="CT24" s="2"/>
      <c r="CV24" s="1014"/>
      <c r="CW24" s="1014"/>
      <c r="CX24" s="507" t="s">
        <v>123</v>
      </c>
      <c r="CY24"/>
      <c r="CZ24" s="163" t="s">
        <v>124</v>
      </c>
      <c r="DA24" s="163" t="s">
        <v>125</v>
      </c>
      <c r="DB24" s="163"/>
      <c r="DC24" s="164" t="s">
        <v>126</v>
      </c>
      <c r="DD24"/>
      <c r="DE24" s="164" t="s">
        <v>126</v>
      </c>
    </row>
    <row r="25" spans="1:109" s="8" customFormat="1" ht="18" customHeight="1" x14ac:dyDescent="0.2">
      <c r="A25" s="1">
        <v>2015</v>
      </c>
      <c r="B25" s="1"/>
      <c r="C25" s="1"/>
      <c r="D25" s="1"/>
      <c r="E25" s="1"/>
      <c r="F25" s="1"/>
      <c r="G25" s="124">
        <v>55</v>
      </c>
      <c r="H25" s="13"/>
      <c r="I25" s="13"/>
      <c r="J25" s="124">
        <f>44+298</f>
        <v>342</v>
      </c>
      <c r="K25" s="366">
        <v>432</v>
      </c>
      <c r="L25" s="13"/>
      <c r="M25" s="124">
        <v>279</v>
      </c>
      <c r="N25" s="124">
        <v>88</v>
      </c>
      <c r="O25" s="124">
        <v>17</v>
      </c>
      <c r="P25" s="13"/>
      <c r="Q25" s="124">
        <v>1</v>
      </c>
      <c r="R25" s="124">
        <v>0</v>
      </c>
      <c r="S25" s="1"/>
      <c r="T25" s="1"/>
      <c r="U25" s="1"/>
      <c r="V25" s="1"/>
      <c r="W25" s="1"/>
      <c r="X25" s="1">
        <v>736</v>
      </c>
      <c r="Y25" s="7" t="s">
        <v>5</v>
      </c>
      <c r="Z25" s="54">
        <v>20</v>
      </c>
      <c r="AB25">
        <f t="shared" si="0"/>
        <v>1.7037037037037037</v>
      </c>
      <c r="AC25" t="s">
        <v>339</v>
      </c>
      <c r="AD25" s="441">
        <v>551</v>
      </c>
      <c r="AE25" s="441">
        <v>601</v>
      </c>
      <c r="AF25" s="441">
        <v>40</v>
      </c>
      <c r="AG25"/>
      <c r="AH25"/>
      <c r="AI25"/>
      <c r="AJ25"/>
      <c r="AK25"/>
      <c r="AL25"/>
      <c r="AM25"/>
      <c r="AR25"/>
      <c r="AS25"/>
      <c r="AT25"/>
      <c r="AU25"/>
      <c r="AV25"/>
      <c r="AW25"/>
      <c r="AX25"/>
      <c r="AY25"/>
      <c r="BO25" s="2"/>
      <c r="BP25" s="2"/>
      <c r="BQ25" s="2"/>
      <c r="BR25" s="2"/>
      <c r="BS25" s="2"/>
      <c r="BZ25" s="2"/>
      <c r="CA25" s="2"/>
      <c r="CB25" s="2"/>
      <c r="CC25" s="2"/>
      <c r="CL25" s="2"/>
      <c r="CM25" s="2"/>
      <c r="CN25" s="2"/>
      <c r="CO25" s="2"/>
      <c r="CP25" s="2"/>
      <c r="CQ25" s="2"/>
      <c r="CR25" s="2"/>
      <c r="CS25" s="2"/>
      <c r="CT25" s="2"/>
      <c r="CV25" s="165"/>
      <c r="CW25" s="166"/>
      <c r="CX25" s="167"/>
      <c r="CY25"/>
      <c r="CZ25"/>
      <c r="DA25"/>
      <c r="DB25"/>
      <c r="DC25"/>
      <c r="DD25"/>
      <c r="DE25"/>
    </row>
    <row r="26" spans="1:109" s="8" customFormat="1" ht="18" customHeight="1" x14ac:dyDescent="0.2">
      <c r="A26" s="1">
        <v>2016</v>
      </c>
      <c r="B26" s="1"/>
      <c r="C26" s="1"/>
      <c r="D26" s="1"/>
      <c r="E26" s="1"/>
      <c r="F26" s="1"/>
      <c r="G26" s="124">
        <f>33+20</f>
        <v>53</v>
      </c>
      <c r="H26" s="1"/>
      <c r="I26" s="1"/>
      <c r="J26" s="124">
        <f>198+82</f>
        <v>280</v>
      </c>
      <c r="K26" s="1"/>
      <c r="L26" s="367">
        <f>185+197</f>
        <v>382</v>
      </c>
      <c r="M26" s="1"/>
      <c r="N26" s="1"/>
      <c r="O26" s="300">
        <f>71+14</f>
        <v>85</v>
      </c>
      <c r="P26" s="1"/>
      <c r="Q26" s="123">
        <v>3</v>
      </c>
      <c r="R26" s="1"/>
      <c r="S26" s="1"/>
      <c r="T26" s="123">
        <v>0</v>
      </c>
      <c r="U26" s="1"/>
      <c r="V26" s="1"/>
      <c r="W26" s="1"/>
      <c r="X26" s="1">
        <v>652</v>
      </c>
      <c r="Y26" s="7"/>
      <c r="Z26" s="54">
        <v>25</v>
      </c>
      <c r="AB26">
        <f t="shared" si="0"/>
        <v>1.706806282722513</v>
      </c>
      <c r="AC26"/>
      <c r="AD26"/>
      <c r="AE26"/>
      <c r="AF26"/>
      <c r="AG26"/>
      <c r="AH26"/>
      <c r="AI26"/>
      <c r="AJ26"/>
      <c r="AK26"/>
      <c r="AL26"/>
      <c r="AM26"/>
      <c r="AR26"/>
      <c r="AS26"/>
      <c r="AT26"/>
      <c r="AU26"/>
      <c r="AV26"/>
      <c r="AW26"/>
      <c r="AX26"/>
      <c r="AY26"/>
      <c r="BO26" s="2"/>
      <c r="BP26" s="2"/>
      <c r="BQ26" s="2"/>
      <c r="BR26" s="2"/>
      <c r="BS26" s="2"/>
      <c r="BZ26" s="2"/>
      <c r="CA26" s="2"/>
      <c r="CB26" s="2"/>
      <c r="CC26" s="2"/>
      <c r="CL26" s="2"/>
      <c r="CM26" s="2"/>
      <c r="CN26" s="2"/>
      <c r="CO26" s="2"/>
      <c r="CP26" s="2"/>
      <c r="CQ26" s="2"/>
      <c r="CR26" s="2"/>
      <c r="CS26" s="2"/>
      <c r="CT26" s="2"/>
      <c r="CV26" s="165" t="s">
        <v>26</v>
      </c>
      <c r="CW26" s="166"/>
      <c r="CX26" s="167"/>
      <c r="CY26"/>
      <c r="CZ26"/>
      <c r="DA26"/>
      <c r="DB26"/>
      <c r="DC26"/>
      <c r="DD26"/>
      <c r="DE26"/>
    </row>
    <row r="27" spans="1:109" s="8" customFormat="1" ht="18" customHeight="1" x14ac:dyDescent="0.2">
      <c r="A27" s="1">
        <v>2017</v>
      </c>
      <c r="B27" s="1"/>
      <c r="C27" s="1"/>
      <c r="D27" s="1"/>
      <c r="E27" s="1"/>
      <c r="F27" s="1"/>
      <c r="G27" s="124">
        <v>12</v>
      </c>
      <c r="H27" s="124">
        <f>366+5</f>
        <v>371</v>
      </c>
      <c r="I27" s="124">
        <v>370</v>
      </c>
      <c r="J27" s="1"/>
      <c r="K27" s="366">
        <v>442</v>
      </c>
      <c r="L27" s="1"/>
      <c r="M27" s="300">
        <f>90+94</f>
        <v>184</v>
      </c>
      <c r="N27" s="1"/>
      <c r="O27" s="124">
        <v>31</v>
      </c>
      <c r="P27" s="1"/>
      <c r="Q27" s="1"/>
      <c r="R27" s="1"/>
      <c r="S27" s="1"/>
      <c r="T27" s="1"/>
      <c r="U27" s="1"/>
      <c r="V27" s="1"/>
      <c r="W27" s="1"/>
      <c r="X27" s="1">
        <v>769</v>
      </c>
      <c r="Y27" s="7"/>
      <c r="Z27" s="54">
        <v>25</v>
      </c>
      <c r="AB27">
        <f>X27/MAX(B27:W27)</f>
        <v>1.7398190045248869</v>
      </c>
      <c r="AC27"/>
      <c r="AD27"/>
      <c r="AE27"/>
      <c r="AF27"/>
      <c r="AG27"/>
      <c r="AH27"/>
      <c r="AI27"/>
      <c r="AJ27"/>
      <c r="AK27"/>
      <c r="AL27"/>
      <c r="AM27"/>
      <c r="AR27"/>
      <c r="AS27"/>
      <c r="AT27"/>
      <c r="AU27"/>
      <c r="AV27"/>
      <c r="AW27"/>
      <c r="AX27"/>
      <c r="AY27"/>
      <c r="BO27" s="2"/>
      <c r="BP27" s="2"/>
      <c r="BQ27" s="2"/>
      <c r="BR27" s="2"/>
      <c r="BS27" s="2"/>
      <c r="BZ27" s="2"/>
      <c r="CA27" s="2"/>
      <c r="CB27" s="2"/>
      <c r="CC27" s="2"/>
      <c r="CL27" s="2"/>
      <c r="CM27" s="2"/>
      <c r="CN27" s="2"/>
      <c r="CO27" s="2"/>
      <c r="CP27" s="2"/>
      <c r="CQ27" s="2"/>
      <c r="CR27" s="2"/>
      <c r="CS27" s="2"/>
      <c r="CT27" s="2"/>
      <c r="CV27" s="165" t="s">
        <v>127</v>
      </c>
      <c r="CW27" s="168">
        <v>42979</v>
      </c>
      <c r="CX27" s="167">
        <v>0</v>
      </c>
      <c r="CY27"/>
      <c r="CZ27"/>
      <c r="DA27" s="169">
        <v>0</v>
      </c>
      <c r="DB27"/>
      <c r="DC27"/>
      <c r="DD27"/>
      <c r="DE27"/>
    </row>
    <row r="28" spans="1:109" s="8" customFormat="1" ht="18" customHeight="1" x14ac:dyDescent="0.2">
      <c r="A28" s="1">
        <v>2018</v>
      </c>
      <c r="B28" s="1"/>
      <c r="C28" s="1"/>
      <c r="D28" s="1"/>
      <c r="E28" s="1"/>
      <c r="F28" s="1"/>
      <c r="G28" s="1"/>
      <c r="H28" s="124">
        <v>291</v>
      </c>
      <c r="I28" s="1"/>
      <c r="J28" s="124">
        <v>359</v>
      </c>
      <c r="K28" s="300">
        <v>393</v>
      </c>
      <c r="L28" s="124">
        <v>338</v>
      </c>
      <c r="M28" s="1"/>
      <c r="N28" s="1"/>
      <c r="O28" s="124">
        <v>5</v>
      </c>
      <c r="P28" s="1"/>
      <c r="Q28" s="1"/>
      <c r="R28" s="1"/>
      <c r="S28" s="1"/>
      <c r="T28" s="1"/>
      <c r="U28" s="1"/>
      <c r="V28" s="1"/>
      <c r="W28" s="1"/>
      <c r="X28" s="1">
        <f>242+457</f>
        <v>699</v>
      </c>
      <c r="Y28" s="7"/>
      <c r="Z28" s="54">
        <v>25</v>
      </c>
      <c r="AB28">
        <f>X28/MAX(B28:W28)</f>
        <v>1.7786259541984732</v>
      </c>
      <c r="AC28"/>
      <c r="AD28"/>
      <c r="AE28"/>
      <c r="AF28"/>
      <c r="AG28"/>
      <c r="AH28"/>
      <c r="AI28"/>
      <c r="AJ28"/>
      <c r="AK28"/>
      <c r="AL28"/>
      <c r="AM28"/>
      <c r="AR28"/>
      <c r="AS28"/>
      <c r="AT28"/>
      <c r="AU28"/>
      <c r="AV28"/>
      <c r="AW28"/>
      <c r="AX28"/>
      <c r="AY28"/>
      <c r="BO28" s="2"/>
      <c r="BP28" s="2"/>
      <c r="BQ28" s="2"/>
      <c r="BR28" s="2"/>
      <c r="BS28" s="2"/>
      <c r="BZ28" s="2"/>
      <c r="CA28" s="2"/>
      <c r="CB28" s="2"/>
      <c r="CC28" s="2"/>
      <c r="CL28" s="2"/>
      <c r="CM28" s="2"/>
      <c r="CN28" s="2"/>
      <c r="CO28" s="2"/>
      <c r="CP28" s="2"/>
      <c r="CQ28" s="2"/>
      <c r="CR28" s="2"/>
      <c r="CS28" s="2"/>
      <c r="CT28" s="2"/>
      <c r="CV28" s="165"/>
      <c r="CW28" s="168"/>
      <c r="CX28" s="167"/>
      <c r="CY28"/>
      <c r="CZ28"/>
      <c r="DA28" s="169"/>
      <c r="DB28"/>
      <c r="DC28"/>
      <c r="DD28"/>
      <c r="DE28"/>
    </row>
    <row r="29" spans="1:109" s="8" customFormat="1" ht="18" customHeight="1" x14ac:dyDescent="0.2">
      <c r="A29" s="1">
        <v>2019</v>
      </c>
      <c r="B29" s="1"/>
      <c r="C29" s="1"/>
      <c r="D29" s="1"/>
      <c r="E29" s="1"/>
      <c r="F29" s="1"/>
      <c r="G29" s="124">
        <v>7</v>
      </c>
      <c r="H29" s="124">
        <v>214</v>
      </c>
      <c r="I29" s="124">
        <f>62+192</f>
        <v>254</v>
      </c>
      <c r="J29" s="1"/>
      <c r="K29" s="565">
        <v>233</v>
      </c>
      <c r="L29" s="300">
        <v>331</v>
      </c>
      <c r="M29" s="1"/>
      <c r="N29" s="123">
        <v>38</v>
      </c>
      <c r="O29" s="123">
        <v>10</v>
      </c>
      <c r="P29" s="1"/>
      <c r="Q29" s="1"/>
      <c r="R29" s="1"/>
      <c r="S29" s="1"/>
      <c r="T29" s="1"/>
      <c r="U29" s="1"/>
      <c r="V29" s="1"/>
      <c r="W29" s="1"/>
      <c r="X29" s="1">
        <v>379</v>
      </c>
      <c r="Y29" s="7"/>
      <c r="Z29" s="54">
        <v>25</v>
      </c>
      <c r="AB29">
        <f>X29/MAX(B29:W29)</f>
        <v>1.1450151057401812</v>
      </c>
      <c r="AC29"/>
      <c r="AD29"/>
      <c r="AE29"/>
      <c r="AF29"/>
      <c r="AG29"/>
      <c r="AH29"/>
      <c r="AI29"/>
      <c r="AJ29"/>
      <c r="AK29"/>
      <c r="AL29"/>
      <c r="AM29"/>
      <c r="AR29"/>
      <c r="AS29"/>
      <c r="AT29"/>
      <c r="AU29"/>
      <c r="AV29"/>
      <c r="AW29"/>
      <c r="AX29"/>
      <c r="AY29"/>
      <c r="BO29" s="2"/>
      <c r="BP29" s="2"/>
      <c r="BQ29" s="2"/>
      <c r="BR29" s="2"/>
      <c r="BS29" s="2"/>
      <c r="BZ29" s="2"/>
      <c r="CA29" s="2"/>
      <c r="CB29" s="2"/>
      <c r="CC29" s="2"/>
      <c r="CL29" s="2"/>
      <c r="CM29" s="2"/>
      <c r="CN29" s="2"/>
      <c r="CO29" s="2"/>
      <c r="CP29" s="2"/>
      <c r="CQ29" s="2"/>
      <c r="CR29" s="2"/>
      <c r="CS29" s="2"/>
      <c r="CT29" s="2"/>
      <c r="CV29" s="165"/>
      <c r="CW29" s="168"/>
      <c r="CX29" s="167"/>
      <c r="CY29"/>
      <c r="CZ29"/>
      <c r="DA29" s="169"/>
      <c r="DB29"/>
      <c r="DC29"/>
      <c r="DD29"/>
      <c r="DE29"/>
    </row>
    <row r="30" spans="1:109" s="8" customFormat="1" ht="18" customHeight="1" x14ac:dyDescent="0.2">
      <c r="A30" s="1">
        <v>2020</v>
      </c>
      <c r="B30" s="1"/>
      <c r="C30" s="1"/>
      <c r="D30" s="1"/>
      <c r="E30" s="1"/>
      <c r="F30" s="1"/>
      <c r="G30" s="106">
        <v>49</v>
      </c>
      <c r="H30" s="1"/>
      <c r="I30" s="106">
        <v>161</v>
      </c>
      <c r="J30" s="1"/>
      <c r="K30" s="692">
        <v>292</v>
      </c>
      <c r="L30" s="1"/>
      <c r="M30" s="106">
        <f>46+85</f>
        <v>131</v>
      </c>
      <c r="N30" s="1"/>
      <c r="O30" s="1"/>
      <c r="P30" s="106">
        <v>4</v>
      </c>
      <c r="Q30" s="1"/>
      <c r="R30" s="1"/>
      <c r="S30" s="1"/>
      <c r="T30" s="1"/>
      <c r="U30" s="1"/>
      <c r="V30" s="1"/>
      <c r="W30" s="1"/>
      <c r="X30" s="1">
        <f>294+91</f>
        <v>385</v>
      </c>
      <c r="Y30" s="7"/>
      <c r="Z30" s="54"/>
      <c r="AB30">
        <f t="shared" ref="AB30:AB32" si="19">X30/MAX(B30:W30)</f>
        <v>1.3184931506849316</v>
      </c>
      <c r="AC30"/>
      <c r="AD30"/>
      <c r="AE30"/>
      <c r="AF30"/>
      <c r="AG30"/>
      <c r="AH30"/>
      <c r="AI30"/>
      <c r="AJ30"/>
      <c r="AK30"/>
      <c r="AL30"/>
      <c r="AM30"/>
      <c r="AR30"/>
      <c r="AS30"/>
      <c r="AT30"/>
      <c r="AU30"/>
      <c r="AV30"/>
      <c r="AW30"/>
      <c r="AX30"/>
      <c r="AY30"/>
      <c r="BO30" s="2"/>
      <c r="BP30" s="2"/>
      <c r="BQ30" s="2"/>
      <c r="BR30" s="2"/>
      <c r="BS30" s="2"/>
      <c r="BZ30" s="2"/>
      <c r="CA30" s="2"/>
      <c r="CB30" s="2"/>
      <c r="CC30" s="2"/>
      <c r="CL30" s="2"/>
      <c r="CM30" s="2"/>
      <c r="CN30" s="2"/>
      <c r="CO30" s="2"/>
      <c r="CP30" s="2"/>
      <c r="CQ30" s="2"/>
      <c r="CR30" s="2"/>
      <c r="CS30" s="2"/>
      <c r="CT30" s="2"/>
      <c r="CV30" s="165"/>
      <c r="CW30" s="168"/>
      <c r="CX30" s="167"/>
      <c r="CY30"/>
      <c r="CZ30"/>
      <c r="DA30" s="169"/>
      <c r="DB30"/>
      <c r="DC30"/>
      <c r="DD30"/>
      <c r="DE30"/>
    </row>
    <row r="31" spans="1:109" s="94" customFormat="1" ht="18" customHeight="1" x14ac:dyDescent="0.2">
      <c r="A31" s="227">
        <v>2021</v>
      </c>
      <c r="B31" s="227"/>
      <c r="C31" s="227"/>
      <c r="D31" s="227"/>
      <c r="E31" s="227"/>
      <c r="F31" s="227"/>
      <c r="G31" s="227"/>
      <c r="H31" s="106">
        <f>106+9</f>
        <v>115</v>
      </c>
      <c r="I31" s="106">
        <f>183+23</f>
        <v>206</v>
      </c>
      <c r="J31" s="227"/>
      <c r="K31" s="692">
        <v>276</v>
      </c>
      <c r="L31" s="227"/>
      <c r="M31" s="227"/>
      <c r="N31" s="227"/>
      <c r="O31" s="106">
        <v>17</v>
      </c>
      <c r="P31" s="227"/>
      <c r="Q31" s="227"/>
      <c r="R31" s="227"/>
      <c r="S31" s="227"/>
      <c r="T31" s="227"/>
      <c r="U31" s="227"/>
      <c r="V31" s="227"/>
      <c r="W31" s="227"/>
      <c r="X31" s="227">
        <v>414</v>
      </c>
      <c r="Y31" s="11"/>
      <c r="Z31" s="210">
        <v>25</v>
      </c>
      <c r="AB31">
        <f t="shared" si="19"/>
        <v>1.5</v>
      </c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R31" s="151"/>
      <c r="AS31" s="151"/>
      <c r="AT31" s="151"/>
      <c r="AU31" s="151"/>
      <c r="AV31" s="151"/>
      <c r="AW31" s="151"/>
      <c r="AX31" s="151"/>
      <c r="AY31" s="151"/>
      <c r="BO31" s="150"/>
      <c r="BP31" s="150"/>
      <c r="BQ31" s="150"/>
      <c r="BR31" s="150"/>
      <c r="BS31" s="150"/>
      <c r="BZ31" s="150"/>
      <c r="CA31" s="150"/>
      <c r="CB31" s="150"/>
      <c r="CC31" s="150"/>
      <c r="CL31" s="150"/>
      <c r="CM31" s="150"/>
      <c r="CN31" s="150"/>
      <c r="CO31" s="150"/>
      <c r="CP31" s="150"/>
      <c r="CQ31" s="150"/>
      <c r="CR31" s="150"/>
      <c r="CS31" s="150"/>
      <c r="CT31" s="150"/>
      <c r="CV31" s="299"/>
      <c r="CW31" s="744"/>
      <c r="CX31" s="369"/>
      <c r="CY31" s="151"/>
      <c r="CZ31" s="151"/>
      <c r="DA31" s="151"/>
      <c r="DB31" s="151"/>
      <c r="DC31" s="151"/>
      <c r="DD31" s="151"/>
      <c r="DE31" s="151"/>
    </row>
    <row r="32" spans="1:109" s="94" customFormat="1" ht="18" customHeight="1" x14ac:dyDescent="0.2">
      <c r="A32" s="227">
        <v>2022</v>
      </c>
      <c r="B32" s="227"/>
      <c r="C32" s="227"/>
      <c r="D32" s="227"/>
      <c r="E32" s="227"/>
      <c r="F32" s="227"/>
      <c r="G32" s="227"/>
      <c r="H32" s="106">
        <v>23</v>
      </c>
      <c r="I32" s="106">
        <v>44</v>
      </c>
      <c r="J32" s="227"/>
      <c r="K32" s="874"/>
      <c r="L32" s="156">
        <v>39</v>
      </c>
      <c r="M32" s="227"/>
      <c r="N32" s="227"/>
      <c r="O32" s="227"/>
      <c r="P32" s="156">
        <v>49</v>
      </c>
      <c r="Q32" s="227"/>
      <c r="R32" s="227"/>
      <c r="S32" s="227"/>
      <c r="T32" s="227"/>
      <c r="U32" s="227"/>
      <c r="V32" s="227"/>
      <c r="W32" s="227"/>
      <c r="X32" s="227">
        <v>113</v>
      </c>
      <c r="Y32" s="11"/>
      <c r="Z32" s="210"/>
      <c r="AB32">
        <f t="shared" si="19"/>
        <v>2.306122448979592</v>
      </c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R32" s="151"/>
      <c r="AS32" s="151"/>
      <c r="AT32" s="151"/>
      <c r="AU32" s="151"/>
      <c r="AV32" s="151"/>
      <c r="AW32" s="151"/>
      <c r="AX32" s="151"/>
      <c r="AY32" s="151"/>
      <c r="BO32" s="150"/>
      <c r="BP32" s="150"/>
      <c r="BQ32" s="150"/>
      <c r="BR32" s="150"/>
      <c r="BS32" s="150"/>
      <c r="BZ32" s="150"/>
      <c r="CA32" s="150"/>
      <c r="CB32" s="150"/>
      <c r="CC32" s="150"/>
      <c r="CL32" s="150"/>
      <c r="CM32" s="150"/>
      <c r="CN32" s="150"/>
      <c r="CO32" s="150"/>
      <c r="CP32" s="150"/>
      <c r="CQ32" s="150"/>
      <c r="CR32" s="150"/>
      <c r="CS32" s="150"/>
      <c r="CT32" s="150"/>
      <c r="CV32" s="299"/>
      <c r="CW32" s="744"/>
      <c r="CX32" s="369"/>
      <c r="CY32" s="151"/>
      <c r="CZ32" s="151"/>
      <c r="DA32" s="151"/>
      <c r="DB32" s="151"/>
      <c r="DC32" s="151"/>
      <c r="DD32" s="151"/>
      <c r="DE32" s="151"/>
    </row>
    <row r="33" spans="1:109" s="94" customFormat="1" ht="18" customHeight="1" x14ac:dyDescent="0.2">
      <c r="A33" s="227">
        <v>2023</v>
      </c>
      <c r="B33" s="227"/>
      <c r="C33" s="227"/>
      <c r="D33" s="227"/>
      <c r="E33" s="227"/>
      <c r="F33" s="227"/>
      <c r="G33" s="106">
        <v>0</v>
      </c>
      <c r="H33" s="106">
        <v>20</v>
      </c>
      <c r="I33" s="227"/>
      <c r="J33" s="536">
        <v>234</v>
      </c>
      <c r="K33" s="536">
        <v>231</v>
      </c>
      <c r="L33" s="227"/>
      <c r="M33" s="227"/>
      <c r="N33" s="106">
        <v>35</v>
      </c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11"/>
      <c r="Z33" s="210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R33" s="151"/>
      <c r="AS33" s="151"/>
      <c r="AT33" s="151"/>
      <c r="AU33" s="151"/>
      <c r="AV33" s="151"/>
      <c r="AW33" s="151"/>
      <c r="AX33" s="151"/>
      <c r="AY33" s="151"/>
      <c r="BO33" s="150"/>
      <c r="BP33" s="150"/>
      <c r="BQ33" s="150"/>
      <c r="BR33" s="150"/>
      <c r="BS33" s="150"/>
      <c r="BZ33" s="150"/>
      <c r="CA33" s="150"/>
      <c r="CB33" s="150"/>
      <c r="CC33" s="150"/>
      <c r="CL33" s="150"/>
      <c r="CM33" s="150"/>
      <c r="CN33" s="150"/>
      <c r="CO33" s="150"/>
      <c r="CP33" s="150"/>
      <c r="CQ33" s="150"/>
      <c r="CR33" s="150"/>
      <c r="CS33" s="150"/>
      <c r="CT33" s="150"/>
      <c r="CV33" s="299"/>
      <c r="CW33" s="744"/>
      <c r="CX33" s="369"/>
      <c r="CY33" s="151"/>
      <c r="CZ33" s="151"/>
      <c r="DA33" s="151"/>
      <c r="DB33" s="151"/>
      <c r="DC33" s="151"/>
      <c r="DD33" s="151"/>
      <c r="DE33" s="151"/>
    </row>
    <row r="34" spans="1:109" s="8" customFormat="1" ht="18" customHeight="1" x14ac:dyDescent="0.2">
      <c r="A34" s="64" t="s">
        <v>17</v>
      </c>
      <c r="B34" s="16"/>
      <c r="C34" s="16">
        <f>AVERAGE(C5:C19)</f>
        <v>0</v>
      </c>
      <c r="D34" s="16">
        <f t="shared" ref="D34:V34" si="20">AVERAGE(D5:D19)</f>
        <v>3</v>
      </c>
      <c r="E34" s="16"/>
      <c r="F34" s="16">
        <f t="shared" si="20"/>
        <v>7.333333333333333</v>
      </c>
      <c r="G34" s="16">
        <f t="shared" si="20"/>
        <v>11.2</v>
      </c>
      <c r="H34" s="16">
        <f t="shared" si="20"/>
        <v>53.5</v>
      </c>
      <c r="I34" s="16">
        <f t="shared" si="20"/>
        <v>53.7</v>
      </c>
      <c r="J34" s="16">
        <f t="shared" si="20"/>
        <v>75.099999999999994</v>
      </c>
      <c r="K34" s="16">
        <f t="shared" si="20"/>
        <v>107.44444444444444</v>
      </c>
      <c r="L34" s="16">
        <f t="shared" si="20"/>
        <v>63.875</v>
      </c>
      <c r="M34" s="16">
        <f t="shared" si="20"/>
        <v>59.142857142857146</v>
      </c>
      <c r="N34" s="16">
        <f t="shared" si="20"/>
        <v>48.6</v>
      </c>
      <c r="O34" s="16">
        <f t="shared" si="20"/>
        <v>9.25</v>
      </c>
      <c r="P34" s="16">
        <f t="shared" si="20"/>
        <v>13.666666666666666</v>
      </c>
      <c r="Q34" s="16">
        <f t="shared" si="20"/>
        <v>1</v>
      </c>
      <c r="R34" s="16">
        <f t="shared" si="20"/>
        <v>0</v>
      </c>
      <c r="S34" s="16">
        <f t="shared" si="20"/>
        <v>0.2</v>
      </c>
      <c r="T34" s="16">
        <f t="shared" si="20"/>
        <v>0</v>
      </c>
      <c r="U34" s="16">
        <f t="shared" si="20"/>
        <v>0</v>
      </c>
      <c r="V34" s="16">
        <f t="shared" si="20"/>
        <v>0</v>
      </c>
      <c r="W34" s="16"/>
      <c r="X34" s="16">
        <f>AVERAGE(X5:X19)</f>
        <v>180</v>
      </c>
      <c r="Y34" s="17"/>
      <c r="Z34" s="16">
        <f>AVERAGE(Z5:Z19)</f>
        <v>24.666666666666668</v>
      </c>
      <c r="AB34"/>
      <c r="AC34"/>
      <c r="AD34" s="441" t="s">
        <v>347</v>
      </c>
      <c r="AE34"/>
      <c r="AF34"/>
      <c r="AG34"/>
      <c r="AH34"/>
      <c r="AI34"/>
      <c r="AJ34"/>
      <c r="AK34"/>
      <c r="AL34"/>
      <c r="AM34"/>
      <c r="AR34"/>
      <c r="AS34"/>
      <c r="AT34"/>
      <c r="AU34"/>
      <c r="AV34"/>
      <c r="AW34"/>
      <c r="AX34"/>
      <c r="AY34"/>
      <c r="AZ34" s="2"/>
      <c r="BA34" s="2"/>
      <c r="BB34" s="2"/>
      <c r="BO34" s="2"/>
      <c r="BP34" s="2"/>
      <c r="BQ34" s="2"/>
      <c r="BR34" s="2"/>
      <c r="BS34" s="2"/>
      <c r="BZ34" s="2"/>
      <c r="CA34" s="2"/>
      <c r="CB34" s="2"/>
      <c r="CC34" s="2"/>
      <c r="CL34" s="2"/>
      <c r="CM34" s="2"/>
      <c r="CN34" s="2"/>
      <c r="CO34" s="2"/>
      <c r="CP34" s="2"/>
      <c r="CQ34" s="2"/>
      <c r="CR34" s="2"/>
      <c r="CS34" s="2"/>
      <c r="CT34" s="2"/>
      <c r="CV34" s="165"/>
      <c r="CW34" s="168">
        <v>42989</v>
      </c>
      <c r="CX34" s="170">
        <v>12</v>
      </c>
      <c r="CY34"/>
      <c r="CZ34" s="183">
        <v>0.9</v>
      </c>
      <c r="DA34" s="182">
        <f t="shared" ref="DA34:DA39" si="21">CX34/CZ34</f>
        <v>13.333333333333332</v>
      </c>
      <c r="DB34"/>
      <c r="DC34" s="172">
        <f>(CW34-CW27)*(CX34+CX27)</f>
        <v>120</v>
      </c>
      <c r="DD34"/>
      <c r="DE34" s="172">
        <f>(CW34-CW27)*(DA34+DA27)</f>
        <v>133.33333333333331</v>
      </c>
    </row>
    <row r="35" spans="1:109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N35" s="8"/>
      <c r="CV35" s="165"/>
      <c r="CW35" s="168">
        <v>42999</v>
      </c>
      <c r="CX35" s="170">
        <v>366</v>
      </c>
      <c r="CY35"/>
      <c r="CZ35" s="183">
        <v>0.9</v>
      </c>
      <c r="DA35" s="182">
        <f t="shared" si="21"/>
        <v>406.66666666666663</v>
      </c>
      <c r="DB35"/>
      <c r="DC35" s="172">
        <f t="shared" ref="DC35:DC40" si="22">(CW35-CW34)*(CX35+CX34)</f>
        <v>3780</v>
      </c>
      <c r="DD35"/>
      <c r="DE35" s="172">
        <f t="shared" ref="DE35:DE40" si="23">(CW35-CW34)*(DA35+DA34)</f>
        <v>4199.9999999999991</v>
      </c>
    </row>
    <row r="36" spans="1:109" ht="18" customHeight="1" x14ac:dyDescent="0.2">
      <c r="A36" s="1002" t="s">
        <v>593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AN36" s="8"/>
      <c r="CV36" s="173"/>
      <c r="CW36" s="168">
        <v>43007</v>
      </c>
      <c r="CX36" s="170">
        <v>361</v>
      </c>
      <c r="CY36"/>
      <c r="CZ36" s="183">
        <v>0.9</v>
      </c>
      <c r="DA36" s="182">
        <f t="shared" si="21"/>
        <v>401.11111111111109</v>
      </c>
      <c r="DB36"/>
      <c r="DC36" s="172">
        <f t="shared" si="22"/>
        <v>5816</v>
      </c>
      <c r="DD36"/>
      <c r="DE36" s="172">
        <f t="shared" si="23"/>
        <v>6462.2222222222217</v>
      </c>
    </row>
    <row r="37" spans="1:109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  <c r="AN37" s="8"/>
      <c r="CV37" s="174"/>
      <c r="CW37" s="168">
        <v>43018</v>
      </c>
      <c r="CX37" s="170">
        <v>273</v>
      </c>
      <c r="CY37"/>
      <c r="CZ37" s="183">
        <v>0.9</v>
      </c>
      <c r="DA37" s="182">
        <f t="shared" si="21"/>
        <v>303.33333333333331</v>
      </c>
      <c r="DB37"/>
      <c r="DC37" s="172">
        <f t="shared" si="22"/>
        <v>6974</v>
      </c>
      <c r="DD37"/>
      <c r="DE37" s="172">
        <f t="shared" si="23"/>
        <v>7748.8888888888878</v>
      </c>
    </row>
    <row r="38" spans="1:109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  <c r="AC38" t="s">
        <v>334</v>
      </c>
      <c r="AD38" s="2"/>
      <c r="AN38" s="8"/>
      <c r="CV38" s="8"/>
      <c r="CW38" s="168">
        <v>43035</v>
      </c>
      <c r="CX38" s="170">
        <v>90</v>
      </c>
      <c r="CY38"/>
      <c r="CZ38" s="183">
        <v>0.8</v>
      </c>
      <c r="DA38" s="182">
        <f t="shared" si="21"/>
        <v>112.5</v>
      </c>
      <c r="DB38"/>
      <c r="DC38" s="172">
        <f t="shared" si="22"/>
        <v>6171</v>
      </c>
      <c r="DD38"/>
      <c r="DE38" s="172">
        <f t="shared" si="23"/>
        <v>7069.1666666666661</v>
      </c>
    </row>
    <row r="39" spans="1:109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B39" t="s">
        <v>142</v>
      </c>
      <c r="AC39" s="2" t="s">
        <v>335</v>
      </c>
      <c r="AD39" t="s">
        <v>340</v>
      </c>
      <c r="AE39" s="2" t="s">
        <v>151</v>
      </c>
      <c r="AF39" t="s">
        <v>234</v>
      </c>
      <c r="AN39" s="8"/>
      <c r="CV39" s="8"/>
      <c r="CW39" s="168">
        <v>43049</v>
      </c>
      <c r="CX39" s="170">
        <v>9</v>
      </c>
      <c r="CY39"/>
      <c r="CZ39" s="183">
        <v>0.9</v>
      </c>
      <c r="DA39" s="182">
        <f t="shared" si="21"/>
        <v>10</v>
      </c>
      <c r="DB39"/>
      <c r="DC39" s="172">
        <f t="shared" si="22"/>
        <v>1386</v>
      </c>
      <c r="DD39"/>
      <c r="DE39" s="172">
        <f t="shared" si="23"/>
        <v>1715</v>
      </c>
    </row>
    <row r="40" spans="1:109" ht="18" customHeight="1" x14ac:dyDescent="0.2">
      <c r="A40" s="1">
        <v>1995</v>
      </c>
      <c r="B40" s="6"/>
      <c r="C40" s="6"/>
      <c r="D40" s="6"/>
      <c r="E40" s="6"/>
      <c r="F40" s="6"/>
      <c r="G40" s="6"/>
      <c r="H40" s="6">
        <v>511</v>
      </c>
      <c r="I40" s="6">
        <v>802</v>
      </c>
      <c r="J40" s="6">
        <v>466</v>
      </c>
      <c r="K40" s="6"/>
      <c r="L40" s="473">
        <v>1529</v>
      </c>
      <c r="M40" s="6"/>
      <c r="N40" s="6">
        <v>1230</v>
      </c>
      <c r="O40" s="6"/>
      <c r="P40" s="6"/>
      <c r="Q40" s="6"/>
      <c r="R40" s="6"/>
      <c r="S40" s="6"/>
      <c r="T40" s="13"/>
      <c r="U40" s="13"/>
      <c r="V40" s="13"/>
      <c r="W40" s="13"/>
      <c r="X40" s="13">
        <v>2004</v>
      </c>
      <c r="Y40" s="7" t="s">
        <v>5</v>
      </c>
      <c r="Z40" s="58">
        <v>25</v>
      </c>
      <c r="AB40">
        <f>X40/MAX(B40:W40)</f>
        <v>1.3106605624591237</v>
      </c>
      <c r="AC40" t="s">
        <v>316</v>
      </c>
      <c r="AD40">
        <v>2004</v>
      </c>
      <c r="AF40">
        <v>165</v>
      </c>
      <c r="AN40" s="8"/>
      <c r="CV40" s="165" t="s">
        <v>128</v>
      </c>
      <c r="CW40" s="168">
        <v>43054</v>
      </c>
      <c r="CX40" s="176">
        <v>0</v>
      </c>
      <c r="CY40"/>
      <c r="CZ40" s="177"/>
      <c r="DA40" s="178">
        <v>0</v>
      </c>
      <c r="DB40" s="179"/>
      <c r="DC40" s="172">
        <f t="shared" si="22"/>
        <v>45</v>
      </c>
      <c r="DD40"/>
      <c r="DE40" s="172">
        <f t="shared" si="23"/>
        <v>50</v>
      </c>
    </row>
    <row r="41" spans="1:109" ht="18" customHeight="1" x14ac:dyDescent="0.2">
      <c r="A41" s="1">
        <v>1996</v>
      </c>
      <c r="B41" s="6"/>
      <c r="C41" s="6"/>
      <c r="D41" s="6"/>
      <c r="E41" s="6"/>
      <c r="F41" s="6"/>
      <c r="G41" s="6">
        <v>149</v>
      </c>
      <c r="H41" s="6">
        <v>205</v>
      </c>
      <c r="I41" s="6">
        <v>157</v>
      </c>
      <c r="J41" s="6">
        <v>0</v>
      </c>
      <c r="K41" s="473">
        <v>353</v>
      </c>
      <c r="L41" s="6"/>
      <c r="M41" s="6"/>
      <c r="N41" s="6">
        <v>282</v>
      </c>
      <c r="O41" s="6"/>
      <c r="P41" s="6">
        <v>238</v>
      </c>
      <c r="Q41" s="6"/>
      <c r="R41" s="6"/>
      <c r="S41" s="6"/>
      <c r="T41" s="13"/>
      <c r="U41" s="13"/>
      <c r="V41" s="13"/>
      <c r="W41" s="13"/>
      <c r="X41" s="13">
        <v>479</v>
      </c>
      <c r="Y41" s="7" t="s">
        <v>7</v>
      </c>
      <c r="Z41" s="60"/>
      <c r="AB41">
        <f t="shared" ref="AB41:AB62" si="24">X41/MAX(B41:W41)</f>
        <v>1.3569405099150142</v>
      </c>
      <c r="AC41" t="s">
        <v>342</v>
      </c>
      <c r="AD41">
        <v>479</v>
      </c>
      <c r="AF41">
        <v>159</v>
      </c>
      <c r="CV41" s="165" t="s">
        <v>2</v>
      </c>
      <c r="CW41" s="167">
        <v>7</v>
      </c>
      <c r="CX41" s="167"/>
      <c r="CY41" s="167"/>
      <c r="CZ41"/>
      <c r="DA41"/>
      <c r="DB41"/>
      <c r="DC41"/>
      <c r="DD41"/>
      <c r="DE41"/>
    </row>
    <row r="42" spans="1:109" ht="18" customHeight="1" x14ac:dyDescent="0.2">
      <c r="A42" s="1">
        <v>1997</v>
      </c>
      <c r="B42" s="6"/>
      <c r="C42" s="6"/>
      <c r="D42" s="6">
        <v>6</v>
      </c>
      <c r="E42" s="6"/>
      <c r="F42" s="6">
        <v>63</v>
      </c>
      <c r="G42" s="6"/>
      <c r="H42" s="6">
        <v>244</v>
      </c>
      <c r="I42" s="6"/>
      <c r="J42" s="6"/>
      <c r="K42" s="6">
        <v>326</v>
      </c>
      <c r="L42" s="6"/>
      <c r="M42" s="365">
        <v>586</v>
      </c>
      <c r="N42" s="6"/>
      <c r="O42" s="6"/>
      <c r="P42" s="6">
        <v>499</v>
      </c>
      <c r="Q42" s="6"/>
      <c r="R42" s="6"/>
      <c r="S42" s="6">
        <v>81</v>
      </c>
      <c r="T42" s="13"/>
      <c r="U42" s="13"/>
      <c r="V42" s="13"/>
      <c r="W42" s="13"/>
      <c r="X42" s="13">
        <v>908</v>
      </c>
      <c r="Y42" s="7" t="s">
        <v>7</v>
      </c>
      <c r="Z42" s="58"/>
      <c r="AB42">
        <f t="shared" si="24"/>
        <v>1.5494880546075085</v>
      </c>
      <c r="AC42" t="s">
        <v>342</v>
      </c>
      <c r="AD42">
        <v>908</v>
      </c>
      <c r="AF42">
        <v>173</v>
      </c>
      <c r="CV42" s="165" t="s">
        <v>129</v>
      </c>
      <c r="CW42" s="167"/>
      <c r="CX42" s="167">
        <f>MAX(CX27:CX40)</f>
        <v>366</v>
      </c>
      <c r="CY42" s="167"/>
      <c r="CZ42" s="167"/>
      <c r="DA42" s="167">
        <f>MAX(DA27:DA40)</f>
        <v>406.66666666666663</v>
      </c>
      <c r="DB42" s="167"/>
      <c r="DC42" s="167"/>
      <c r="DD42" s="180"/>
      <c r="DE42"/>
    </row>
    <row r="43" spans="1:109" ht="18" customHeight="1" x14ac:dyDescent="0.2">
      <c r="A43" s="1">
        <v>1998</v>
      </c>
      <c r="B43" s="6"/>
      <c r="C43" s="6">
        <v>44</v>
      </c>
      <c r="D43" s="6"/>
      <c r="E43" s="6"/>
      <c r="F43" s="6"/>
      <c r="G43" s="6">
        <v>179</v>
      </c>
      <c r="H43" s="6"/>
      <c r="I43" s="6">
        <v>503</v>
      </c>
      <c r="J43" s="6"/>
      <c r="K43" s="473">
        <v>2610</v>
      </c>
      <c r="L43" s="6"/>
      <c r="M43" s="6">
        <v>1530</v>
      </c>
      <c r="N43" s="6"/>
      <c r="O43" s="6">
        <v>1468</v>
      </c>
      <c r="P43" s="6"/>
      <c r="Q43" s="6">
        <v>970</v>
      </c>
      <c r="R43" s="6"/>
      <c r="S43" s="6">
        <v>625</v>
      </c>
      <c r="T43" s="13"/>
      <c r="U43" s="13">
        <v>202</v>
      </c>
      <c r="V43" s="13"/>
      <c r="W43" s="13"/>
      <c r="X43" s="13">
        <v>3689</v>
      </c>
      <c r="Y43" s="7" t="s">
        <v>7</v>
      </c>
      <c r="Z43" s="58"/>
      <c r="AB43">
        <f t="shared" si="24"/>
        <v>1.4134099616858238</v>
      </c>
      <c r="AC43" t="s">
        <v>338</v>
      </c>
      <c r="AD43">
        <v>3689</v>
      </c>
      <c r="AF43">
        <v>229</v>
      </c>
      <c r="CV43" s="165" t="s">
        <v>130</v>
      </c>
      <c r="CW43" s="167"/>
      <c r="CX43" s="169">
        <v>20</v>
      </c>
      <c r="CY43" s="167"/>
      <c r="CZ43"/>
      <c r="DA43" s="169">
        <v>20</v>
      </c>
      <c r="DB43" s="8"/>
      <c r="DC43" s="8"/>
      <c r="DD43" s="8"/>
      <c r="DE43" s="8"/>
    </row>
    <row r="44" spans="1:109" ht="18" customHeight="1" x14ac:dyDescent="0.2">
      <c r="A44" s="1">
        <v>1999</v>
      </c>
      <c r="B44" s="6"/>
      <c r="C44" s="6"/>
      <c r="D44" s="6"/>
      <c r="E44" s="6"/>
      <c r="F44" s="6"/>
      <c r="G44" s="6">
        <v>207</v>
      </c>
      <c r="H44" s="6"/>
      <c r="I44" s="6">
        <v>299</v>
      </c>
      <c r="J44" s="6">
        <v>713</v>
      </c>
      <c r="K44" s="6">
        <v>797</v>
      </c>
      <c r="L44" s="6">
        <v>500</v>
      </c>
      <c r="M44" s="6">
        <v>977</v>
      </c>
      <c r="N44" s="473">
        <v>1323</v>
      </c>
      <c r="O44" s="6">
        <v>1159</v>
      </c>
      <c r="P44" s="6"/>
      <c r="Q44" s="6">
        <v>696</v>
      </c>
      <c r="R44" s="6"/>
      <c r="S44" s="6">
        <v>737</v>
      </c>
      <c r="T44" s="13"/>
      <c r="U44" s="13"/>
      <c r="V44" s="13">
        <v>201</v>
      </c>
      <c r="W44" s="13"/>
      <c r="X44" s="13">
        <v>2682</v>
      </c>
      <c r="Y44" s="7" t="s">
        <v>7</v>
      </c>
      <c r="Z44" s="58"/>
      <c r="AB44">
        <f t="shared" si="24"/>
        <v>2.0272108843537415</v>
      </c>
      <c r="AC44" t="s">
        <v>338</v>
      </c>
      <c r="AD44">
        <v>2682</v>
      </c>
      <c r="AF44">
        <v>425</v>
      </c>
      <c r="CV44" s="165" t="s">
        <v>131</v>
      </c>
      <c r="CW44" s="167"/>
      <c r="CX44" s="181">
        <f>(0.5*SUM(DC34:DC40))/CX43</f>
        <v>607.29999999999995</v>
      </c>
      <c r="CY44" s="167"/>
      <c r="CZ44"/>
      <c r="DA44" s="181">
        <f>(0.5*SUM(DE34:DE40))/DA43</f>
        <v>684.46527777777771</v>
      </c>
      <c r="DB44" s="8"/>
      <c r="DC44" s="8"/>
      <c r="DD44" s="8"/>
      <c r="DE44" s="8"/>
    </row>
    <row r="45" spans="1:109" ht="18" customHeight="1" x14ac:dyDescent="0.2">
      <c r="A45" s="1">
        <v>2000</v>
      </c>
      <c r="B45" s="6"/>
      <c r="C45" s="6"/>
      <c r="D45" s="6"/>
      <c r="E45" s="6"/>
      <c r="F45" s="6"/>
      <c r="G45" s="6"/>
      <c r="H45" s="6">
        <v>367</v>
      </c>
      <c r="I45" s="6"/>
      <c r="J45" s="6">
        <v>312</v>
      </c>
      <c r="K45" s="6">
        <v>759</v>
      </c>
      <c r="L45" s="6">
        <v>978</v>
      </c>
      <c r="M45" s="6"/>
      <c r="N45" s="6">
        <v>702</v>
      </c>
      <c r="O45" s="6"/>
      <c r="P45" s="473">
        <v>1006</v>
      </c>
      <c r="Q45" s="6">
        <v>822</v>
      </c>
      <c r="R45" s="6"/>
      <c r="S45" s="6"/>
      <c r="T45" s="13">
        <v>332</v>
      </c>
      <c r="U45" s="13"/>
      <c r="V45" s="13"/>
      <c r="W45" s="13"/>
      <c r="X45" s="13">
        <v>1429</v>
      </c>
      <c r="Y45" s="7" t="s">
        <v>7</v>
      </c>
      <c r="Z45" s="58"/>
      <c r="AB45">
        <f t="shared" si="24"/>
        <v>1.4204771371769385</v>
      </c>
      <c r="AC45" t="s">
        <v>342</v>
      </c>
      <c r="AD45">
        <v>1429</v>
      </c>
      <c r="AF45">
        <v>98</v>
      </c>
      <c r="BO45" s="55"/>
      <c r="BP45" s="55"/>
      <c r="BQ45" s="55"/>
      <c r="BR45" s="55"/>
      <c r="BS45" s="55"/>
      <c r="CV45" s="8"/>
      <c r="CW45" s="8"/>
      <c r="CX45" s="8"/>
      <c r="CY45" s="8"/>
      <c r="CZ45" s="8"/>
      <c r="DA45" s="8"/>
      <c r="DB45" s="8"/>
      <c r="DC45" s="8"/>
      <c r="DD45" s="8"/>
      <c r="DE45" s="8"/>
    </row>
    <row r="46" spans="1:109" ht="18" customHeight="1" x14ac:dyDescent="0.25">
      <c r="A46" s="1">
        <v>2001</v>
      </c>
      <c r="B46" s="6"/>
      <c r="C46" s="6"/>
      <c r="D46" s="6"/>
      <c r="E46" s="6"/>
      <c r="F46" s="6"/>
      <c r="G46" s="6"/>
      <c r="H46" s="6">
        <v>416</v>
      </c>
      <c r="I46" s="6"/>
      <c r="J46" s="6">
        <v>686</v>
      </c>
      <c r="K46" s="6"/>
      <c r="L46" s="6">
        <v>810</v>
      </c>
      <c r="M46" s="6"/>
      <c r="N46" s="473">
        <v>1464</v>
      </c>
      <c r="O46" s="6"/>
      <c r="P46" s="6"/>
      <c r="Q46" s="6">
        <v>878</v>
      </c>
      <c r="R46" s="6">
        <v>851</v>
      </c>
      <c r="S46" s="6">
        <v>421</v>
      </c>
      <c r="T46" s="13"/>
      <c r="U46" s="13"/>
      <c r="V46" s="13"/>
      <c r="W46" s="13"/>
      <c r="X46" s="13">
        <v>1707</v>
      </c>
      <c r="Y46" s="7" t="s">
        <v>7</v>
      </c>
      <c r="Z46" s="58"/>
      <c r="AB46">
        <f t="shared" si="24"/>
        <v>1.165983606557377</v>
      </c>
      <c r="AC46" t="s">
        <v>338</v>
      </c>
      <c r="AD46">
        <v>1707</v>
      </c>
      <c r="AF46">
        <v>127</v>
      </c>
      <c r="CV46" s="1013" t="s">
        <v>117</v>
      </c>
      <c r="CW46" s="1013" t="s">
        <v>118</v>
      </c>
      <c r="CX46" s="508" t="s">
        <v>119</v>
      </c>
      <c r="CY46"/>
      <c r="CZ46" s="158" t="s">
        <v>120</v>
      </c>
      <c r="DA46" s="158"/>
      <c r="DB46" s="159"/>
      <c r="DC46" s="160" t="s">
        <v>121</v>
      </c>
      <c r="DD46" s="160"/>
      <c r="DE46" s="161" t="s">
        <v>122</v>
      </c>
    </row>
    <row r="47" spans="1:109" ht="18" customHeight="1" x14ac:dyDescent="0.2">
      <c r="A47" s="1">
        <v>2002</v>
      </c>
      <c r="B47" s="6"/>
      <c r="C47" s="6"/>
      <c r="D47" s="6"/>
      <c r="E47" s="6"/>
      <c r="F47" s="6"/>
      <c r="G47" s="6"/>
      <c r="H47" s="6">
        <v>226</v>
      </c>
      <c r="I47" s="6">
        <v>550</v>
      </c>
      <c r="J47" s="6"/>
      <c r="K47" s="6">
        <v>851</v>
      </c>
      <c r="L47" s="6">
        <v>970</v>
      </c>
      <c r="M47" s="6"/>
      <c r="N47" s="473">
        <v>1030</v>
      </c>
      <c r="O47" s="6"/>
      <c r="P47" s="6"/>
      <c r="Q47" s="6"/>
      <c r="R47" s="6">
        <v>419</v>
      </c>
      <c r="S47" s="6"/>
      <c r="T47" s="13">
        <v>279</v>
      </c>
      <c r="U47" s="13"/>
      <c r="V47" s="13"/>
      <c r="W47" s="13"/>
      <c r="X47" s="13">
        <v>1831</v>
      </c>
      <c r="Y47" s="7" t="s">
        <v>7</v>
      </c>
      <c r="Z47" s="60"/>
      <c r="AB47">
        <f t="shared" si="24"/>
        <v>1.7776699029126213</v>
      </c>
      <c r="AC47" t="s">
        <v>346</v>
      </c>
      <c r="AD47">
        <v>1831</v>
      </c>
      <c r="AE47">
        <v>1945</v>
      </c>
      <c r="AF47">
        <v>114</v>
      </c>
      <c r="BZ47" s="55"/>
      <c r="CA47" s="55"/>
      <c r="CB47" s="55"/>
      <c r="CC47" s="55"/>
      <c r="CL47" s="55"/>
      <c r="CM47" s="55"/>
      <c r="CN47" s="55"/>
      <c r="CO47" s="55"/>
      <c r="CV47" s="1014"/>
      <c r="CW47" s="1014"/>
      <c r="CX47" s="507" t="s">
        <v>123</v>
      </c>
      <c r="CY47"/>
      <c r="CZ47" s="163" t="s">
        <v>124</v>
      </c>
      <c r="DA47" s="163" t="s">
        <v>125</v>
      </c>
      <c r="DB47" s="163"/>
      <c r="DC47" s="164" t="s">
        <v>126</v>
      </c>
      <c r="DD47"/>
      <c r="DE47" s="164" t="s">
        <v>126</v>
      </c>
    </row>
    <row r="48" spans="1:109" ht="18" customHeight="1" x14ac:dyDescent="0.2">
      <c r="A48" s="1">
        <v>2003</v>
      </c>
      <c r="B48" s="6"/>
      <c r="C48" s="6"/>
      <c r="D48" s="6"/>
      <c r="E48" s="6"/>
      <c r="F48" s="6"/>
      <c r="G48" s="6">
        <v>175</v>
      </c>
      <c r="H48" s="6"/>
      <c r="I48" s="6">
        <v>385</v>
      </c>
      <c r="J48" s="6">
        <v>452</v>
      </c>
      <c r="K48" s="6"/>
      <c r="L48" s="6"/>
      <c r="M48" s="6"/>
      <c r="N48" s="6">
        <v>454</v>
      </c>
      <c r="O48" s="473">
        <v>557</v>
      </c>
      <c r="P48" s="6">
        <v>505</v>
      </c>
      <c r="Q48" s="6"/>
      <c r="R48" s="6"/>
      <c r="S48" s="6">
        <v>314</v>
      </c>
      <c r="T48" s="13"/>
      <c r="U48" s="13"/>
      <c r="V48" s="13"/>
      <c r="W48" s="13"/>
      <c r="X48" s="13">
        <v>1268</v>
      </c>
      <c r="Y48" s="7" t="s">
        <v>5</v>
      </c>
      <c r="Z48" s="58">
        <v>45</v>
      </c>
      <c r="AB48">
        <f t="shared" si="24"/>
        <v>2.2764811490125672</v>
      </c>
      <c r="AC48" t="s">
        <v>339</v>
      </c>
      <c r="AD48">
        <v>1286</v>
      </c>
      <c r="AE48">
        <v>1373</v>
      </c>
      <c r="AF48">
        <v>87</v>
      </c>
      <c r="CV48" s="165"/>
      <c r="CW48" s="166"/>
      <c r="CX48" s="167"/>
      <c r="CY48"/>
      <c r="CZ48"/>
      <c r="DA48"/>
      <c r="DB48"/>
      <c r="DC48"/>
      <c r="DD48"/>
      <c r="DE48"/>
    </row>
    <row r="49" spans="1:109" ht="18" customHeight="1" x14ac:dyDescent="0.2">
      <c r="A49" s="1">
        <v>2004</v>
      </c>
      <c r="B49" s="6"/>
      <c r="C49" s="6"/>
      <c r="D49" s="6"/>
      <c r="E49" s="6"/>
      <c r="F49" s="6"/>
      <c r="G49" s="6"/>
      <c r="H49" s="6"/>
      <c r="I49" s="6">
        <v>437</v>
      </c>
      <c r="J49" s="6">
        <v>603</v>
      </c>
      <c r="K49" s="6"/>
      <c r="L49" s="6">
        <v>591</v>
      </c>
      <c r="M49" s="6">
        <v>421</v>
      </c>
      <c r="N49" s="6"/>
      <c r="O49" s="6">
        <v>465</v>
      </c>
      <c r="P49" s="473">
        <v>762</v>
      </c>
      <c r="Q49" s="6"/>
      <c r="R49" s="6">
        <v>203</v>
      </c>
      <c r="S49" s="6"/>
      <c r="T49" s="13"/>
      <c r="U49" s="13"/>
      <c r="V49" s="13"/>
      <c r="W49" s="13"/>
      <c r="X49" s="21">
        <v>1030</v>
      </c>
      <c r="Y49" s="7" t="s">
        <v>5</v>
      </c>
      <c r="Z49" s="59">
        <v>37</v>
      </c>
      <c r="AB49">
        <f t="shared" si="24"/>
        <v>1.3517060367454068</v>
      </c>
      <c r="AC49" t="s">
        <v>337</v>
      </c>
      <c r="AD49">
        <v>1030</v>
      </c>
      <c r="AE49">
        <v>1201</v>
      </c>
      <c r="AF49">
        <v>171</v>
      </c>
      <c r="CV49" s="165" t="s">
        <v>419</v>
      </c>
      <c r="CW49" s="166"/>
      <c r="CX49" s="167"/>
      <c r="CY49"/>
      <c r="CZ49"/>
      <c r="DA49"/>
      <c r="DB49"/>
      <c r="DC49"/>
      <c r="DD49"/>
      <c r="DE49"/>
    </row>
    <row r="50" spans="1:109" ht="18" customHeight="1" x14ac:dyDescent="0.2">
      <c r="A50" s="1">
        <v>2005</v>
      </c>
      <c r="B50" s="6"/>
      <c r="C50" s="6"/>
      <c r="D50" s="6"/>
      <c r="E50" s="6"/>
      <c r="F50" s="6"/>
      <c r="G50" s="6"/>
      <c r="H50" s="6"/>
      <c r="I50" s="6">
        <v>340</v>
      </c>
      <c r="J50" s="6"/>
      <c r="K50" s="6">
        <v>302</v>
      </c>
      <c r="L50" s="6"/>
      <c r="M50" s="6">
        <v>447</v>
      </c>
      <c r="N50" s="6"/>
      <c r="O50" s="6">
        <v>0</v>
      </c>
      <c r="P50" s="473">
        <v>581</v>
      </c>
      <c r="Q50" s="6">
        <v>303</v>
      </c>
      <c r="R50" s="6">
        <v>198</v>
      </c>
      <c r="S50" s="6"/>
      <c r="T50" s="13"/>
      <c r="U50" s="13"/>
      <c r="V50" s="13"/>
      <c r="W50" s="13"/>
      <c r="X50" s="13">
        <v>879</v>
      </c>
      <c r="Y50" s="7" t="s">
        <v>5</v>
      </c>
      <c r="Z50" s="60">
        <v>37.5</v>
      </c>
      <c r="AB50">
        <f t="shared" si="24"/>
        <v>1.5129087779690189</v>
      </c>
      <c r="AC50" t="s">
        <v>339</v>
      </c>
      <c r="AD50">
        <v>830</v>
      </c>
      <c r="AE50">
        <v>844</v>
      </c>
      <c r="AF50">
        <v>14</v>
      </c>
      <c r="CV50" s="165" t="s">
        <v>127</v>
      </c>
      <c r="CW50" s="168">
        <v>42979</v>
      </c>
      <c r="CX50" s="167">
        <v>0</v>
      </c>
      <c r="CY50"/>
      <c r="CZ50"/>
      <c r="DA50" s="169">
        <v>0</v>
      </c>
      <c r="DB50"/>
      <c r="DC50"/>
      <c r="DD50"/>
      <c r="DE50"/>
    </row>
    <row r="51" spans="1:109" ht="18" customHeight="1" x14ac:dyDescent="0.2">
      <c r="A51" s="1">
        <v>2006</v>
      </c>
      <c r="B51" s="6"/>
      <c r="C51" s="6"/>
      <c r="D51" s="6"/>
      <c r="E51" s="6"/>
      <c r="F51" s="6">
        <v>15</v>
      </c>
      <c r="G51" s="6"/>
      <c r="H51" s="6">
        <v>229</v>
      </c>
      <c r="I51" s="6"/>
      <c r="J51" s="6">
        <v>189</v>
      </c>
      <c r="K51" s="6"/>
      <c r="L51" s="473">
        <v>404</v>
      </c>
      <c r="M51" s="6"/>
      <c r="N51" s="6">
        <v>93</v>
      </c>
      <c r="O51" s="6"/>
      <c r="P51" s="6"/>
      <c r="Q51" s="6">
        <v>76</v>
      </c>
      <c r="R51" s="6"/>
      <c r="S51" s="6">
        <v>78</v>
      </c>
      <c r="T51" s="13"/>
      <c r="U51" s="13"/>
      <c r="V51" s="13"/>
      <c r="W51" s="13"/>
      <c r="X51" s="12">
        <v>426</v>
      </c>
      <c r="Y51" s="7" t="s">
        <v>5</v>
      </c>
      <c r="Z51" s="53">
        <v>35</v>
      </c>
      <c r="AB51">
        <f t="shared" si="24"/>
        <v>1.0544554455445545</v>
      </c>
      <c r="AC51" t="s">
        <v>337</v>
      </c>
      <c r="AD51">
        <v>426</v>
      </c>
      <c r="AE51">
        <v>460</v>
      </c>
      <c r="AF51">
        <v>34</v>
      </c>
      <c r="CP51" s="55"/>
      <c r="CQ51" s="55"/>
      <c r="CR51" s="55"/>
      <c r="CS51" s="55"/>
      <c r="CT51" s="55"/>
      <c r="CV51" s="165"/>
      <c r="CW51" s="168">
        <v>42989</v>
      </c>
      <c r="CX51" s="170">
        <v>12</v>
      </c>
      <c r="CY51"/>
      <c r="CZ51" s="183">
        <v>0.9</v>
      </c>
      <c r="DA51" s="182">
        <f t="shared" ref="DA51:DA56" si="25">CX51/CZ51</f>
        <v>13.333333333333332</v>
      </c>
      <c r="DB51"/>
      <c r="DC51" s="172">
        <f>(CW51-CW50)*(CX51+CX50)</f>
        <v>120</v>
      </c>
      <c r="DD51"/>
      <c r="DE51" s="172">
        <f>(CW51-CW50)*(DA51+DA50)</f>
        <v>133.33333333333331</v>
      </c>
    </row>
    <row r="52" spans="1:109" ht="18" customHeight="1" x14ac:dyDescent="0.2">
      <c r="A52" s="1">
        <v>2007</v>
      </c>
      <c r="B52" s="6"/>
      <c r="C52" s="6"/>
      <c r="D52" s="6"/>
      <c r="E52" s="6"/>
      <c r="F52" s="6"/>
      <c r="G52" s="6"/>
      <c r="H52" s="6">
        <v>332</v>
      </c>
      <c r="I52" s="365">
        <v>540</v>
      </c>
      <c r="J52" s="6"/>
      <c r="K52" s="6">
        <v>334</v>
      </c>
      <c r="L52" s="6"/>
      <c r="M52" s="6"/>
      <c r="N52" s="6">
        <v>460</v>
      </c>
      <c r="O52" s="6">
        <v>492</v>
      </c>
      <c r="P52" s="6"/>
      <c r="Q52" s="6"/>
      <c r="R52" s="197">
        <v>496</v>
      </c>
      <c r="S52" s="6"/>
      <c r="T52" s="13">
        <v>183</v>
      </c>
      <c r="U52" s="13"/>
      <c r="V52" s="13"/>
      <c r="W52" s="13"/>
      <c r="X52" s="12">
        <v>605</v>
      </c>
      <c r="Y52" s="7" t="s">
        <v>5</v>
      </c>
      <c r="Z52" s="60">
        <v>67.5</v>
      </c>
      <c r="AB52">
        <f t="shared" si="24"/>
        <v>1.1203703703703705</v>
      </c>
      <c r="AC52" t="s">
        <v>339</v>
      </c>
      <c r="AD52">
        <v>605</v>
      </c>
      <c r="AE52">
        <v>681</v>
      </c>
      <c r="AF52">
        <v>76</v>
      </c>
      <c r="AZ52" s="55"/>
      <c r="BA52" s="55"/>
      <c r="BB52" s="55"/>
      <c r="CV52" s="165"/>
      <c r="CW52" s="168">
        <v>42999</v>
      </c>
      <c r="CX52" s="170">
        <f>366+5</f>
        <v>371</v>
      </c>
      <c r="CY52"/>
      <c r="CZ52" s="183">
        <v>0.9</v>
      </c>
      <c r="DA52" s="182">
        <f t="shared" si="25"/>
        <v>412.22222222222223</v>
      </c>
      <c r="DB52"/>
      <c r="DC52" s="172">
        <f t="shared" ref="DC52:DC57" si="26">(CW52-CW51)*(CX52+CX51)</f>
        <v>3830</v>
      </c>
      <c r="DD52"/>
      <c r="DE52" s="172">
        <f t="shared" ref="DE52:DE57" si="27">(CW52-CW51)*(DA52+DA51)</f>
        <v>4255.5555555555557</v>
      </c>
    </row>
    <row r="53" spans="1:109" s="55" customFormat="1" ht="18" customHeight="1" x14ac:dyDescent="0.2">
      <c r="A53" s="13">
        <v>2008</v>
      </c>
      <c r="B53" s="13"/>
      <c r="C53" s="13"/>
      <c r="D53" s="13"/>
      <c r="E53" s="13"/>
      <c r="F53" s="13">
        <v>44</v>
      </c>
      <c r="G53" s="13">
        <v>76</v>
      </c>
      <c r="H53" s="13">
        <v>83</v>
      </c>
      <c r="I53" s="13"/>
      <c r="J53" s="196">
        <v>1061</v>
      </c>
      <c r="K53" s="13">
        <v>715</v>
      </c>
      <c r="L53" s="13"/>
      <c r="M53" s="13">
        <v>218</v>
      </c>
      <c r="N53" s="13">
        <v>976</v>
      </c>
      <c r="O53" s="13">
        <v>751</v>
      </c>
      <c r="P53" s="13"/>
      <c r="Q53" s="13">
        <v>746</v>
      </c>
      <c r="R53" s="528">
        <v>1065</v>
      </c>
      <c r="S53" s="13"/>
      <c r="T53" s="13"/>
      <c r="U53" s="13"/>
      <c r="V53" s="13"/>
      <c r="W53" s="13"/>
      <c r="X53" s="13">
        <v>1553</v>
      </c>
      <c r="Y53" s="7" t="s">
        <v>5</v>
      </c>
      <c r="Z53" s="58">
        <v>45</v>
      </c>
      <c r="AB53">
        <f t="shared" si="24"/>
        <v>1.4582159624413145</v>
      </c>
      <c r="AC53" t="s">
        <v>339</v>
      </c>
      <c r="AD53">
        <v>1553</v>
      </c>
      <c r="AE53">
        <v>1587</v>
      </c>
      <c r="AF53">
        <v>34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 s="2"/>
      <c r="BA53" s="2"/>
      <c r="BB53" s="2"/>
      <c r="BO53" s="2"/>
      <c r="BP53" s="2"/>
      <c r="BQ53" s="2"/>
      <c r="BR53" s="2"/>
      <c r="BS53" s="2"/>
      <c r="BZ53" s="2"/>
      <c r="CA53" s="2"/>
      <c r="CB53" s="2"/>
      <c r="CC53" s="2"/>
      <c r="CL53" s="2"/>
      <c r="CM53" s="2"/>
      <c r="CN53" s="2"/>
      <c r="CO53" s="2"/>
      <c r="CP53" s="2"/>
      <c r="CQ53" s="2"/>
      <c r="CR53" s="2"/>
      <c r="CS53" s="2"/>
      <c r="CT53" s="2"/>
      <c r="CV53" s="173"/>
      <c r="CW53" s="168">
        <v>43007</v>
      </c>
      <c r="CX53" s="170">
        <f>361+9</f>
        <v>370</v>
      </c>
      <c r="CY53"/>
      <c r="CZ53" s="183">
        <v>0.9</v>
      </c>
      <c r="DA53" s="182">
        <f t="shared" si="25"/>
        <v>411.11111111111109</v>
      </c>
      <c r="DB53"/>
      <c r="DC53" s="172">
        <f t="shared" si="26"/>
        <v>5928</v>
      </c>
      <c r="DD53"/>
      <c r="DE53" s="172">
        <f t="shared" si="27"/>
        <v>6586.6666666666661</v>
      </c>
    </row>
    <row r="54" spans="1:109" ht="18" customHeight="1" x14ac:dyDescent="0.2">
      <c r="A54" s="13">
        <v>2009</v>
      </c>
      <c r="B54" s="13"/>
      <c r="C54" s="13"/>
      <c r="D54" s="13"/>
      <c r="E54" s="13"/>
      <c r="F54" s="13"/>
      <c r="G54" s="13"/>
      <c r="H54" s="13">
        <v>437</v>
      </c>
      <c r="I54" s="13">
        <v>662</v>
      </c>
      <c r="J54" s="13">
        <v>713</v>
      </c>
      <c r="K54" s="13"/>
      <c r="L54" s="528">
        <v>1025</v>
      </c>
      <c r="M54" s="13">
        <v>857</v>
      </c>
      <c r="N54" s="13"/>
      <c r="O54" s="13">
        <v>551</v>
      </c>
      <c r="P54" s="13"/>
      <c r="Q54" s="13"/>
      <c r="R54" s="13"/>
      <c r="S54" s="13"/>
      <c r="T54" s="13">
        <v>430</v>
      </c>
      <c r="U54" s="13"/>
      <c r="V54" s="13"/>
      <c r="W54" s="13"/>
      <c r="X54" s="13">
        <v>1925</v>
      </c>
      <c r="Y54" s="7" t="s">
        <v>5</v>
      </c>
      <c r="Z54" s="58">
        <v>35</v>
      </c>
      <c r="AB54">
        <f t="shared" si="24"/>
        <v>1.8780487804878048</v>
      </c>
      <c r="AC54" t="s">
        <v>337</v>
      </c>
      <c r="AD54">
        <v>1925</v>
      </c>
      <c r="AE54">
        <v>1955</v>
      </c>
      <c r="AF54">
        <v>30</v>
      </c>
      <c r="CV54" s="174"/>
      <c r="CW54" s="168">
        <v>43018</v>
      </c>
      <c r="CX54" s="170">
        <f>273+169</f>
        <v>442</v>
      </c>
      <c r="CY54"/>
      <c r="CZ54" s="183">
        <v>0.9</v>
      </c>
      <c r="DA54" s="182">
        <f t="shared" si="25"/>
        <v>491.11111111111109</v>
      </c>
      <c r="DB54"/>
      <c r="DC54" s="172">
        <f t="shared" si="26"/>
        <v>8932</v>
      </c>
      <c r="DD54"/>
      <c r="DE54" s="172">
        <f t="shared" si="27"/>
        <v>9924.4444444444434</v>
      </c>
    </row>
    <row r="55" spans="1:109" ht="18" customHeight="1" x14ac:dyDescent="0.2">
      <c r="A55" s="13">
        <v>2010</v>
      </c>
      <c r="B55" s="13"/>
      <c r="C55" s="13"/>
      <c r="D55" s="13"/>
      <c r="E55" s="13"/>
      <c r="F55" s="13"/>
      <c r="G55" s="13"/>
      <c r="H55" s="13">
        <v>23</v>
      </c>
      <c r="I55" s="13">
        <v>104</v>
      </c>
      <c r="J55" s="13">
        <v>392</v>
      </c>
      <c r="K55" s="13"/>
      <c r="L55" s="13"/>
      <c r="M55" s="528">
        <v>493</v>
      </c>
      <c r="N55" s="13">
        <v>458</v>
      </c>
      <c r="O55" s="13"/>
      <c r="P55" s="13"/>
      <c r="Q55" s="13"/>
      <c r="R55" s="13">
        <v>416</v>
      </c>
      <c r="S55" s="13"/>
      <c r="T55" s="13"/>
      <c r="U55" s="13"/>
      <c r="V55" s="13"/>
      <c r="W55" s="13"/>
      <c r="X55" s="13">
        <v>1300</v>
      </c>
      <c r="Y55" s="7"/>
      <c r="Z55" s="58"/>
      <c r="AB55">
        <f t="shared" si="24"/>
        <v>2.6369168356997972</v>
      </c>
      <c r="AC55" t="s">
        <v>342</v>
      </c>
      <c r="AD55">
        <v>1300</v>
      </c>
      <c r="AE55">
        <v>1356</v>
      </c>
      <c r="AF55">
        <v>56</v>
      </c>
      <c r="CV55" s="8"/>
      <c r="CW55" s="168">
        <v>43035</v>
      </c>
      <c r="CX55" s="170">
        <f>90+94</f>
        <v>184</v>
      </c>
      <c r="CY55"/>
      <c r="CZ55" s="183">
        <v>0.8</v>
      </c>
      <c r="DA55" s="182">
        <f t="shared" si="25"/>
        <v>230</v>
      </c>
      <c r="DB55"/>
      <c r="DC55" s="172">
        <f t="shared" si="26"/>
        <v>10642</v>
      </c>
      <c r="DD55"/>
      <c r="DE55" s="172">
        <f t="shared" si="27"/>
        <v>12258.888888888889</v>
      </c>
    </row>
    <row r="56" spans="1:109" ht="18" customHeight="1" x14ac:dyDescent="0.2">
      <c r="A56" s="13">
        <v>2011</v>
      </c>
      <c r="B56" s="13"/>
      <c r="C56" s="13"/>
      <c r="D56" s="13"/>
      <c r="E56" s="13"/>
      <c r="F56" s="13"/>
      <c r="G56" s="13">
        <v>63</v>
      </c>
      <c r="H56" s="13">
        <v>416</v>
      </c>
      <c r="I56" s="13"/>
      <c r="J56" s="13">
        <v>568</v>
      </c>
      <c r="K56" s="13"/>
      <c r="L56" s="13"/>
      <c r="M56" s="13">
        <v>775</v>
      </c>
      <c r="N56" s="528">
        <v>864</v>
      </c>
      <c r="O56" s="13">
        <v>844</v>
      </c>
      <c r="P56" s="13"/>
      <c r="Q56" s="13">
        <v>541</v>
      </c>
      <c r="R56" s="13"/>
      <c r="S56" s="13"/>
      <c r="T56" s="13">
        <v>367</v>
      </c>
      <c r="U56" s="13"/>
      <c r="V56" s="13"/>
      <c r="W56" s="13"/>
      <c r="X56" s="13">
        <v>1400</v>
      </c>
      <c r="Y56" s="7" t="s">
        <v>9</v>
      </c>
      <c r="Z56" s="58"/>
      <c r="AB56">
        <f t="shared" si="24"/>
        <v>1.6203703703703705</v>
      </c>
      <c r="AC56" t="s">
        <v>339</v>
      </c>
      <c r="AD56">
        <v>737</v>
      </c>
      <c r="AE56">
        <v>784</v>
      </c>
      <c r="AF56">
        <v>47</v>
      </c>
      <c r="CV56" s="8"/>
      <c r="CW56" s="168">
        <v>43049</v>
      </c>
      <c r="CX56" s="170">
        <f>9+22</f>
        <v>31</v>
      </c>
      <c r="CY56"/>
      <c r="CZ56" s="183">
        <v>0.9</v>
      </c>
      <c r="DA56" s="182">
        <f t="shared" si="25"/>
        <v>34.444444444444443</v>
      </c>
      <c r="DB56"/>
      <c r="DC56" s="172">
        <f t="shared" si="26"/>
        <v>3010</v>
      </c>
      <c r="DD56"/>
      <c r="DE56" s="172">
        <f t="shared" si="27"/>
        <v>3702.2222222222226</v>
      </c>
    </row>
    <row r="57" spans="1:109" ht="18" customHeight="1" x14ac:dyDescent="0.2">
      <c r="A57" s="13">
        <v>2012</v>
      </c>
      <c r="B57" s="13"/>
      <c r="C57" s="13"/>
      <c r="D57" s="13"/>
      <c r="E57" s="13"/>
      <c r="F57" s="13">
        <f>49+41</f>
        <v>90</v>
      </c>
      <c r="G57" s="13">
        <f>57+35</f>
        <v>92</v>
      </c>
      <c r="H57" s="13">
        <f>83+102</f>
        <v>185</v>
      </c>
      <c r="I57" s="13">
        <f>163+194</f>
        <v>357</v>
      </c>
      <c r="J57" s="13">
        <f>283+220</f>
        <v>503</v>
      </c>
      <c r="K57" s="13">
        <f>289+272</f>
        <v>561</v>
      </c>
      <c r="L57" s="13"/>
      <c r="M57" s="528">
        <v>836</v>
      </c>
      <c r="N57" s="13"/>
      <c r="O57" s="13"/>
      <c r="P57" s="13">
        <v>596</v>
      </c>
      <c r="Q57" s="13"/>
      <c r="R57" s="13"/>
      <c r="S57" s="13"/>
      <c r="T57" s="13"/>
      <c r="U57" s="13"/>
      <c r="V57" s="13"/>
      <c r="W57" s="13"/>
      <c r="X57" s="13">
        <f>846+388</f>
        <v>1234</v>
      </c>
      <c r="Y57" s="7" t="s">
        <v>5</v>
      </c>
      <c r="Z57" s="58">
        <v>35</v>
      </c>
      <c r="AB57">
        <f t="shared" si="24"/>
        <v>1.4760765550239234</v>
      </c>
      <c r="AC57" t="s">
        <v>339</v>
      </c>
      <c r="AD57">
        <v>846</v>
      </c>
      <c r="AE57">
        <v>872</v>
      </c>
      <c r="AF57">
        <v>26</v>
      </c>
      <c r="CV57" s="165" t="s">
        <v>128</v>
      </c>
      <c r="CW57" s="168">
        <v>43054</v>
      </c>
      <c r="CX57" s="176">
        <v>0</v>
      </c>
      <c r="CY57"/>
      <c r="CZ57" s="177"/>
      <c r="DA57" s="178">
        <v>0</v>
      </c>
      <c r="DB57" s="179"/>
      <c r="DC57" s="172">
        <f t="shared" si="26"/>
        <v>155</v>
      </c>
      <c r="DD57"/>
      <c r="DE57" s="172">
        <f t="shared" si="27"/>
        <v>172.22222222222223</v>
      </c>
    </row>
    <row r="58" spans="1:109" ht="18" customHeight="1" x14ac:dyDescent="0.2">
      <c r="A58" s="13">
        <v>2013</v>
      </c>
      <c r="B58" s="13"/>
      <c r="C58" s="13"/>
      <c r="D58" s="13"/>
      <c r="E58" s="13"/>
      <c r="F58" s="13">
        <f>27+62</f>
        <v>89</v>
      </c>
      <c r="G58" s="13"/>
      <c r="H58" s="13">
        <f>96+163</f>
        <v>259</v>
      </c>
      <c r="I58" s="13"/>
      <c r="J58" s="13">
        <f>201+165</f>
        <v>366</v>
      </c>
      <c r="K58" s="13"/>
      <c r="L58" s="13">
        <v>557</v>
      </c>
      <c r="M58" s="13">
        <v>422</v>
      </c>
      <c r="N58" s="528">
        <v>608</v>
      </c>
      <c r="O58" s="13"/>
      <c r="P58" s="13"/>
      <c r="Q58" s="13">
        <f>84+181</f>
        <v>265</v>
      </c>
      <c r="R58" s="13"/>
      <c r="S58" s="13"/>
      <c r="T58" s="13"/>
      <c r="U58" s="13"/>
      <c r="V58" s="13"/>
      <c r="W58" s="13"/>
      <c r="X58" s="13">
        <v>1040</v>
      </c>
      <c r="Y58" s="7" t="s">
        <v>5</v>
      </c>
      <c r="Z58" s="58">
        <v>35</v>
      </c>
      <c r="AB58">
        <f t="shared" si="24"/>
        <v>1.7105263157894737</v>
      </c>
      <c r="AC58" t="s">
        <v>339</v>
      </c>
      <c r="AD58">
        <v>518</v>
      </c>
      <c r="AE58">
        <v>573</v>
      </c>
      <c r="AF58">
        <v>55</v>
      </c>
      <c r="CV58" s="165" t="s">
        <v>2</v>
      </c>
      <c r="CW58" s="167">
        <v>7</v>
      </c>
      <c r="CX58" s="167"/>
      <c r="CY58" s="167"/>
      <c r="CZ58"/>
      <c r="DA58"/>
      <c r="DB58"/>
      <c r="DC58"/>
      <c r="DD58"/>
      <c r="DE58"/>
    </row>
    <row r="59" spans="1:109" ht="18" customHeight="1" x14ac:dyDescent="0.2">
      <c r="A59" s="13">
        <v>2014</v>
      </c>
      <c r="B59" s="13"/>
      <c r="C59" s="13"/>
      <c r="D59" s="13"/>
      <c r="E59" s="13"/>
      <c r="F59" s="13"/>
      <c r="G59" s="13">
        <v>41</v>
      </c>
      <c r="H59" s="13">
        <v>166</v>
      </c>
      <c r="I59" s="13"/>
      <c r="J59" s="13">
        <v>593</v>
      </c>
      <c r="K59" s="528">
        <v>944</v>
      </c>
      <c r="L59" s="13"/>
      <c r="M59" s="13"/>
      <c r="N59" s="13"/>
      <c r="O59" s="13">
        <f>584+149</f>
        <v>733</v>
      </c>
      <c r="P59" s="13">
        <f>363+177</f>
        <v>540</v>
      </c>
      <c r="Q59" s="13">
        <f>609+89</f>
        <v>698</v>
      </c>
      <c r="R59" s="13"/>
      <c r="S59" s="13"/>
      <c r="T59" s="13"/>
      <c r="U59" s="13"/>
      <c r="V59" s="13"/>
      <c r="W59" s="13"/>
      <c r="X59" s="13">
        <v>1767</v>
      </c>
      <c r="Y59" s="7" t="s">
        <v>5</v>
      </c>
      <c r="Z59" s="58">
        <v>35</v>
      </c>
      <c r="AB59">
        <f t="shared" si="24"/>
        <v>1.8718220338983051</v>
      </c>
      <c r="CV59" s="165" t="s">
        <v>129</v>
      </c>
      <c r="CW59" s="167"/>
      <c r="CX59" s="167">
        <f>MAX(CX50:CX57)</f>
        <v>442</v>
      </c>
      <c r="CY59" s="167"/>
      <c r="CZ59" s="167"/>
      <c r="DA59" s="167">
        <f>MAX(DA50:DA57)</f>
        <v>491.11111111111109</v>
      </c>
      <c r="DB59" s="167"/>
      <c r="DC59" s="167"/>
      <c r="DD59" s="180"/>
      <c r="DE59"/>
    </row>
    <row r="60" spans="1:109" ht="18" customHeight="1" x14ac:dyDescent="0.2">
      <c r="A60" s="13">
        <v>2015</v>
      </c>
      <c r="B60" s="13"/>
      <c r="C60" s="13"/>
      <c r="D60" s="13"/>
      <c r="E60" s="13"/>
      <c r="F60" s="13"/>
      <c r="G60" s="124">
        <v>237</v>
      </c>
      <c r="H60" s="13"/>
      <c r="I60" s="13"/>
      <c r="J60" s="124">
        <f>163+228</f>
        <v>391</v>
      </c>
      <c r="K60" s="124">
        <v>271</v>
      </c>
      <c r="L60" s="13"/>
      <c r="M60" s="124">
        <v>476</v>
      </c>
      <c r="N60" s="528">
        <v>571</v>
      </c>
      <c r="O60" s="124">
        <v>403</v>
      </c>
      <c r="P60" s="13"/>
      <c r="Q60" s="124">
        <v>350</v>
      </c>
      <c r="R60" s="124">
        <v>269</v>
      </c>
      <c r="S60" s="13"/>
      <c r="T60" s="13"/>
      <c r="U60" s="13"/>
      <c r="V60" s="13"/>
      <c r="W60" s="13"/>
      <c r="X60" s="13">
        <v>1061</v>
      </c>
      <c r="Y60" s="7" t="s">
        <v>5</v>
      </c>
      <c r="Z60" s="58">
        <v>35</v>
      </c>
      <c r="AB60">
        <f t="shared" si="24"/>
        <v>1.8581436077057794</v>
      </c>
      <c r="CV60" s="165" t="s">
        <v>130</v>
      </c>
      <c r="CW60" s="167"/>
      <c r="CX60" s="169">
        <v>20</v>
      </c>
      <c r="CY60" s="167"/>
      <c r="CZ60"/>
      <c r="DA60" s="169">
        <v>25</v>
      </c>
      <c r="DB60" s="8"/>
      <c r="DC60" s="8"/>
      <c r="DD60" s="8"/>
      <c r="DE60" s="8"/>
    </row>
    <row r="61" spans="1:109" ht="18" customHeight="1" x14ac:dyDescent="0.2">
      <c r="A61" s="13">
        <v>2016</v>
      </c>
      <c r="B61" s="13"/>
      <c r="C61" s="13"/>
      <c r="D61" s="13"/>
      <c r="E61" s="13"/>
      <c r="F61" s="13"/>
      <c r="G61" s="124">
        <v>342</v>
      </c>
      <c r="H61" s="13"/>
      <c r="I61" s="13"/>
      <c r="J61" s="528">
        <v>1447</v>
      </c>
      <c r="K61" s="13"/>
      <c r="L61" s="124">
        <v>1110</v>
      </c>
      <c r="M61" s="13"/>
      <c r="N61" s="13"/>
      <c r="O61" s="124">
        <f>378+316</f>
        <v>694</v>
      </c>
      <c r="P61" s="13"/>
      <c r="Q61" s="124">
        <f>279+291</f>
        <v>570</v>
      </c>
      <c r="R61" s="13"/>
      <c r="S61" s="13"/>
      <c r="T61" s="124">
        <f>335+204</f>
        <v>539</v>
      </c>
      <c r="U61" s="13"/>
      <c r="V61" s="13"/>
      <c r="W61" s="13"/>
      <c r="X61" s="13">
        <v>2080</v>
      </c>
      <c r="Y61" s="7"/>
      <c r="Z61" s="58">
        <v>35</v>
      </c>
      <c r="AB61">
        <f t="shared" si="24"/>
        <v>1.437456807187284</v>
      </c>
      <c r="CV61" s="165" t="s">
        <v>131</v>
      </c>
      <c r="CW61" s="167"/>
      <c r="CX61" s="181">
        <f>(0.5*SUM(DC51:DC57))/CX60</f>
        <v>815.42499999999995</v>
      </c>
      <c r="CY61" s="167"/>
      <c r="CZ61"/>
      <c r="DA61" s="181">
        <f>(0.5*SUM(DE51:DE57))/DA60</f>
        <v>740.66666666666652</v>
      </c>
      <c r="DB61" s="8"/>
      <c r="DC61" s="8"/>
      <c r="DD61" s="8"/>
      <c r="DE61" s="8"/>
    </row>
    <row r="62" spans="1:109" ht="18" customHeight="1" x14ac:dyDescent="0.2">
      <c r="A62" s="13">
        <v>2017</v>
      </c>
      <c r="B62" s="13"/>
      <c r="C62" s="13"/>
      <c r="D62" s="13"/>
      <c r="E62" s="13"/>
      <c r="F62" s="13"/>
      <c r="G62" s="124">
        <v>27</v>
      </c>
      <c r="H62" s="124">
        <v>395</v>
      </c>
      <c r="I62" s="124">
        <v>441</v>
      </c>
      <c r="J62" s="13"/>
      <c r="K62" s="366">
        <v>937</v>
      </c>
      <c r="L62" s="13"/>
      <c r="M62" s="124">
        <v>729</v>
      </c>
      <c r="N62" s="13"/>
      <c r="O62" s="470">
        <v>833</v>
      </c>
      <c r="P62" s="13"/>
      <c r="Q62" s="13"/>
      <c r="R62" s="13"/>
      <c r="S62" s="13"/>
      <c r="T62" s="13"/>
      <c r="U62" s="13"/>
      <c r="V62" s="13"/>
      <c r="W62" s="13"/>
      <c r="X62" s="13">
        <v>1620</v>
      </c>
      <c r="Y62" s="7"/>
      <c r="Z62" s="58">
        <v>35</v>
      </c>
      <c r="AB62">
        <f t="shared" si="24"/>
        <v>1.7289220917822838</v>
      </c>
    </row>
    <row r="63" spans="1:109" ht="18" customHeight="1" x14ac:dyDescent="0.2">
      <c r="A63" s="13">
        <v>2018</v>
      </c>
      <c r="B63" s="13"/>
      <c r="C63" s="13"/>
      <c r="D63" s="13"/>
      <c r="E63" s="13"/>
      <c r="F63" s="13"/>
      <c r="G63" s="13"/>
      <c r="H63" s="124">
        <v>458</v>
      </c>
      <c r="I63" s="13"/>
      <c r="J63" s="124">
        <v>686</v>
      </c>
      <c r="K63" s="124">
        <v>707</v>
      </c>
      <c r="L63" s="124">
        <v>871</v>
      </c>
      <c r="M63" s="13"/>
      <c r="N63" s="13"/>
      <c r="O63" s="124">
        <v>558</v>
      </c>
      <c r="P63" s="13"/>
      <c r="Q63" s="13"/>
      <c r="R63" s="13"/>
      <c r="S63" s="13"/>
      <c r="T63" s="13"/>
      <c r="U63" s="13"/>
      <c r="V63" s="13"/>
      <c r="W63" s="13"/>
      <c r="X63" s="13">
        <f>1148+208</f>
        <v>1356</v>
      </c>
      <c r="Y63" s="7"/>
      <c r="Z63" s="58">
        <v>40</v>
      </c>
      <c r="AB63">
        <f>X63/MAX(B63:W63)</f>
        <v>1.5568312284730195</v>
      </c>
    </row>
    <row r="64" spans="1:109" ht="18" customHeight="1" x14ac:dyDescent="0.2">
      <c r="A64" s="13">
        <v>2019</v>
      </c>
      <c r="B64" s="13"/>
      <c r="C64" s="13"/>
      <c r="D64" s="13"/>
      <c r="E64" s="13"/>
      <c r="F64" s="13"/>
      <c r="G64" s="124">
        <v>22</v>
      </c>
      <c r="H64" s="124">
        <v>421</v>
      </c>
      <c r="I64" s="124">
        <f>75+325</f>
        <v>400</v>
      </c>
      <c r="J64" s="13"/>
      <c r="K64" s="124">
        <v>553</v>
      </c>
      <c r="L64" s="124">
        <v>1</v>
      </c>
      <c r="M64" s="13"/>
      <c r="N64" s="124">
        <v>541</v>
      </c>
      <c r="O64" s="470">
        <f>86+361</f>
        <v>447</v>
      </c>
      <c r="P64" s="13"/>
      <c r="Q64" s="13"/>
      <c r="R64" s="13"/>
      <c r="S64" s="13"/>
      <c r="T64" s="13"/>
      <c r="U64" s="13"/>
      <c r="V64" s="13"/>
      <c r="W64" s="13"/>
      <c r="X64" s="13">
        <v>887</v>
      </c>
      <c r="Y64" s="7"/>
      <c r="Z64" s="58"/>
      <c r="AB64">
        <f>X64/MAX(B64:W64)</f>
        <v>1.6039783001808319</v>
      </c>
    </row>
    <row r="65" spans="1:71" ht="18" customHeight="1" x14ac:dyDescent="0.2">
      <c r="A65" s="13">
        <v>2020</v>
      </c>
      <c r="B65" s="13"/>
      <c r="C65" s="13"/>
      <c r="D65" s="13"/>
      <c r="E65" s="13"/>
      <c r="F65" s="13"/>
      <c r="G65" s="109">
        <v>13</v>
      </c>
      <c r="H65" s="13"/>
      <c r="I65" s="109">
        <v>142</v>
      </c>
      <c r="J65" s="13"/>
      <c r="K65" s="109">
        <v>380</v>
      </c>
      <c r="L65" s="13"/>
      <c r="M65" s="109">
        <f>381+82</f>
        <v>463</v>
      </c>
      <c r="N65" s="13"/>
      <c r="O65" s="13"/>
      <c r="P65" s="338">
        <v>291</v>
      </c>
      <c r="Q65" s="13"/>
      <c r="R65" s="13"/>
      <c r="S65" s="13"/>
      <c r="T65" s="13"/>
      <c r="U65" s="13"/>
      <c r="V65" s="13"/>
      <c r="W65" s="13"/>
      <c r="X65" s="13">
        <f>535+92</f>
        <v>627</v>
      </c>
      <c r="Y65" s="7"/>
      <c r="Z65" s="58"/>
      <c r="AB65">
        <f t="shared" ref="AB65:AB67" si="28">X65/MAX(B65:W65)</f>
        <v>1.3542116630669547</v>
      </c>
    </row>
    <row r="66" spans="1:71" s="150" customFormat="1" ht="18" customHeight="1" x14ac:dyDescent="0.2">
      <c r="A66" s="89">
        <v>2021</v>
      </c>
      <c r="B66" s="89"/>
      <c r="C66" s="89"/>
      <c r="D66" s="89"/>
      <c r="E66" s="89"/>
      <c r="F66" s="89"/>
      <c r="G66" s="89"/>
      <c r="H66" s="109">
        <v>208</v>
      </c>
      <c r="I66" s="109">
        <f>416+107</f>
        <v>523</v>
      </c>
      <c r="J66" s="89"/>
      <c r="K66" s="109">
        <v>960</v>
      </c>
      <c r="L66" s="89"/>
      <c r="M66" s="89"/>
      <c r="N66" s="89"/>
      <c r="O66" s="109">
        <v>1333</v>
      </c>
      <c r="P66" s="735"/>
      <c r="Q66" s="89"/>
      <c r="R66" s="89"/>
      <c r="S66" s="89"/>
      <c r="T66" s="89"/>
      <c r="U66" s="89"/>
      <c r="V66" s="89"/>
      <c r="W66" s="89"/>
      <c r="X66" s="89">
        <v>1605</v>
      </c>
      <c r="Y66" s="11"/>
      <c r="Z66" s="92"/>
      <c r="AB66">
        <f t="shared" si="28"/>
        <v>1.2040510127531883</v>
      </c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</row>
    <row r="67" spans="1:71" s="150" customFormat="1" ht="18" customHeight="1" x14ac:dyDescent="0.2">
      <c r="A67" s="89">
        <v>2022</v>
      </c>
      <c r="B67" s="89"/>
      <c r="C67" s="89"/>
      <c r="D67" s="89"/>
      <c r="E67" s="89"/>
      <c r="F67" s="89"/>
      <c r="G67" s="89"/>
      <c r="H67" s="109">
        <v>159</v>
      </c>
      <c r="I67" s="109">
        <v>196</v>
      </c>
      <c r="J67" s="89"/>
      <c r="K67" s="89"/>
      <c r="L67" s="109">
        <v>418</v>
      </c>
      <c r="M67" s="89"/>
      <c r="N67" s="89"/>
      <c r="O67" s="89"/>
      <c r="P67" s="437">
        <v>768</v>
      </c>
      <c r="Q67" s="89"/>
      <c r="R67" s="89"/>
      <c r="S67" s="89"/>
      <c r="T67" s="89"/>
      <c r="U67" s="89"/>
      <c r="V67" s="89"/>
      <c r="W67" s="89"/>
      <c r="X67" s="89">
        <v>868</v>
      </c>
      <c r="Y67" s="11"/>
      <c r="Z67" s="92"/>
      <c r="AB67">
        <f t="shared" si="28"/>
        <v>1.1302083333333333</v>
      </c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</row>
    <row r="68" spans="1:71" s="150" customFormat="1" ht="18" customHeight="1" x14ac:dyDescent="0.2">
      <c r="A68" s="89">
        <v>2023</v>
      </c>
      <c r="B68" s="89"/>
      <c r="C68" s="89"/>
      <c r="D68" s="89"/>
      <c r="E68" s="89"/>
      <c r="F68" s="89"/>
      <c r="G68" s="109">
        <v>2</v>
      </c>
      <c r="H68" s="109">
        <v>56</v>
      </c>
      <c r="I68" s="89"/>
      <c r="J68" s="109">
        <v>486</v>
      </c>
      <c r="K68" s="109">
        <v>348</v>
      </c>
      <c r="L68" s="89"/>
      <c r="M68" s="89"/>
      <c r="N68" s="109">
        <v>469</v>
      </c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11"/>
      <c r="Z68" s="92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</row>
    <row r="69" spans="1:71" ht="18" customHeight="1" x14ac:dyDescent="0.2">
      <c r="A69" s="64" t="s">
        <v>17</v>
      </c>
      <c r="B69" s="16"/>
      <c r="C69" s="16">
        <f>AVERAGE(C40:C54)</f>
        <v>44</v>
      </c>
      <c r="D69" s="16">
        <f>AVERAGE(D40:D54)</f>
        <v>6</v>
      </c>
      <c r="E69" s="16"/>
      <c r="F69" s="16">
        <f t="shared" ref="F69:V69" si="29">AVERAGE(F40:F54)</f>
        <v>40.666666666666664</v>
      </c>
      <c r="G69" s="16">
        <f t="shared" si="29"/>
        <v>157.19999999999999</v>
      </c>
      <c r="H69" s="16">
        <f t="shared" si="29"/>
        <v>305</v>
      </c>
      <c r="I69" s="16">
        <f t="shared" si="29"/>
        <v>467.5</v>
      </c>
      <c r="J69" s="16">
        <f t="shared" si="29"/>
        <v>519.5</v>
      </c>
      <c r="K69" s="16">
        <f t="shared" si="29"/>
        <v>783</v>
      </c>
      <c r="L69" s="16">
        <f t="shared" si="29"/>
        <v>850.875</v>
      </c>
      <c r="M69" s="16">
        <f t="shared" si="29"/>
        <v>719.42857142857144</v>
      </c>
      <c r="N69" s="16">
        <f t="shared" si="29"/>
        <v>801.4</v>
      </c>
      <c r="O69" s="16">
        <f t="shared" si="29"/>
        <v>680.375</v>
      </c>
      <c r="P69" s="16">
        <f t="shared" si="29"/>
        <v>598.5</v>
      </c>
      <c r="Q69" s="16">
        <f t="shared" si="29"/>
        <v>641.57142857142856</v>
      </c>
      <c r="R69" s="16">
        <f t="shared" si="29"/>
        <v>538.66666666666663</v>
      </c>
      <c r="S69" s="16">
        <f t="shared" si="29"/>
        <v>376</v>
      </c>
      <c r="T69" s="16">
        <f t="shared" si="29"/>
        <v>306</v>
      </c>
      <c r="U69" s="16">
        <f t="shared" si="29"/>
        <v>202</v>
      </c>
      <c r="V69" s="16">
        <f t="shared" si="29"/>
        <v>201</v>
      </c>
      <c r="W69" s="16"/>
      <c r="X69" s="16">
        <f>AVERAGE(X40:X54)</f>
        <v>1494.3333333333333</v>
      </c>
      <c r="Y69" s="17"/>
      <c r="Z69" s="16">
        <f>AVERAGE(Z40:Z54)</f>
        <v>40.875</v>
      </c>
    </row>
    <row r="70" spans="1:71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</row>
    <row r="71" spans="1:71" ht="18" customHeight="1" x14ac:dyDescent="0.2">
      <c r="A71" s="1002" t="s">
        <v>594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71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</row>
    <row r="73" spans="1:71" ht="18" customHeight="1" thickTop="1" x14ac:dyDescent="0.2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  <c r="AC73" t="s">
        <v>334</v>
      </c>
      <c r="AD73" s="2"/>
    </row>
    <row r="74" spans="1:71" ht="18" customHeight="1" x14ac:dyDescent="0.2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A74" s="2" t="s">
        <v>141</v>
      </c>
      <c r="AB74" t="s">
        <v>142</v>
      </c>
      <c r="AC74" s="2" t="s">
        <v>335</v>
      </c>
      <c r="AD74" t="s">
        <v>340</v>
      </c>
      <c r="AE74" s="2" t="s">
        <v>151</v>
      </c>
      <c r="AF74" t="s">
        <v>234</v>
      </c>
    </row>
    <row r="75" spans="1:71" ht="18" customHeight="1" x14ac:dyDescent="0.2">
      <c r="A75" s="1">
        <v>1995</v>
      </c>
      <c r="B75" s="6"/>
      <c r="C75" s="6"/>
      <c r="D75" s="6"/>
      <c r="E75" s="6"/>
      <c r="F75" s="6"/>
      <c r="G75" s="6"/>
      <c r="H75" s="6">
        <v>32</v>
      </c>
      <c r="I75" s="6">
        <v>99</v>
      </c>
      <c r="J75" s="6">
        <v>39</v>
      </c>
      <c r="K75" s="6"/>
      <c r="L75" s="360">
        <v>498</v>
      </c>
      <c r="M75" s="6"/>
      <c r="N75" s="6">
        <v>153</v>
      </c>
      <c r="O75" s="6"/>
      <c r="P75" s="6"/>
      <c r="Q75" s="6"/>
      <c r="R75" s="6"/>
      <c r="S75" s="6"/>
      <c r="T75" s="13"/>
      <c r="U75" s="13"/>
      <c r="V75" s="13"/>
      <c r="W75" s="13"/>
      <c r="X75" s="7">
        <v>800</v>
      </c>
      <c r="Y75" s="7" t="s">
        <v>5</v>
      </c>
      <c r="Z75" s="10">
        <v>20</v>
      </c>
      <c r="AA75" s="2">
        <f>MAX(B75:W75)</f>
        <v>498</v>
      </c>
      <c r="AB75">
        <f>X75/MAX(B75:W75)</f>
        <v>1.606425702811245</v>
      </c>
      <c r="AC75" t="s">
        <v>348</v>
      </c>
      <c r="AD75">
        <v>800</v>
      </c>
    </row>
    <row r="76" spans="1:71" ht="18" customHeight="1" x14ac:dyDescent="0.2">
      <c r="A76" s="1">
        <v>1996</v>
      </c>
      <c r="B76" s="6"/>
      <c r="C76" s="6"/>
      <c r="D76" s="6"/>
      <c r="E76" s="6"/>
      <c r="F76" s="6"/>
      <c r="G76" s="6">
        <v>69</v>
      </c>
      <c r="H76" s="6">
        <v>142</v>
      </c>
      <c r="I76" s="6">
        <v>176</v>
      </c>
      <c r="J76" s="6">
        <v>0</v>
      </c>
      <c r="K76" s="6">
        <v>1157</v>
      </c>
      <c r="L76" s="6"/>
      <c r="M76" s="6"/>
      <c r="N76" s="360">
        <v>1762</v>
      </c>
      <c r="O76" s="6"/>
      <c r="P76" s="6">
        <v>285</v>
      </c>
      <c r="Q76" s="6"/>
      <c r="R76" s="6"/>
      <c r="S76" s="6"/>
      <c r="T76" s="13"/>
      <c r="U76" s="13"/>
      <c r="V76" s="13"/>
      <c r="W76" s="13"/>
      <c r="X76" s="7">
        <v>2900</v>
      </c>
      <c r="Y76" s="7" t="s">
        <v>7</v>
      </c>
      <c r="Z76" s="10"/>
      <c r="AA76" s="2">
        <f t="shared" ref="AA76:AA97" si="30">MAX(B76:W76)</f>
        <v>1762</v>
      </c>
      <c r="AB76">
        <f t="shared" ref="AB76:AB97" si="31">X76/MAX(B76:W76)</f>
        <v>1.6458569807037458</v>
      </c>
      <c r="AC76" t="s">
        <v>338</v>
      </c>
      <c r="AD76">
        <v>2900</v>
      </c>
    </row>
    <row r="77" spans="1:71" ht="18" customHeight="1" x14ac:dyDescent="0.2">
      <c r="A77" s="1">
        <v>1997</v>
      </c>
      <c r="B77" s="6"/>
      <c r="C77" s="6"/>
      <c r="D77" s="6">
        <v>1</v>
      </c>
      <c r="E77" s="6"/>
      <c r="F77" s="6">
        <v>0</v>
      </c>
      <c r="G77" s="6"/>
      <c r="H77" s="6">
        <v>49</v>
      </c>
      <c r="I77" s="6"/>
      <c r="J77" s="6"/>
      <c r="K77" s="6">
        <v>232</v>
      </c>
      <c r="L77" s="6"/>
      <c r="M77" s="360">
        <v>947</v>
      </c>
      <c r="N77" s="6"/>
      <c r="O77" s="6"/>
      <c r="P77" s="6">
        <v>218</v>
      </c>
      <c r="Q77" s="6"/>
      <c r="R77" s="6"/>
      <c r="S77" s="6">
        <v>2</v>
      </c>
      <c r="T77" s="13"/>
      <c r="U77" s="13"/>
      <c r="V77" s="13"/>
      <c r="W77" s="13"/>
      <c r="X77" s="7">
        <v>1375</v>
      </c>
      <c r="Y77" s="7" t="s">
        <v>7</v>
      </c>
      <c r="Z77" s="10"/>
      <c r="AA77" s="2">
        <f t="shared" si="30"/>
        <v>947</v>
      </c>
      <c r="AB77">
        <f t="shared" si="31"/>
        <v>1.4519535374868004</v>
      </c>
      <c r="AC77" t="s">
        <v>338</v>
      </c>
      <c r="AD77">
        <v>1375</v>
      </c>
    </row>
    <row r="78" spans="1:71" ht="18" customHeight="1" x14ac:dyDescent="0.2">
      <c r="A78" s="1">
        <v>1998</v>
      </c>
      <c r="B78" s="6"/>
      <c r="C78" s="6">
        <v>3</v>
      </c>
      <c r="D78" s="6"/>
      <c r="E78" s="6"/>
      <c r="F78" s="6"/>
      <c r="G78" s="6">
        <v>9</v>
      </c>
      <c r="H78" s="6"/>
      <c r="I78" s="6">
        <v>32</v>
      </c>
      <c r="J78" s="6"/>
      <c r="K78" s="6">
        <v>899</v>
      </c>
      <c r="L78" s="359"/>
      <c r="M78" s="360">
        <v>6900</v>
      </c>
      <c r="N78" s="359"/>
      <c r="O78" s="359">
        <v>3710</v>
      </c>
      <c r="P78" s="6"/>
      <c r="Q78" s="6">
        <v>36</v>
      </c>
      <c r="R78" s="6"/>
      <c r="S78" s="6">
        <v>23</v>
      </c>
      <c r="T78" s="13"/>
      <c r="U78" s="13">
        <v>22</v>
      </c>
      <c r="V78" s="13"/>
      <c r="W78" s="13"/>
      <c r="X78" s="7">
        <v>6513</v>
      </c>
      <c r="Y78" s="7" t="s">
        <v>7</v>
      </c>
      <c r="Z78" s="10"/>
      <c r="AA78" s="2">
        <f t="shared" si="30"/>
        <v>6900</v>
      </c>
      <c r="AB78">
        <f t="shared" si="31"/>
        <v>0.94391304347826088</v>
      </c>
      <c r="AC78" t="s">
        <v>338</v>
      </c>
      <c r="AD78">
        <v>6513</v>
      </c>
    </row>
    <row r="79" spans="1:71" ht="18" customHeight="1" x14ac:dyDescent="0.2">
      <c r="A79" s="1">
        <v>1999</v>
      </c>
      <c r="B79" s="6"/>
      <c r="C79" s="6"/>
      <c r="D79" s="6"/>
      <c r="E79" s="6"/>
      <c r="F79" s="6"/>
      <c r="G79" s="6">
        <v>15</v>
      </c>
      <c r="H79" s="6"/>
      <c r="I79" s="6">
        <v>50</v>
      </c>
      <c r="J79" s="6">
        <v>125</v>
      </c>
      <c r="K79" s="6">
        <v>141</v>
      </c>
      <c r="L79" s="359">
        <v>625</v>
      </c>
      <c r="M79" s="360">
        <v>892</v>
      </c>
      <c r="N79" s="359">
        <v>782</v>
      </c>
      <c r="O79" s="359">
        <v>688</v>
      </c>
      <c r="P79" s="6"/>
      <c r="Q79" s="6">
        <v>143</v>
      </c>
      <c r="R79" s="6"/>
      <c r="S79" s="6">
        <v>7</v>
      </c>
      <c r="T79" s="13"/>
      <c r="U79" s="13"/>
      <c r="V79" s="13">
        <v>3</v>
      </c>
      <c r="W79" s="13"/>
      <c r="X79" s="9">
        <v>2299</v>
      </c>
      <c r="Y79" s="7" t="s">
        <v>7</v>
      </c>
      <c r="Z79" s="60"/>
      <c r="AA79" s="2">
        <f t="shared" si="30"/>
        <v>892</v>
      </c>
      <c r="AB79">
        <f t="shared" si="31"/>
        <v>2.5773542600896859</v>
      </c>
      <c r="AC79" t="s">
        <v>338</v>
      </c>
      <c r="AD79">
        <v>2299</v>
      </c>
    </row>
    <row r="80" spans="1:71" ht="18" customHeight="1" x14ac:dyDescent="0.2">
      <c r="A80" s="1">
        <v>2000</v>
      </c>
      <c r="B80" s="6"/>
      <c r="C80" s="6"/>
      <c r="D80" s="6"/>
      <c r="E80" s="6"/>
      <c r="F80" s="6"/>
      <c r="G80" s="6"/>
      <c r="H80" s="6">
        <v>62</v>
      </c>
      <c r="I80" s="6"/>
      <c r="J80" s="6">
        <v>123</v>
      </c>
      <c r="K80" s="6">
        <v>253</v>
      </c>
      <c r="L80" s="359">
        <v>510</v>
      </c>
      <c r="M80" s="359"/>
      <c r="N80" s="360">
        <v>1003</v>
      </c>
      <c r="O80" s="359"/>
      <c r="P80" s="6">
        <v>418</v>
      </c>
      <c r="Q80" s="6">
        <v>158</v>
      </c>
      <c r="R80" s="6"/>
      <c r="S80" s="6"/>
      <c r="T80" s="13">
        <v>3</v>
      </c>
      <c r="U80" s="13"/>
      <c r="V80" s="13"/>
      <c r="W80" s="13"/>
      <c r="X80" s="10">
        <v>1989</v>
      </c>
      <c r="Y80" s="7" t="s">
        <v>7</v>
      </c>
      <c r="AA80" s="2">
        <f t="shared" si="30"/>
        <v>1003</v>
      </c>
      <c r="AB80">
        <f t="shared" si="31"/>
        <v>1.9830508474576272</v>
      </c>
      <c r="AC80" t="s">
        <v>338</v>
      </c>
      <c r="AD80">
        <v>1989</v>
      </c>
      <c r="BO80" s="55"/>
      <c r="BP80" s="55"/>
      <c r="BQ80" s="55"/>
      <c r="BR80" s="55"/>
      <c r="BS80" s="55"/>
    </row>
    <row r="81" spans="1:98" ht="18" customHeight="1" x14ac:dyDescent="0.2">
      <c r="A81" s="1">
        <v>2001</v>
      </c>
      <c r="B81" s="6"/>
      <c r="C81" s="6"/>
      <c r="D81" s="6"/>
      <c r="E81" s="6"/>
      <c r="F81" s="6"/>
      <c r="G81" s="6"/>
      <c r="H81" s="6">
        <v>47</v>
      </c>
      <c r="I81" s="6"/>
      <c r="J81" s="6">
        <v>255</v>
      </c>
      <c r="K81" s="6"/>
      <c r="L81" s="359">
        <v>1889</v>
      </c>
      <c r="M81" s="359"/>
      <c r="N81" s="360">
        <v>2813</v>
      </c>
      <c r="O81" s="359"/>
      <c r="P81" s="6"/>
      <c r="Q81" s="6">
        <v>185</v>
      </c>
      <c r="R81" s="6">
        <v>111</v>
      </c>
      <c r="S81" s="6">
        <v>9</v>
      </c>
      <c r="T81" s="13"/>
      <c r="U81" s="13"/>
      <c r="V81" s="13"/>
      <c r="W81" s="13"/>
      <c r="X81" s="7">
        <v>3866</v>
      </c>
      <c r="Y81" s="7" t="s">
        <v>7</v>
      </c>
      <c r="AA81" s="2">
        <f t="shared" si="30"/>
        <v>2813</v>
      </c>
      <c r="AB81">
        <f t="shared" si="31"/>
        <v>1.3743334518307857</v>
      </c>
      <c r="AC81" t="s">
        <v>338</v>
      </c>
      <c r="AD81">
        <v>3866</v>
      </c>
    </row>
    <row r="82" spans="1:98" ht="18" customHeight="1" x14ac:dyDescent="0.2">
      <c r="A82" s="1">
        <v>2002</v>
      </c>
      <c r="B82" s="6"/>
      <c r="C82" s="6"/>
      <c r="D82" s="6"/>
      <c r="E82" s="6"/>
      <c r="F82" s="6"/>
      <c r="G82" s="6"/>
      <c r="H82" s="6">
        <v>49</v>
      </c>
      <c r="I82" s="6">
        <v>105</v>
      </c>
      <c r="J82" s="6"/>
      <c r="K82" s="6">
        <v>459</v>
      </c>
      <c r="L82" s="359">
        <v>886</v>
      </c>
      <c r="M82" s="359"/>
      <c r="N82" s="360">
        <v>3093</v>
      </c>
      <c r="O82" s="359"/>
      <c r="P82" s="6"/>
      <c r="Q82" s="6"/>
      <c r="R82" s="6">
        <v>10</v>
      </c>
      <c r="S82" s="6"/>
      <c r="T82" s="13">
        <v>15</v>
      </c>
      <c r="U82" s="13"/>
      <c r="V82" s="13"/>
      <c r="W82" s="13"/>
      <c r="X82" s="7">
        <v>4655</v>
      </c>
      <c r="Y82" s="7" t="s">
        <v>7</v>
      </c>
      <c r="AA82" s="2">
        <f t="shared" si="30"/>
        <v>3093</v>
      </c>
      <c r="AB82">
        <f t="shared" si="31"/>
        <v>1.5050113158745555</v>
      </c>
      <c r="AC82" t="s">
        <v>346</v>
      </c>
      <c r="AD82">
        <v>4655</v>
      </c>
      <c r="BZ82" s="55"/>
      <c r="CA82" s="55"/>
      <c r="CB82" s="55"/>
      <c r="CC82" s="55"/>
      <c r="CL82" s="55"/>
      <c r="CM82" s="55"/>
      <c r="CN82" s="55"/>
      <c r="CO82" s="55"/>
    </row>
    <row r="83" spans="1:98" ht="18" customHeight="1" x14ac:dyDescent="0.2">
      <c r="A83" s="1">
        <v>2003</v>
      </c>
      <c r="B83" s="6"/>
      <c r="C83" s="6"/>
      <c r="D83" s="6"/>
      <c r="E83" s="6"/>
      <c r="F83" s="6"/>
      <c r="G83" s="6">
        <v>37</v>
      </c>
      <c r="H83" s="6"/>
      <c r="I83" s="6">
        <v>321</v>
      </c>
      <c r="J83" s="6">
        <v>575</v>
      </c>
      <c r="K83" s="6"/>
      <c r="L83" s="359"/>
      <c r="M83" s="359"/>
      <c r="N83" s="360">
        <v>2442</v>
      </c>
      <c r="O83" s="359">
        <v>80</v>
      </c>
      <c r="P83" s="6">
        <v>1395</v>
      </c>
      <c r="Q83" s="6"/>
      <c r="R83" s="6"/>
      <c r="S83" s="6">
        <v>1</v>
      </c>
      <c r="T83" s="13"/>
      <c r="U83" s="13"/>
      <c r="V83" s="13"/>
      <c r="W83" s="13"/>
      <c r="X83" s="7">
        <v>4839</v>
      </c>
      <c r="Y83" s="7" t="s">
        <v>5</v>
      </c>
      <c r="Z83" s="60">
        <v>21</v>
      </c>
      <c r="AA83" s="2">
        <f t="shared" si="30"/>
        <v>2442</v>
      </c>
      <c r="AB83">
        <f t="shared" si="31"/>
        <v>1.9815724815724816</v>
      </c>
      <c r="AC83" t="s">
        <v>339</v>
      </c>
      <c r="AD83">
        <v>4839</v>
      </c>
    </row>
    <row r="84" spans="1:98" ht="18" customHeight="1" x14ac:dyDescent="0.2">
      <c r="A84" s="1">
        <v>2004</v>
      </c>
      <c r="B84" s="6"/>
      <c r="C84" s="6"/>
      <c r="D84" s="6"/>
      <c r="E84" s="6"/>
      <c r="F84" s="6"/>
      <c r="G84" s="6"/>
      <c r="H84" s="6"/>
      <c r="I84" s="97">
        <v>168</v>
      </c>
      <c r="J84" s="97">
        <v>390</v>
      </c>
      <c r="K84" s="97"/>
      <c r="L84" s="571">
        <v>3465</v>
      </c>
      <c r="M84" s="571">
        <v>4264</v>
      </c>
      <c r="N84" s="571"/>
      <c r="O84" s="571">
        <v>2332</v>
      </c>
      <c r="P84" s="97">
        <v>135</v>
      </c>
      <c r="Q84" s="97"/>
      <c r="R84" s="97">
        <v>59</v>
      </c>
      <c r="S84" s="6"/>
      <c r="T84" s="13"/>
      <c r="U84" s="13"/>
      <c r="V84" s="13"/>
      <c r="W84" s="13"/>
      <c r="X84" s="7">
        <v>8111</v>
      </c>
      <c r="Y84" s="7"/>
      <c r="Z84" s="60"/>
      <c r="AA84" s="2">
        <f t="shared" si="30"/>
        <v>4264</v>
      </c>
      <c r="AB84">
        <f t="shared" si="31"/>
        <v>1.9022045028142589</v>
      </c>
      <c r="AC84" t="s">
        <v>337</v>
      </c>
      <c r="AD84">
        <v>8111</v>
      </c>
    </row>
    <row r="85" spans="1:98" ht="18" customHeight="1" x14ac:dyDescent="0.2">
      <c r="A85" s="1">
        <v>2005</v>
      </c>
      <c r="B85" s="6"/>
      <c r="C85" s="6"/>
      <c r="D85" s="6"/>
      <c r="E85" s="6"/>
      <c r="F85" s="6"/>
      <c r="G85" s="6"/>
      <c r="H85" s="6"/>
      <c r="I85" s="6">
        <v>35</v>
      </c>
      <c r="J85" s="6"/>
      <c r="K85" s="6">
        <v>196</v>
      </c>
      <c r="L85" s="359"/>
      <c r="M85" s="360">
        <v>1093</v>
      </c>
      <c r="N85" s="359"/>
      <c r="O85" s="359">
        <v>329</v>
      </c>
      <c r="P85" s="6">
        <v>729</v>
      </c>
      <c r="Q85" s="6">
        <v>24</v>
      </c>
      <c r="R85" s="6">
        <v>3</v>
      </c>
      <c r="S85" s="6"/>
      <c r="T85" s="13"/>
      <c r="U85" s="13"/>
      <c r="V85" s="13"/>
      <c r="W85" s="13"/>
      <c r="X85" s="11">
        <v>2824</v>
      </c>
      <c r="Y85" s="7" t="s">
        <v>5</v>
      </c>
      <c r="Z85" s="60">
        <v>15.5</v>
      </c>
      <c r="AA85" s="2">
        <f t="shared" si="30"/>
        <v>1093</v>
      </c>
      <c r="AB85">
        <f t="shared" si="31"/>
        <v>2.5837145471180238</v>
      </c>
      <c r="AC85" t="s">
        <v>339</v>
      </c>
      <c r="AD85">
        <v>1913</v>
      </c>
    </row>
    <row r="86" spans="1:98" ht="18" customHeight="1" x14ac:dyDescent="0.2">
      <c r="A86" s="1">
        <v>2006</v>
      </c>
      <c r="B86" s="6"/>
      <c r="C86" s="6"/>
      <c r="D86" s="6"/>
      <c r="E86" s="6"/>
      <c r="F86" s="6">
        <v>0</v>
      </c>
      <c r="G86" s="6"/>
      <c r="H86" s="6">
        <v>79</v>
      </c>
      <c r="I86" s="6"/>
      <c r="J86" s="6">
        <v>211</v>
      </c>
      <c r="K86" s="6"/>
      <c r="L86" s="360">
        <v>2087</v>
      </c>
      <c r="M86" s="359"/>
      <c r="N86" s="359">
        <v>1995</v>
      </c>
      <c r="O86" s="359"/>
      <c r="P86" s="6"/>
      <c r="Q86" s="6">
        <v>7</v>
      </c>
      <c r="R86" s="6"/>
      <c r="S86" s="6">
        <v>7</v>
      </c>
      <c r="T86" s="13"/>
      <c r="U86" s="13"/>
      <c r="V86" s="13"/>
      <c r="W86" s="13"/>
      <c r="X86" s="12">
        <v>5643</v>
      </c>
      <c r="Y86" s="7" t="s">
        <v>5</v>
      </c>
      <c r="Z86" s="53">
        <v>12</v>
      </c>
      <c r="AA86" s="2">
        <f t="shared" si="30"/>
        <v>2087</v>
      </c>
      <c r="AB86">
        <f t="shared" si="31"/>
        <v>2.7038811691423095</v>
      </c>
      <c r="AC86" t="s">
        <v>337</v>
      </c>
      <c r="AD86">
        <v>5643</v>
      </c>
      <c r="AF86">
        <v>2</v>
      </c>
      <c r="CP86" s="55"/>
      <c r="CQ86" s="55"/>
      <c r="CR86" s="55"/>
      <c r="CS86" s="55"/>
      <c r="CT86" s="55"/>
    </row>
    <row r="87" spans="1:98" ht="18" customHeight="1" x14ac:dyDescent="0.2">
      <c r="A87" s="1">
        <v>2007</v>
      </c>
      <c r="B87" s="6"/>
      <c r="C87" s="6"/>
      <c r="D87" s="6"/>
      <c r="E87" s="6"/>
      <c r="F87" s="6"/>
      <c r="G87" s="6"/>
      <c r="H87" s="6">
        <v>29</v>
      </c>
      <c r="I87" s="6">
        <v>12</v>
      </c>
      <c r="J87" s="6"/>
      <c r="K87" s="6">
        <v>473</v>
      </c>
      <c r="L87" s="359"/>
      <c r="M87" s="359"/>
      <c r="N87" s="360">
        <v>1344</v>
      </c>
      <c r="O87" s="359">
        <v>725</v>
      </c>
      <c r="P87" s="6"/>
      <c r="Q87" s="6"/>
      <c r="R87" s="6">
        <v>8</v>
      </c>
      <c r="S87" s="6"/>
      <c r="T87" s="13">
        <v>0</v>
      </c>
      <c r="U87" s="13"/>
      <c r="V87" s="13"/>
      <c r="W87" s="13"/>
      <c r="X87" s="12">
        <v>1535</v>
      </c>
      <c r="Y87" s="7" t="s">
        <v>5</v>
      </c>
      <c r="Z87" s="60">
        <v>17.5</v>
      </c>
      <c r="AA87" s="2">
        <f t="shared" si="30"/>
        <v>1344</v>
      </c>
      <c r="AB87">
        <f t="shared" si="31"/>
        <v>1.1421130952380953</v>
      </c>
      <c r="AC87" t="s">
        <v>337</v>
      </c>
      <c r="AD87">
        <v>1535</v>
      </c>
      <c r="AF87">
        <v>72</v>
      </c>
      <c r="AZ87" s="55"/>
      <c r="BA87" s="55"/>
      <c r="BB87" s="55"/>
    </row>
    <row r="88" spans="1:98" s="55" customFormat="1" ht="18" customHeight="1" x14ac:dyDescent="0.2">
      <c r="A88" s="13">
        <v>2008</v>
      </c>
      <c r="B88" s="13"/>
      <c r="C88" s="13"/>
      <c r="D88" s="13"/>
      <c r="E88" s="13"/>
      <c r="F88" s="13">
        <v>3</v>
      </c>
      <c r="G88" s="13">
        <v>6</v>
      </c>
      <c r="H88" s="13">
        <v>6</v>
      </c>
      <c r="I88" s="13"/>
      <c r="J88" s="13">
        <v>64</v>
      </c>
      <c r="K88" s="366">
        <v>225</v>
      </c>
      <c r="L88" s="13"/>
      <c r="M88" s="13">
        <v>55</v>
      </c>
      <c r="N88" s="13">
        <v>56</v>
      </c>
      <c r="O88" s="130">
        <v>213</v>
      </c>
      <c r="P88" s="13"/>
      <c r="Q88" s="13">
        <v>13</v>
      </c>
      <c r="R88" s="13">
        <v>5</v>
      </c>
      <c r="S88" s="13"/>
      <c r="T88" s="13"/>
      <c r="U88" s="13"/>
      <c r="V88" s="13"/>
      <c r="W88" s="13"/>
      <c r="X88" s="13">
        <v>578</v>
      </c>
      <c r="Y88" s="7" t="s">
        <v>5</v>
      </c>
      <c r="Z88" s="58">
        <v>12</v>
      </c>
      <c r="AA88" s="2">
        <f t="shared" si="30"/>
        <v>225</v>
      </c>
      <c r="AB88">
        <f t="shared" si="31"/>
        <v>2.568888888888889</v>
      </c>
      <c r="AC88" t="s">
        <v>339</v>
      </c>
      <c r="AD88">
        <v>578</v>
      </c>
      <c r="AE88"/>
      <c r="AF88">
        <v>37</v>
      </c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 s="2"/>
      <c r="BA88" s="2"/>
      <c r="BB88" s="2"/>
      <c r="BO88" s="2"/>
      <c r="BP88" s="2"/>
      <c r="BQ88" s="2"/>
      <c r="BR88" s="2"/>
      <c r="BS88" s="2"/>
      <c r="BZ88" s="2"/>
      <c r="CA88" s="2"/>
      <c r="CB88" s="2"/>
      <c r="CC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ht="18" customHeight="1" x14ac:dyDescent="0.2">
      <c r="A89" s="13">
        <v>2009</v>
      </c>
      <c r="B89" s="13"/>
      <c r="C89" s="13"/>
      <c r="D89" s="13"/>
      <c r="E89" s="13"/>
      <c r="F89" s="13"/>
      <c r="G89" s="13"/>
      <c r="H89" s="13">
        <v>8</v>
      </c>
      <c r="I89" s="13">
        <v>57</v>
      </c>
      <c r="J89" s="13">
        <v>88</v>
      </c>
      <c r="K89" s="13"/>
      <c r="L89" s="13">
        <v>382</v>
      </c>
      <c r="M89" s="526">
        <v>1037</v>
      </c>
      <c r="N89" s="13"/>
      <c r="O89" s="13">
        <v>557</v>
      </c>
      <c r="P89" s="13"/>
      <c r="Q89" s="13"/>
      <c r="R89" s="13"/>
      <c r="S89" s="13"/>
      <c r="T89" s="13">
        <v>0</v>
      </c>
      <c r="U89" s="13"/>
      <c r="V89" s="13"/>
      <c r="W89" s="13"/>
      <c r="X89" s="13">
        <v>1480</v>
      </c>
      <c r="Y89" s="7" t="s">
        <v>5</v>
      </c>
      <c r="Z89" s="58">
        <v>20</v>
      </c>
      <c r="AA89" s="2">
        <f t="shared" si="30"/>
        <v>1037</v>
      </c>
      <c r="AB89">
        <f t="shared" si="31"/>
        <v>1.4271938283510126</v>
      </c>
      <c r="AC89" t="s">
        <v>337</v>
      </c>
      <c r="AD89">
        <v>1480</v>
      </c>
      <c r="AF89">
        <v>1</v>
      </c>
    </row>
    <row r="90" spans="1:98" ht="18" customHeight="1" x14ac:dyDescent="0.2">
      <c r="A90" s="13">
        <v>2010</v>
      </c>
      <c r="B90" s="13"/>
      <c r="C90" s="13"/>
      <c r="D90" s="13"/>
      <c r="E90" s="13"/>
      <c r="F90" s="13"/>
      <c r="G90" s="13"/>
      <c r="H90" s="1">
        <v>7</v>
      </c>
      <c r="I90" s="1">
        <v>47</v>
      </c>
      <c r="J90" s="1">
        <v>461</v>
      </c>
      <c r="K90" s="1"/>
      <c r="L90" s="1"/>
      <c r="M90" s="527">
        <v>1811</v>
      </c>
      <c r="N90" s="1">
        <v>1011</v>
      </c>
      <c r="O90" s="1"/>
      <c r="P90" s="1"/>
      <c r="Q90" s="1"/>
      <c r="R90" s="1">
        <v>0</v>
      </c>
      <c r="S90" s="13"/>
      <c r="T90" s="13"/>
      <c r="U90" s="13"/>
      <c r="V90" s="13"/>
      <c r="W90" s="13"/>
      <c r="X90" s="13">
        <v>3370</v>
      </c>
      <c r="Y90" s="7"/>
      <c r="Z90" s="58"/>
      <c r="AA90" s="2">
        <f t="shared" si="30"/>
        <v>1811</v>
      </c>
      <c r="AB90">
        <f t="shared" si="31"/>
        <v>1.860850358917725</v>
      </c>
      <c r="AC90" t="s">
        <v>337</v>
      </c>
      <c r="AD90">
        <v>3370</v>
      </c>
      <c r="AF90">
        <v>46</v>
      </c>
    </row>
    <row r="91" spans="1:98" ht="18" customHeight="1" x14ac:dyDescent="0.2">
      <c r="A91" s="13">
        <v>2011</v>
      </c>
      <c r="B91" s="13"/>
      <c r="C91" s="13"/>
      <c r="D91" s="13"/>
      <c r="E91" s="13"/>
      <c r="F91" s="13"/>
      <c r="G91" s="13">
        <v>5</v>
      </c>
      <c r="H91" s="13">
        <v>76</v>
      </c>
      <c r="I91" s="13"/>
      <c r="J91" s="13">
        <v>683</v>
      </c>
      <c r="K91" s="13"/>
      <c r="L91" s="13"/>
      <c r="M91" s="526">
        <v>4719</v>
      </c>
      <c r="N91" s="13">
        <v>3266</v>
      </c>
      <c r="O91" s="13">
        <v>634</v>
      </c>
      <c r="P91" s="13"/>
      <c r="Q91" s="13">
        <v>36</v>
      </c>
      <c r="R91" s="13"/>
      <c r="S91" s="13">
        <v>1</v>
      </c>
      <c r="T91" s="13"/>
      <c r="U91" s="13"/>
      <c r="V91" s="13"/>
      <c r="W91" s="13"/>
      <c r="X91" s="13">
        <v>6700</v>
      </c>
      <c r="Y91" s="7" t="s">
        <v>5</v>
      </c>
      <c r="Z91" s="58">
        <v>20</v>
      </c>
      <c r="AA91" s="2">
        <f t="shared" si="30"/>
        <v>4719</v>
      </c>
      <c r="AB91">
        <f t="shared" si="31"/>
        <v>1.4197923288832379</v>
      </c>
      <c r="AC91" t="s">
        <v>339</v>
      </c>
      <c r="AD91">
        <v>6026</v>
      </c>
      <c r="AF91">
        <v>63</v>
      </c>
    </row>
    <row r="92" spans="1:98" ht="18" customHeight="1" x14ac:dyDescent="0.2">
      <c r="A92" s="13">
        <v>2012</v>
      </c>
      <c r="B92" s="13"/>
      <c r="C92" s="13"/>
      <c r="D92" s="13"/>
      <c r="E92" s="13"/>
      <c r="F92" s="13">
        <f>3+1</f>
        <v>4</v>
      </c>
      <c r="G92" s="13">
        <f>2</f>
        <v>2</v>
      </c>
      <c r="H92" s="13">
        <f>26+2</f>
        <v>28</v>
      </c>
      <c r="I92" s="13">
        <f>117+2</f>
        <v>119</v>
      </c>
      <c r="J92" s="13">
        <f>1011+21</f>
        <v>1032</v>
      </c>
      <c r="K92" s="13">
        <f>242+12</f>
        <v>254</v>
      </c>
      <c r="L92" s="13"/>
      <c r="M92" s="526">
        <v>2527</v>
      </c>
      <c r="N92" s="13"/>
      <c r="O92" s="13"/>
      <c r="P92" s="13">
        <v>5</v>
      </c>
      <c r="Q92" s="13"/>
      <c r="R92" s="13"/>
      <c r="S92" s="13"/>
      <c r="T92" s="13"/>
      <c r="U92" s="13"/>
      <c r="V92" s="13"/>
      <c r="W92" s="13"/>
      <c r="X92" s="13">
        <f>2758+296</f>
        <v>3054</v>
      </c>
      <c r="Y92" s="7" t="s">
        <v>5</v>
      </c>
      <c r="Z92" s="58">
        <f>AVERAGE(17.5,12)</f>
        <v>14.75</v>
      </c>
      <c r="AA92" s="2">
        <f t="shared" si="30"/>
        <v>2527</v>
      </c>
      <c r="AB92">
        <f t="shared" si="31"/>
        <v>1.2085476850019787</v>
      </c>
      <c r="AC92" t="s">
        <v>339</v>
      </c>
      <c r="AD92">
        <v>2758</v>
      </c>
      <c r="AF92">
        <v>27</v>
      </c>
    </row>
    <row r="93" spans="1:98" ht="18" customHeight="1" x14ac:dyDescent="0.2">
      <c r="A93" s="13">
        <v>2013</v>
      </c>
      <c r="B93" s="13"/>
      <c r="C93" s="13"/>
      <c r="D93" s="13"/>
      <c r="E93" s="13"/>
      <c r="F93" s="13">
        <f>4+2</f>
        <v>6</v>
      </c>
      <c r="G93" s="13"/>
      <c r="H93" s="13">
        <f>1+10</f>
        <v>11</v>
      </c>
      <c r="I93" s="13"/>
      <c r="J93" s="13">
        <f>828+35</f>
        <v>863</v>
      </c>
      <c r="K93" s="13"/>
      <c r="L93" s="526">
        <v>1331</v>
      </c>
      <c r="M93" s="13">
        <v>1093</v>
      </c>
      <c r="N93" s="13">
        <v>767</v>
      </c>
      <c r="O93" s="13"/>
      <c r="P93" s="13"/>
      <c r="Q93" s="13">
        <f>8+57</f>
        <v>65</v>
      </c>
      <c r="R93" s="13"/>
      <c r="S93" s="13"/>
      <c r="T93" s="13"/>
      <c r="U93" s="13"/>
      <c r="V93" s="13"/>
      <c r="W93" s="13"/>
      <c r="X93" s="13">
        <v>2677</v>
      </c>
      <c r="Y93" s="7" t="s">
        <v>5</v>
      </c>
      <c r="Z93" s="58">
        <v>17.5</v>
      </c>
      <c r="AA93" s="2">
        <f t="shared" si="30"/>
        <v>1331</v>
      </c>
      <c r="AB93">
        <f t="shared" si="31"/>
        <v>2.0112697220135236</v>
      </c>
      <c r="AC93" t="s">
        <v>339</v>
      </c>
      <c r="AD93">
        <v>2565</v>
      </c>
      <c r="AF93">
        <v>2</v>
      </c>
    </row>
    <row r="94" spans="1:98" ht="18" customHeight="1" x14ac:dyDescent="0.2">
      <c r="A94" s="13">
        <v>2014</v>
      </c>
      <c r="B94" s="13"/>
      <c r="C94" s="13"/>
      <c r="D94" s="13"/>
      <c r="E94" s="13"/>
      <c r="F94" s="13"/>
      <c r="G94" s="13">
        <v>5</v>
      </c>
      <c r="H94" s="13">
        <v>9</v>
      </c>
      <c r="I94" s="13"/>
      <c r="J94" s="13">
        <v>198</v>
      </c>
      <c r="K94" s="13">
        <f>352+38</f>
        <v>390</v>
      </c>
      <c r="L94" s="13"/>
      <c r="M94" s="13"/>
      <c r="N94" s="13"/>
      <c r="O94" s="526">
        <f>685+66</f>
        <v>751</v>
      </c>
      <c r="P94" s="13">
        <v>29</v>
      </c>
      <c r="Q94" s="13">
        <v>69</v>
      </c>
      <c r="R94" s="13"/>
      <c r="S94" s="13"/>
      <c r="T94" s="13"/>
      <c r="U94" s="13"/>
      <c r="V94" s="13"/>
      <c r="W94" s="13"/>
      <c r="X94" s="13">
        <v>1579</v>
      </c>
      <c r="Y94" s="7" t="s">
        <v>5</v>
      </c>
      <c r="Z94" s="58">
        <v>15</v>
      </c>
      <c r="AA94" s="2">
        <f t="shared" si="30"/>
        <v>751</v>
      </c>
      <c r="AB94">
        <f t="shared" si="31"/>
        <v>2.1025299600532623</v>
      </c>
      <c r="AF94">
        <v>2</v>
      </c>
    </row>
    <row r="95" spans="1:98" ht="18" customHeight="1" x14ac:dyDescent="0.2">
      <c r="A95" s="13">
        <v>2015</v>
      </c>
      <c r="B95" s="13"/>
      <c r="C95" s="13"/>
      <c r="D95" s="13"/>
      <c r="E95" s="13"/>
      <c r="F95" s="13"/>
      <c r="G95" s="124">
        <v>16</v>
      </c>
      <c r="H95" s="13"/>
      <c r="I95" s="13"/>
      <c r="J95" s="124">
        <f>20+308</f>
        <v>328</v>
      </c>
      <c r="K95" s="124">
        <v>326</v>
      </c>
      <c r="L95" s="13"/>
      <c r="M95" s="124">
        <v>841</v>
      </c>
      <c r="N95" s="526">
        <v>1497</v>
      </c>
      <c r="O95" s="124">
        <v>819</v>
      </c>
      <c r="P95" s="13"/>
      <c r="Q95" s="124">
        <v>0</v>
      </c>
      <c r="R95" s="124">
        <v>1</v>
      </c>
      <c r="S95" s="13"/>
      <c r="T95" s="13"/>
      <c r="U95" s="13"/>
      <c r="V95" s="13"/>
      <c r="W95" s="13"/>
      <c r="X95" s="13">
        <v>2495</v>
      </c>
      <c r="Y95" s="7" t="s">
        <v>5</v>
      </c>
      <c r="Z95" s="58">
        <v>15</v>
      </c>
      <c r="AA95" s="2">
        <f t="shared" si="30"/>
        <v>1497</v>
      </c>
      <c r="AB95">
        <f t="shared" si="31"/>
        <v>1.6666666666666667</v>
      </c>
      <c r="AF95">
        <v>103</v>
      </c>
    </row>
    <row r="96" spans="1:98" ht="18" customHeight="1" x14ac:dyDescent="0.2">
      <c r="A96" s="13">
        <v>2016</v>
      </c>
      <c r="B96" s="13"/>
      <c r="C96" s="13"/>
      <c r="D96" s="13"/>
      <c r="E96" s="13"/>
      <c r="F96" s="13"/>
      <c r="G96" s="124">
        <v>8</v>
      </c>
      <c r="H96" s="13"/>
      <c r="I96" s="13"/>
      <c r="J96" s="124">
        <v>111</v>
      </c>
      <c r="K96" s="13"/>
      <c r="L96" s="124">
        <v>1051</v>
      </c>
      <c r="M96" s="13"/>
      <c r="N96" s="13"/>
      <c r="O96" s="366">
        <f>214+2812</f>
        <v>3026</v>
      </c>
      <c r="P96" s="13"/>
      <c r="Q96" s="124">
        <f>189+20</f>
        <v>209</v>
      </c>
      <c r="R96" s="13"/>
      <c r="S96" s="13"/>
      <c r="T96" s="124">
        <f>14+8</f>
        <v>22</v>
      </c>
      <c r="U96" s="13"/>
      <c r="V96" s="13"/>
      <c r="W96" s="13"/>
      <c r="X96" s="13">
        <v>6071</v>
      </c>
      <c r="Y96" s="7"/>
      <c r="Z96" s="58">
        <v>15</v>
      </c>
      <c r="AA96" s="2">
        <f t="shared" si="30"/>
        <v>3026</v>
      </c>
      <c r="AB96">
        <f t="shared" si="31"/>
        <v>2.0062789160608063</v>
      </c>
    </row>
    <row r="97" spans="1:51" ht="18" customHeight="1" x14ac:dyDescent="0.2">
      <c r="A97" s="13">
        <v>2017</v>
      </c>
      <c r="B97" s="13"/>
      <c r="C97" s="13"/>
      <c r="D97" s="13"/>
      <c r="E97" s="13"/>
      <c r="F97" s="13"/>
      <c r="G97" s="124">
        <v>7</v>
      </c>
      <c r="H97" s="124">
        <v>57</v>
      </c>
      <c r="I97" s="470">
        <v>81</v>
      </c>
      <c r="J97" s="13"/>
      <c r="K97" s="470">
        <v>416</v>
      </c>
      <c r="L97" s="13"/>
      <c r="M97" s="366">
        <v>1787</v>
      </c>
      <c r="N97" s="13"/>
      <c r="O97" s="300">
        <v>517</v>
      </c>
      <c r="P97" s="13"/>
      <c r="Q97" s="13"/>
      <c r="R97" s="13"/>
      <c r="S97" s="13"/>
      <c r="T97" s="13"/>
      <c r="U97" s="13"/>
      <c r="V97" s="13"/>
      <c r="W97" s="13"/>
      <c r="X97" s="13">
        <v>2955</v>
      </c>
      <c r="Y97" s="7"/>
      <c r="Z97" s="58">
        <v>15</v>
      </c>
      <c r="AA97" s="2">
        <f t="shared" si="30"/>
        <v>1787</v>
      </c>
      <c r="AB97">
        <f t="shared" si="31"/>
        <v>1.6536094012311136</v>
      </c>
    </row>
    <row r="98" spans="1:51" ht="18" customHeight="1" x14ac:dyDescent="0.2">
      <c r="A98" s="13">
        <v>2018</v>
      </c>
      <c r="B98" s="13"/>
      <c r="C98" s="13"/>
      <c r="D98" s="13"/>
      <c r="E98" s="13"/>
      <c r="F98" s="13"/>
      <c r="G98" s="13"/>
      <c r="H98" s="124">
        <v>119</v>
      </c>
      <c r="I98" s="13"/>
      <c r="J98" s="124">
        <v>476</v>
      </c>
      <c r="K98" s="565">
        <v>459</v>
      </c>
      <c r="L98" s="300">
        <f>613+5</f>
        <v>618</v>
      </c>
      <c r="M98" s="13"/>
      <c r="N98" s="13"/>
      <c r="O98" s="124">
        <v>919</v>
      </c>
      <c r="P98" s="13"/>
      <c r="Q98" s="13"/>
      <c r="R98" s="13"/>
      <c r="S98" s="13"/>
      <c r="T98" s="13"/>
      <c r="U98" s="13"/>
      <c r="V98" s="13"/>
      <c r="W98" s="13"/>
      <c r="X98" s="13">
        <f>1963+19</f>
        <v>1982</v>
      </c>
      <c r="Y98" s="7"/>
      <c r="Z98" s="58"/>
      <c r="AA98" s="2">
        <f>MAX(B98:W98)</f>
        <v>919</v>
      </c>
      <c r="AB98">
        <f>X98/MAX(B98:W98)</f>
        <v>2.1566920565832426</v>
      </c>
    </row>
    <row r="99" spans="1:51" ht="18" customHeight="1" x14ac:dyDescent="0.2">
      <c r="A99" s="13">
        <v>2019</v>
      </c>
      <c r="B99" s="13"/>
      <c r="C99" s="13"/>
      <c r="D99" s="13"/>
      <c r="E99" s="13"/>
      <c r="F99" s="13"/>
      <c r="G99" s="124">
        <v>7</v>
      </c>
      <c r="H99" s="124">
        <v>214</v>
      </c>
      <c r="I99" s="124">
        <f>8+101</f>
        <v>109</v>
      </c>
      <c r="J99" s="13"/>
      <c r="K99" s="300">
        <v>263</v>
      </c>
      <c r="L99" s="565">
        <v>355</v>
      </c>
      <c r="M99" s="13"/>
      <c r="N99" s="565">
        <v>363</v>
      </c>
      <c r="O99" s="300">
        <v>109</v>
      </c>
      <c r="P99" s="13"/>
      <c r="Q99" s="13"/>
      <c r="R99" s="13"/>
      <c r="S99" s="13"/>
      <c r="T99" s="13"/>
      <c r="U99" s="13"/>
      <c r="V99" s="13"/>
      <c r="W99" s="13"/>
      <c r="X99" s="13">
        <v>1150</v>
      </c>
      <c r="Y99" s="7"/>
      <c r="Z99" s="58"/>
      <c r="AA99" s="2">
        <f>MAX(B99:W99)</f>
        <v>363</v>
      </c>
      <c r="AB99">
        <f>X99/MAX(B99:W99)</f>
        <v>3.168044077134986</v>
      </c>
    </row>
    <row r="100" spans="1:51" ht="18" customHeight="1" x14ac:dyDescent="0.2">
      <c r="A100" s="13">
        <v>2020</v>
      </c>
      <c r="B100" s="13"/>
      <c r="C100" s="13"/>
      <c r="D100" s="13"/>
      <c r="E100" s="13"/>
      <c r="F100" s="13"/>
      <c r="G100" s="109">
        <v>0</v>
      </c>
      <c r="H100" s="13"/>
      <c r="I100" s="109">
        <v>5</v>
      </c>
      <c r="J100" s="13"/>
      <c r="K100" s="590">
        <v>159</v>
      </c>
      <c r="L100" s="13"/>
      <c r="M100" s="155">
        <v>1575</v>
      </c>
      <c r="N100" s="13"/>
      <c r="O100" s="13"/>
      <c r="P100" s="155">
        <v>168</v>
      </c>
      <c r="Q100" s="13"/>
      <c r="R100" s="13"/>
      <c r="S100" s="13"/>
      <c r="T100" s="13"/>
      <c r="U100" s="13"/>
      <c r="V100" s="13"/>
      <c r="W100" s="13"/>
      <c r="X100" s="13">
        <f>2371+22</f>
        <v>2393</v>
      </c>
      <c r="Y100" s="7"/>
      <c r="Z100" s="58"/>
      <c r="AA100" s="2">
        <f t="shared" ref="AA100:AA102" si="32">MAX(B100:W100)</f>
        <v>1575</v>
      </c>
      <c r="AB100">
        <f t="shared" ref="AB100:AB102" si="33">X100/MAX(B100:W100)</f>
        <v>1.5193650793650795</v>
      </c>
    </row>
    <row r="101" spans="1:51" s="150" customFormat="1" ht="18" customHeight="1" x14ac:dyDescent="0.2">
      <c r="A101" s="89">
        <v>2021</v>
      </c>
      <c r="B101" s="89"/>
      <c r="C101" s="89"/>
      <c r="D101" s="89"/>
      <c r="E101" s="89"/>
      <c r="F101" s="89"/>
      <c r="G101" s="89"/>
      <c r="H101" s="109">
        <v>24</v>
      </c>
      <c r="I101" s="109">
        <f>160+2</f>
        <v>162</v>
      </c>
      <c r="J101" s="89"/>
      <c r="K101" s="590">
        <v>309</v>
      </c>
      <c r="L101" s="89"/>
      <c r="M101" s="737"/>
      <c r="N101" s="89"/>
      <c r="O101" s="155">
        <f>35+1186</f>
        <v>1221</v>
      </c>
      <c r="P101" s="737"/>
      <c r="Q101" s="89"/>
      <c r="R101" s="89"/>
      <c r="S101" s="89"/>
      <c r="T101" s="89"/>
      <c r="U101" s="89"/>
      <c r="V101" s="89"/>
      <c r="W101" s="89"/>
      <c r="X101" s="89">
        <v>2265</v>
      </c>
      <c r="Y101" s="11"/>
      <c r="Z101" s="92"/>
      <c r="AA101" s="2">
        <f t="shared" si="32"/>
        <v>1221</v>
      </c>
      <c r="AB101">
        <f t="shared" si="33"/>
        <v>1.855036855036855</v>
      </c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</row>
    <row r="102" spans="1:51" s="150" customFormat="1" ht="18" customHeight="1" x14ac:dyDescent="0.2">
      <c r="A102" s="89">
        <v>2022</v>
      </c>
      <c r="B102" s="89"/>
      <c r="C102" s="89"/>
      <c r="D102" s="89"/>
      <c r="E102" s="89"/>
      <c r="F102" s="89"/>
      <c r="G102" s="89"/>
      <c r="H102" s="109">
        <v>5</v>
      </c>
      <c r="I102" s="109">
        <v>12</v>
      </c>
      <c r="J102" s="89"/>
      <c r="K102" s="736"/>
      <c r="L102" s="109">
        <v>0</v>
      </c>
      <c r="M102" s="737"/>
      <c r="N102" s="89"/>
      <c r="O102" s="737"/>
      <c r="P102" s="155">
        <v>554</v>
      </c>
      <c r="Q102" s="89"/>
      <c r="R102" s="89"/>
      <c r="S102" s="89"/>
      <c r="T102" s="89"/>
      <c r="U102" s="89"/>
      <c r="V102" s="89"/>
      <c r="W102" s="89"/>
      <c r="X102" s="89">
        <v>2040</v>
      </c>
      <c r="Y102" s="11"/>
      <c r="Z102" s="92"/>
      <c r="AA102" s="2">
        <f t="shared" si="32"/>
        <v>554</v>
      </c>
      <c r="AB102">
        <f t="shared" si="33"/>
        <v>3.6823104693140793</v>
      </c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</row>
    <row r="103" spans="1:51" s="150" customFormat="1" ht="18" customHeight="1" x14ac:dyDescent="0.2">
      <c r="A103" s="89">
        <v>2023</v>
      </c>
      <c r="B103" s="89"/>
      <c r="C103" s="89"/>
      <c r="D103" s="89"/>
      <c r="E103" s="89"/>
      <c r="F103" s="89"/>
      <c r="G103" s="109">
        <v>0</v>
      </c>
      <c r="H103" s="109">
        <v>6</v>
      </c>
      <c r="I103" s="89"/>
      <c r="J103" s="109">
        <v>271</v>
      </c>
      <c r="K103" s="590">
        <v>1901</v>
      </c>
      <c r="L103" s="89"/>
      <c r="M103" s="89"/>
      <c r="N103" s="155">
        <f>1801+105</f>
        <v>1906</v>
      </c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11"/>
      <c r="Z103" s="92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</row>
    <row r="104" spans="1:51" ht="18" customHeight="1" x14ac:dyDescent="0.2">
      <c r="A104" s="64" t="s">
        <v>17</v>
      </c>
      <c r="B104" s="16"/>
      <c r="C104" s="16">
        <f>AVERAGE(C75:C89)</f>
        <v>3</v>
      </c>
      <c r="D104" s="16">
        <f>AVERAGE(D75:D89)</f>
        <v>1</v>
      </c>
      <c r="E104" s="16"/>
      <c r="F104" s="16">
        <f t="shared" ref="F104:V104" si="34">AVERAGE(F75:F89)</f>
        <v>1</v>
      </c>
      <c r="G104" s="16">
        <f t="shared" si="34"/>
        <v>27.2</v>
      </c>
      <c r="H104" s="16">
        <f t="shared" si="34"/>
        <v>50.3</v>
      </c>
      <c r="I104" s="16">
        <f t="shared" si="34"/>
        <v>105.5</v>
      </c>
      <c r="J104" s="16">
        <f t="shared" si="34"/>
        <v>187</v>
      </c>
      <c r="K104" s="16">
        <f t="shared" si="34"/>
        <v>448.33333333333331</v>
      </c>
      <c r="L104" s="16">
        <f t="shared" si="34"/>
        <v>1292.75</v>
      </c>
      <c r="M104" s="16">
        <f t="shared" si="34"/>
        <v>2169.7142857142858</v>
      </c>
      <c r="N104" s="16">
        <f t="shared" si="34"/>
        <v>1544.3</v>
      </c>
      <c r="O104" s="16">
        <f t="shared" si="34"/>
        <v>1079.25</v>
      </c>
      <c r="P104" s="16">
        <f t="shared" si="34"/>
        <v>530</v>
      </c>
      <c r="Q104" s="16">
        <f t="shared" si="34"/>
        <v>80.857142857142861</v>
      </c>
      <c r="R104" s="16">
        <f t="shared" si="34"/>
        <v>32.666666666666664</v>
      </c>
      <c r="S104" s="16">
        <f t="shared" si="34"/>
        <v>8.1666666666666661</v>
      </c>
      <c r="T104" s="16">
        <f t="shared" si="34"/>
        <v>4.5</v>
      </c>
      <c r="U104" s="16">
        <f t="shared" si="34"/>
        <v>22</v>
      </c>
      <c r="V104" s="16">
        <f t="shared" si="34"/>
        <v>3</v>
      </c>
      <c r="W104" s="16"/>
      <c r="X104" s="16">
        <f>AVERAGE(X75:X89)</f>
        <v>3293.8</v>
      </c>
      <c r="Y104" s="17"/>
      <c r="Z104" s="16">
        <f>AVERAGE(Z75:Z89)</f>
        <v>16.857142857142858</v>
      </c>
    </row>
    <row r="107" spans="1:51" x14ac:dyDescent="0.2">
      <c r="A107" s="1002" t="s">
        <v>595</v>
      </c>
      <c r="B107" s="1003"/>
      <c r="C107" s="1003"/>
      <c r="D107" s="1003"/>
      <c r="E107" s="1003"/>
      <c r="F107" s="1003"/>
      <c r="G107" s="1003"/>
      <c r="H107" s="1003"/>
      <c r="I107" s="1003"/>
    </row>
    <row r="108" spans="1:51" ht="13.5" thickBot="1" x14ac:dyDescent="0.25"/>
    <row r="109" spans="1:51" ht="13.5" thickTop="1" x14ac:dyDescent="0.2">
      <c r="A109" s="1004" t="s">
        <v>0</v>
      </c>
      <c r="B109" s="1006" t="s">
        <v>1</v>
      </c>
      <c r="C109" s="1006"/>
      <c r="D109" s="1006"/>
      <c r="E109" s="1006"/>
      <c r="F109" s="1006"/>
      <c r="G109" s="1006"/>
      <c r="H109" s="1006"/>
      <c r="I109" s="1006"/>
      <c r="J109" s="1006"/>
      <c r="K109" s="1006"/>
      <c r="L109" s="1006"/>
      <c r="M109" s="1006"/>
      <c r="N109" s="1006"/>
      <c r="O109" s="1006"/>
      <c r="P109" s="1006"/>
      <c r="Q109" s="1006"/>
      <c r="R109" s="1006"/>
      <c r="S109" s="1006"/>
      <c r="T109" s="1006"/>
      <c r="U109" s="1006"/>
      <c r="V109" s="1006"/>
      <c r="W109" s="1006"/>
      <c r="X109" s="1004" t="s">
        <v>2</v>
      </c>
      <c r="Y109" s="1010" t="s">
        <v>3</v>
      </c>
      <c r="Z109" s="1008" t="s">
        <v>4</v>
      </c>
      <c r="AC109" t="s">
        <v>334</v>
      </c>
      <c r="AD109" s="2"/>
    </row>
    <row r="110" spans="1:51" x14ac:dyDescent="0.2">
      <c r="A110" s="1005"/>
      <c r="B110" s="18">
        <v>81</v>
      </c>
      <c r="C110" s="18">
        <v>82</v>
      </c>
      <c r="D110" s="18">
        <v>83</v>
      </c>
      <c r="E110" s="18">
        <v>84</v>
      </c>
      <c r="F110" s="18">
        <v>91</v>
      </c>
      <c r="G110" s="18">
        <v>92</v>
      </c>
      <c r="H110" s="18">
        <v>93</v>
      </c>
      <c r="I110" s="18">
        <v>94</v>
      </c>
      <c r="J110" s="18">
        <v>101</v>
      </c>
      <c r="K110" s="18">
        <v>102</v>
      </c>
      <c r="L110" s="18">
        <v>103</v>
      </c>
      <c r="M110" s="18">
        <v>104</v>
      </c>
      <c r="N110" s="18">
        <v>105</v>
      </c>
      <c r="O110" s="18">
        <v>111</v>
      </c>
      <c r="P110" s="18">
        <v>112</v>
      </c>
      <c r="Q110" s="18">
        <v>113</v>
      </c>
      <c r="R110" s="18">
        <v>114</v>
      </c>
      <c r="S110" s="18">
        <v>115</v>
      </c>
      <c r="T110" s="18">
        <v>121</v>
      </c>
      <c r="U110" s="18">
        <v>122</v>
      </c>
      <c r="V110" s="18">
        <v>123</v>
      </c>
      <c r="W110" s="18">
        <v>124</v>
      </c>
      <c r="X110" s="1005"/>
      <c r="Y110" s="1011"/>
      <c r="Z110" s="1009"/>
      <c r="AC110" s="2" t="s">
        <v>335</v>
      </c>
      <c r="AD110" t="s">
        <v>340</v>
      </c>
      <c r="AE110" s="2" t="s">
        <v>151</v>
      </c>
      <c r="AF110" t="s">
        <v>234</v>
      </c>
      <c r="AG110" s="2" t="s">
        <v>171</v>
      </c>
      <c r="AH110" t="s">
        <v>172</v>
      </c>
    </row>
    <row r="111" spans="1:51" x14ac:dyDescent="0.2">
      <c r="A111" s="1">
        <v>2011</v>
      </c>
      <c r="B111" s="6"/>
      <c r="C111" s="6"/>
      <c r="D111" s="6"/>
      <c r="E111" s="6"/>
      <c r="F111" s="6"/>
      <c r="G111" s="6">
        <v>213</v>
      </c>
      <c r="H111" s="6">
        <v>211</v>
      </c>
      <c r="I111" s="6"/>
      <c r="J111" s="365">
        <v>239</v>
      </c>
      <c r="K111" s="6"/>
      <c r="L111" s="6"/>
      <c r="M111" s="6">
        <v>204</v>
      </c>
      <c r="N111" s="6">
        <v>71</v>
      </c>
      <c r="O111" s="6">
        <v>86</v>
      </c>
      <c r="P111" s="6"/>
      <c r="Q111" s="6">
        <v>47</v>
      </c>
      <c r="R111" s="6"/>
      <c r="S111" s="6">
        <v>15</v>
      </c>
      <c r="T111" s="13"/>
      <c r="U111" s="13"/>
      <c r="V111" s="13"/>
      <c r="W111" s="13"/>
      <c r="X111" s="7">
        <v>335</v>
      </c>
      <c r="Y111" s="7" t="s">
        <v>5</v>
      </c>
      <c r="Z111" s="10">
        <v>37.5</v>
      </c>
      <c r="AB111">
        <f t="shared" ref="AB111:AB122" si="35">X111/MAX(B111:W111)</f>
        <v>1.401673640167364</v>
      </c>
      <c r="AC111" t="s">
        <v>339</v>
      </c>
      <c r="AD111">
        <v>99</v>
      </c>
      <c r="AE111">
        <v>99</v>
      </c>
      <c r="AF111">
        <v>0</v>
      </c>
      <c r="AG111" s="2">
        <v>30</v>
      </c>
      <c r="AH111">
        <v>45</v>
      </c>
    </row>
    <row r="112" spans="1:51" x14ac:dyDescent="0.2">
      <c r="A112" s="13">
        <v>2012</v>
      </c>
      <c r="F112" s="2">
        <v>110</v>
      </c>
      <c r="G112" s="2">
        <v>104</v>
      </c>
      <c r="H112" s="2">
        <v>109</v>
      </c>
      <c r="I112" s="2">
        <v>110</v>
      </c>
      <c r="J112" s="525">
        <v>111</v>
      </c>
      <c r="K112" s="2">
        <v>83</v>
      </c>
      <c r="M112" s="2">
        <v>43</v>
      </c>
      <c r="O112" s="2">
        <v>12</v>
      </c>
      <c r="X112" s="25">
        <v>184</v>
      </c>
      <c r="Y112" s="25" t="s">
        <v>5</v>
      </c>
      <c r="Z112" s="60">
        <v>35</v>
      </c>
      <c r="AB112">
        <f t="shared" si="35"/>
        <v>1.6576576576576576</v>
      </c>
      <c r="AC112" t="s">
        <v>339</v>
      </c>
      <c r="AD112">
        <v>111</v>
      </c>
      <c r="AE112">
        <v>112</v>
      </c>
      <c r="AF112">
        <v>1</v>
      </c>
      <c r="AG112" s="2">
        <v>30</v>
      </c>
      <c r="AH112">
        <v>40</v>
      </c>
    </row>
    <row r="113" spans="1:51" x14ac:dyDescent="0.2">
      <c r="A113" s="13">
        <v>2013</v>
      </c>
      <c r="F113" s="2">
        <v>69</v>
      </c>
      <c r="H113" s="525">
        <v>81</v>
      </c>
      <c r="J113" s="2">
        <v>71</v>
      </c>
      <c r="L113" s="2">
        <v>52</v>
      </c>
      <c r="M113" s="2">
        <v>49</v>
      </c>
      <c r="N113" s="2">
        <v>28</v>
      </c>
      <c r="Q113" s="2">
        <v>1</v>
      </c>
      <c r="X113" s="25">
        <v>139</v>
      </c>
      <c r="Y113" s="25" t="s">
        <v>5</v>
      </c>
      <c r="Z113" s="60">
        <v>30</v>
      </c>
      <c r="AB113">
        <f t="shared" si="35"/>
        <v>1.7160493827160495</v>
      </c>
      <c r="AC113" t="s">
        <v>337</v>
      </c>
      <c r="AD113">
        <v>37</v>
      </c>
      <c r="AE113">
        <v>39</v>
      </c>
      <c r="AF113">
        <v>2</v>
      </c>
      <c r="AG113">
        <v>25</v>
      </c>
      <c r="AH113">
        <v>35</v>
      </c>
    </row>
    <row r="114" spans="1:51" x14ac:dyDescent="0.2">
      <c r="A114" s="13">
        <v>2014</v>
      </c>
      <c r="G114" s="2">
        <v>293</v>
      </c>
      <c r="H114" s="2">
        <v>317</v>
      </c>
      <c r="J114" s="525">
        <v>444</v>
      </c>
      <c r="K114" s="2">
        <v>368</v>
      </c>
      <c r="O114" s="2">
        <v>177</v>
      </c>
      <c r="P114" s="2">
        <v>120</v>
      </c>
      <c r="Q114" s="2">
        <v>99</v>
      </c>
      <c r="X114" s="25">
        <v>703</v>
      </c>
      <c r="Y114" s="25" t="s">
        <v>5</v>
      </c>
      <c r="Z114" s="60">
        <v>35</v>
      </c>
      <c r="AB114">
        <f t="shared" si="35"/>
        <v>1.5833333333333333</v>
      </c>
      <c r="AC114" t="s">
        <v>339</v>
      </c>
      <c r="AD114">
        <v>404</v>
      </c>
      <c r="AE114">
        <v>418</v>
      </c>
      <c r="AF114">
        <v>14</v>
      </c>
      <c r="AG114" s="150">
        <v>30</v>
      </c>
      <c r="AH114">
        <v>40</v>
      </c>
    </row>
    <row r="115" spans="1:51" x14ac:dyDescent="0.2">
      <c r="A115" s="13">
        <v>2015</v>
      </c>
      <c r="G115" s="525">
        <v>761</v>
      </c>
      <c r="J115" s="2">
        <v>593</v>
      </c>
      <c r="K115" s="2">
        <v>517</v>
      </c>
      <c r="M115" s="2">
        <v>516</v>
      </c>
      <c r="N115" s="2">
        <v>553</v>
      </c>
      <c r="O115" s="2">
        <v>240</v>
      </c>
      <c r="Q115" s="2">
        <v>69</v>
      </c>
      <c r="R115" s="2">
        <v>41</v>
      </c>
      <c r="X115" s="25">
        <v>1270</v>
      </c>
      <c r="Y115" s="25" t="s">
        <v>5</v>
      </c>
      <c r="Z115" s="60">
        <v>30</v>
      </c>
      <c r="AB115">
        <f t="shared" si="35"/>
        <v>1.6688567674113008</v>
      </c>
      <c r="AC115" t="s">
        <v>339</v>
      </c>
      <c r="AD115">
        <v>386</v>
      </c>
      <c r="AE115">
        <v>386</v>
      </c>
      <c r="AF115">
        <v>0</v>
      </c>
      <c r="AG115" s="150">
        <v>25</v>
      </c>
      <c r="AH115">
        <v>35</v>
      </c>
    </row>
    <row r="116" spans="1:51" x14ac:dyDescent="0.2">
      <c r="A116" s="13">
        <v>2016</v>
      </c>
      <c r="G116" s="366">
        <v>222</v>
      </c>
      <c r="J116" s="124">
        <v>181</v>
      </c>
      <c r="L116" s="2">
        <v>174</v>
      </c>
      <c r="O116" s="2">
        <v>147</v>
      </c>
      <c r="Q116" s="2">
        <v>39</v>
      </c>
      <c r="T116" s="2">
        <v>16</v>
      </c>
      <c r="X116" s="25">
        <f>68+331</f>
        <v>399</v>
      </c>
      <c r="Y116" s="529" t="s">
        <v>5</v>
      </c>
      <c r="Z116" s="60">
        <v>35</v>
      </c>
      <c r="AB116">
        <f t="shared" si="35"/>
        <v>1.7972972972972974</v>
      </c>
      <c r="AC116" t="s">
        <v>339</v>
      </c>
    </row>
    <row r="117" spans="1:51" x14ac:dyDescent="0.2">
      <c r="A117" s="13">
        <v>2017</v>
      </c>
      <c r="G117" s="124">
        <v>97</v>
      </c>
      <c r="H117" s="366">
        <v>136</v>
      </c>
      <c r="I117" s="124">
        <v>104</v>
      </c>
      <c r="K117" s="124">
        <v>97</v>
      </c>
      <c r="M117" s="124">
        <v>96</v>
      </c>
      <c r="O117" s="300">
        <v>52</v>
      </c>
      <c r="X117" s="25">
        <f>114+152</f>
        <v>266</v>
      </c>
      <c r="Y117" s="529" t="s">
        <v>5</v>
      </c>
      <c r="Z117" s="60">
        <v>30</v>
      </c>
      <c r="AB117">
        <f t="shared" si="35"/>
        <v>1.9558823529411764</v>
      </c>
      <c r="AC117" t="s">
        <v>339</v>
      </c>
    </row>
    <row r="118" spans="1:51" x14ac:dyDescent="0.2">
      <c r="A118" s="13">
        <v>2018</v>
      </c>
      <c r="H118" s="124">
        <v>31</v>
      </c>
      <c r="J118" s="124">
        <v>59</v>
      </c>
      <c r="K118" s="124">
        <v>54</v>
      </c>
      <c r="L118" s="470">
        <v>72</v>
      </c>
      <c r="O118" s="124">
        <v>16</v>
      </c>
      <c r="X118" s="524">
        <v>97</v>
      </c>
      <c r="Y118" s="556" t="s">
        <v>5</v>
      </c>
      <c r="Z118" s="60">
        <v>35</v>
      </c>
      <c r="AB118">
        <f t="shared" si="35"/>
        <v>1.3472222222222223</v>
      </c>
    </row>
    <row r="119" spans="1:51" x14ac:dyDescent="0.2">
      <c r="A119" s="13">
        <v>2019</v>
      </c>
      <c r="G119" s="124">
        <v>65</v>
      </c>
      <c r="H119" s="124">
        <v>74</v>
      </c>
      <c r="I119" s="124">
        <f>54+16</f>
        <v>70</v>
      </c>
      <c r="K119" s="124">
        <v>55</v>
      </c>
      <c r="L119" s="123">
        <v>0</v>
      </c>
      <c r="M119" s="1"/>
      <c r="N119" s="307">
        <v>22</v>
      </c>
      <c r="O119" s="307">
        <v>22</v>
      </c>
      <c r="P119" s="1"/>
      <c r="Q119" s="1"/>
      <c r="R119" s="1"/>
      <c r="S119" s="1"/>
      <c r="T119" s="1"/>
      <c r="U119" s="1"/>
      <c r="V119" s="1"/>
      <c r="W119" s="1"/>
      <c r="X119" s="572">
        <v>111</v>
      </c>
      <c r="Y119" s="572"/>
      <c r="Z119" s="60"/>
      <c r="AB119">
        <f t="shared" si="35"/>
        <v>1.5</v>
      </c>
    </row>
    <row r="120" spans="1:51" x14ac:dyDescent="0.2">
      <c r="A120" s="13">
        <v>2020</v>
      </c>
      <c r="G120" s="464">
        <v>62</v>
      </c>
      <c r="I120" s="106">
        <v>65</v>
      </c>
      <c r="J120" s="1"/>
      <c r="K120" s="106">
        <v>76</v>
      </c>
      <c r="L120" s="1"/>
      <c r="M120" s="106">
        <v>83</v>
      </c>
      <c r="P120" s="156">
        <v>3</v>
      </c>
      <c r="Q120" s="1"/>
      <c r="R120" s="1"/>
      <c r="S120" s="1"/>
      <c r="T120" s="1"/>
      <c r="U120" s="1"/>
      <c r="V120" s="1"/>
      <c r="W120" s="1"/>
      <c r="X120" s="689">
        <f>63+57</f>
        <v>120</v>
      </c>
      <c r="Y120" s="689"/>
      <c r="Z120" s="60"/>
      <c r="AB120">
        <f t="shared" si="35"/>
        <v>1.4457831325301205</v>
      </c>
    </row>
    <row r="121" spans="1:51" s="150" customFormat="1" x14ac:dyDescent="0.2">
      <c r="A121" s="89">
        <v>2021</v>
      </c>
      <c r="G121" s="743"/>
      <c r="H121" s="464">
        <v>123</v>
      </c>
      <c r="I121" s="106">
        <f>44+59</f>
        <v>103</v>
      </c>
      <c r="J121" s="227"/>
      <c r="K121" s="106">
        <v>125</v>
      </c>
      <c r="L121" s="227"/>
      <c r="M121" s="227"/>
      <c r="O121" s="156">
        <v>51</v>
      </c>
      <c r="P121" s="558"/>
      <c r="Q121" s="227"/>
      <c r="R121" s="227"/>
      <c r="S121" s="227"/>
      <c r="T121" s="227"/>
      <c r="U121" s="227"/>
      <c r="V121" s="227"/>
      <c r="W121" s="227"/>
      <c r="X121" s="743">
        <v>163</v>
      </c>
      <c r="Y121" s="743"/>
      <c r="Z121" s="404"/>
      <c r="AB121">
        <f t="shared" si="35"/>
        <v>1.304</v>
      </c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</row>
    <row r="122" spans="1:51" s="150" customFormat="1" x14ac:dyDescent="0.2">
      <c r="A122" s="89">
        <v>2022</v>
      </c>
      <c r="G122" s="743"/>
      <c r="H122" s="464">
        <v>139</v>
      </c>
      <c r="I122" s="106">
        <v>113</v>
      </c>
      <c r="J122" s="227"/>
      <c r="K122" s="227"/>
      <c r="L122" s="536">
        <v>94</v>
      </c>
      <c r="M122" s="227"/>
      <c r="O122" s="558"/>
      <c r="P122" s="156">
        <v>15</v>
      </c>
      <c r="Q122" s="227"/>
      <c r="R122" s="227"/>
      <c r="S122" s="227"/>
      <c r="T122" s="227"/>
      <c r="U122" s="227"/>
      <c r="V122" s="227"/>
      <c r="W122" s="227"/>
      <c r="X122" s="743">
        <v>153</v>
      </c>
      <c r="Y122" s="743"/>
      <c r="Z122" s="404"/>
      <c r="AB122">
        <f t="shared" si="35"/>
        <v>1.1007194244604317</v>
      </c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</row>
    <row r="123" spans="1:51" s="150" customFormat="1" x14ac:dyDescent="0.2">
      <c r="A123" s="89">
        <v>2023</v>
      </c>
      <c r="G123" s="464">
        <v>102</v>
      </c>
      <c r="H123" s="464">
        <v>102</v>
      </c>
      <c r="I123" s="743"/>
      <c r="J123" s="942">
        <v>127</v>
      </c>
      <c r="K123" s="596">
        <v>110</v>
      </c>
      <c r="L123" s="743"/>
      <c r="M123" s="743"/>
      <c r="N123" s="598">
        <v>78</v>
      </c>
      <c r="O123" s="743"/>
      <c r="P123" s="743"/>
      <c r="Q123" s="227"/>
      <c r="R123" s="227"/>
      <c r="S123" s="227"/>
      <c r="T123" s="227"/>
      <c r="U123" s="227"/>
      <c r="V123" s="227"/>
      <c r="W123" s="227"/>
      <c r="X123" s="743"/>
      <c r="Y123" s="743"/>
      <c r="Z123" s="404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</row>
    <row r="124" spans="1:51" x14ac:dyDescent="0.2">
      <c r="A124" s="64" t="s">
        <v>17</v>
      </c>
      <c r="B124" s="16"/>
      <c r="C124" s="16"/>
      <c r="D124" s="16"/>
      <c r="E124" s="16"/>
      <c r="F124" s="16">
        <f t="shared" ref="F124:Q124" si="36">AVERAGE(F111:F116)</f>
        <v>89.5</v>
      </c>
      <c r="G124" s="16">
        <f t="shared" si="36"/>
        <v>318.60000000000002</v>
      </c>
      <c r="H124" s="16">
        <f t="shared" si="36"/>
        <v>179.5</v>
      </c>
      <c r="I124" s="16">
        <f t="shared" si="36"/>
        <v>110</v>
      </c>
      <c r="J124" s="16">
        <f t="shared" si="36"/>
        <v>273.16666666666669</v>
      </c>
      <c r="K124" s="16">
        <f t="shared" si="36"/>
        <v>322.66666666666669</v>
      </c>
      <c r="L124" s="16">
        <f>AVERAGE(L111:L116)</f>
        <v>113</v>
      </c>
      <c r="M124" s="16">
        <f t="shared" si="36"/>
        <v>203</v>
      </c>
      <c r="N124" s="16">
        <f t="shared" si="36"/>
        <v>217.33333333333334</v>
      </c>
      <c r="O124" s="16">
        <f t="shared" si="36"/>
        <v>132.4</v>
      </c>
      <c r="P124" s="16">
        <f t="shared" si="36"/>
        <v>120</v>
      </c>
      <c r="Q124" s="16">
        <f t="shared" si="36"/>
        <v>51</v>
      </c>
      <c r="R124" s="16"/>
      <c r="S124" s="16"/>
      <c r="T124" s="16"/>
      <c r="U124" s="16"/>
      <c r="V124" s="16"/>
      <c r="W124" s="16"/>
      <c r="X124" s="16">
        <f>AVERAGE(X111:X116)</f>
        <v>505</v>
      </c>
      <c r="Y124" s="17"/>
      <c r="Z124" s="16">
        <f>AVERAGE(Z111:Z118)</f>
        <v>33.4375</v>
      </c>
    </row>
    <row r="125" spans="1:51" x14ac:dyDescent="0.2">
      <c r="AC125" s="93" t="s">
        <v>26</v>
      </c>
      <c r="AD125" s="93" t="s">
        <v>132</v>
      </c>
    </row>
    <row r="126" spans="1:51" x14ac:dyDescent="0.2">
      <c r="AB126" s="93" t="s">
        <v>365</v>
      </c>
      <c r="AC126">
        <v>25</v>
      </c>
      <c r="AD126">
        <v>72</v>
      </c>
    </row>
    <row r="127" spans="1:51" x14ac:dyDescent="0.2">
      <c r="AB127" s="93" t="s">
        <v>432</v>
      </c>
      <c r="AC127">
        <v>1148</v>
      </c>
    </row>
    <row r="128" spans="1:51" x14ac:dyDescent="0.2">
      <c r="AB128" s="93" t="s">
        <v>50</v>
      </c>
      <c r="AC128" s="93" t="s">
        <v>16</v>
      </c>
    </row>
    <row r="129" spans="25:29" x14ac:dyDescent="0.2">
      <c r="Y129" s="2">
        <v>25</v>
      </c>
      <c r="AB129" s="93" t="s">
        <v>177</v>
      </c>
      <c r="AC129">
        <v>1963</v>
      </c>
    </row>
    <row r="130" spans="25:29" x14ac:dyDescent="0.2">
      <c r="Y130" s="2">
        <v>45</v>
      </c>
      <c r="AB130" s="93" t="s">
        <v>176</v>
      </c>
      <c r="AC130">
        <v>457</v>
      </c>
    </row>
  </sheetData>
  <mergeCells count="42">
    <mergeCell ref="BE3:BE4"/>
    <mergeCell ref="CV3:CV4"/>
    <mergeCell ref="CW3:CW4"/>
    <mergeCell ref="BO3:BO4"/>
    <mergeCell ref="BP3:BP4"/>
    <mergeCell ref="BZ3:BZ4"/>
    <mergeCell ref="CA3:CA4"/>
    <mergeCell ref="CK3:CK4"/>
    <mergeCell ref="CL3:CL4"/>
    <mergeCell ref="AH3:AH4"/>
    <mergeCell ref="AI3:AI4"/>
    <mergeCell ref="AS3:AS4"/>
    <mergeCell ref="AT3:AT4"/>
    <mergeCell ref="BD3:BD4"/>
    <mergeCell ref="Y3:Y4"/>
    <mergeCell ref="Z3:Z4"/>
    <mergeCell ref="Y38:Y39"/>
    <mergeCell ref="Z38:Z39"/>
    <mergeCell ref="X38:X39"/>
    <mergeCell ref="X3:X4"/>
    <mergeCell ref="A1:I1"/>
    <mergeCell ref="B3:W3"/>
    <mergeCell ref="A36:I36"/>
    <mergeCell ref="A3:A4"/>
    <mergeCell ref="A38:A39"/>
    <mergeCell ref="B38:W38"/>
    <mergeCell ref="A109:A110"/>
    <mergeCell ref="B109:W109"/>
    <mergeCell ref="X109:X110"/>
    <mergeCell ref="Y109:Y110"/>
    <mergeCell ref="Z109:Z110"/>
    <mergeCell ref="CV23:CV24"/>
    <mergeCell ref="CW23:CW24"/>
    <mergeCell ref="CV46:CV47"/>
    <mergeCell ref="CW46:CW47"/>
    <mergeCell ref="A107:I107"/>
    <mergeCell ref="A71:I71"/>
    <mergeCell ref="A73:A74"/>
    <mergeCell ref="B73:W73"/>
    <mergeCell ref="X73:X74"/>
    <mergeCell ref="Y73:Y74"/>
    <mergeCell ref="Z73:Z74"/>
  </mergeCells>
  <phoneticPr fontId="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U105"/>
  <sheetViews>
    <sheetView topLeftCell="A64" zoomScale="75" workbookViewId="0">
      <selection activeCell="L103" sqref="L103"/>
    </sheetView>
  </sheetViews>
  <sheetFormatPr defaultColWidth="9.140625" defaultRowHeight="12.75" x14ac:dyDescent="0.2"/>
  <cols>
    <col min="1" max="1" width="10.28515625" style="2" customWidth="1"/>
    <col min="2" max="23" width="6.5703125" style="2" customWidth="1"/>
    <col min="24" max="25" width="9.140625" style="2"/>
    <col min="26" max="26" width="11.7109375" style="56" customWidth="1"/>
    <col min="27" max="27" width="9.140625" style="2"/>
    <col min="28" max="47" width="8.7109375" customWidth="1"/>
    <col min="48" max="16384" width="9.140625" style="2"/>
  </cols>
  <sheetData>
    <row r="1" spans="1:47" ht="18" customHeight="1" x14ac:dyDescent="0.2">
      <c r="A1" s="1002" t="s">
        <v>598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7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1:47" ht="18" customHeight="1" thickTop="1" x14ac:dyDescent="0.2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</row>
    <row r="4" spans="1:47" ht="18" customHeight="1" x14ac:dyDescent="0.2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68" t="s">
        <v>44</v>
      </c>
      <c r="AC4" t="s">
        <v>490</v>
      </c>
    </row>
    <row r="5" spans="1:47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6">
        <v>44</v>
      </c>
      <c r="I5" s="6"/>
      <c r="J5" s="365">
        <v>68</v>
      </c>
      <c r="K5" s="6"/>
      <c r="L5" s="6"/>
      <c r="M5" s="6">
        <v>0</v>
      </c>
      <c r="N5" s="6">
        <v>6</v>
      </c>
      <c r="O5" s="6"/>
      <c r="P5" s="6"/>
      <c r="Q5" s="6"/>
      <c r="R5" s="6"/>
      <c r="S5" s="6"/>
      <c r="T5" s="1"/>
      <c r="U5" s="1"/>
      <c r="V5" s="1"/>
      <c r="W5" s="1"/>
      <c r="X5" s="7">
        <v>89</v>
      </c>
      <c r="Y5" s="7" t="s">
        <v>5</v>
      </c>
      <c r="Z5" s="10">
        <v>15</v>
      </c>
      <c r="AA5" s="8">
        <f>COUNT(B5:W5)</f>
        <v>4</v>
      </c>
      <c r="AB5"/>
      <c r="AC5" s="438">
        <v>89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s="8" customFormat="1" ht="18" customHeight="1" x14ac:dyDescent="0.2">
      <c r="A6" s="1">
        <v>1996</v>
      </c>
      <c r="B6" s="6"/>
      <c r="C6" s="6"/>
      <c r="D6" s="6"/>
      <c r="E6" s="6"/>
      <c r="F6" s="6">
        <v>0</v>
      </c>
      <c r="G6" s="6">
        <v>35</v>
      </c>
      <c r="H6" s="6">
        <v>108</v>
      </c>
      <c r="I6" s="6">
        <v>117</v>
      </c>
      <c r="J6" s="365">
        <v>118</v>
      </c>
      <c r="K6" s="6">
        <v>104</v>
      </c>
      <c r="L6" s="6"/>
      <c r="M6" s="6"/>
      <c r="N6" s="6">
        <v>0</v>
      </c>
      <c r="O6" s="6"/>
      <c r="P6" s="6">
        <v>2</v>
      </c>
      <c r="Q6" s="6"/>
      <c r="R6" s="6"/>
      <c r="S6" s="6"/>
      <c r="T6" s="1"/>
      <c r="U6" s="1"/>
      <c r="V6" s="1"/>
      <c r="W6" s="1"/>
      <c r="X6" s="7">
        <v>243</v>
      </c>
      <c r="Y6" s="7" t="s">
        <v>5</v>
      </c>
      <c r="Z6" s="10">
        <v>20</v>
      </c>
      <c r="AA6" s="8">
        <f t="shared" ref="AA6:AA21" si="0">COUNT(B6:W6)</f>
        <v>8</v>
      </c>
      <c r="AB6"/>
      <c r="AC6" s="438">
        <v>243</v>
      </c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s="8" customFormat="1" ht="18" customHeight="1" x14ac:dyDescent="0.2">
      <c r="A7" s="1">
        <v>1997</v>
      </c>
      <c r="B7" s="6"/>
      <c r="C7" s="6"/>
      <c r="D7" s="6"/>
      <c r="E7" s="6"/>
      <c r="F7" s="6"/>
      <c r="G7" s="6">
        <v>22</v>
      </c>
      <c r="H7" s="6"/>
      <c r="I7" s="365">
        <v>51</v>
      </c>
      <c r="J7" s="6"/>
      <c r="K7" s="6"/>
      <c r="L7" s="6"/>
      <c r="M7" s="6">
        <v>7</v>
      </c>
      <c r="N7" s="6"/>
      <c r="O7" s="6"/>
      <c r="P7" s="6">
        <v>6</v>
      </c>
      <c r="Q7" s="6"/>
      <c r="R7" s="6"/>
      <c r="S7" s="6"/>
      <c r="T7" s="1"/>
      <c r="U7" s="1"/>
      <c r="V7" s="1"/>
      <c r="W7" s="1"/>
      <c r="X7" s="7">
        <v>84</v>
      </c>
      <c r="Y7" s="7" t="s">
        <v>5</v>
      </c>
      <c r="Z7" s="10">
        <v>20</v>
      </c>
      <c r="AA7" s="8">
        <f t="shared" si="0"/>
        <v>4</v>
      </c>
      <c r="AB7"/>
      <c r="AC7" s="438">
        <v>84</v>
      </c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8" customFormat="1" ht="18" customHeight="1" x14ac:dyDescent="0.2">
      <c r="A8" s="1">
        <v>1998</v>
      </c>
      <c r="B8" s="6"/>
      <c r="C8" s="6"/>
      <c r="D8" s="6"/>
      <c r="E8" s="6"/>
      <c r="F8" s="6"/>
      <c r="G8" s="6"/>
      <c r="H8" s="6"/>
      <c r="I8" s="6"/>
      <c r="J8" s="6">
        <v>0</v>
      </c>
      <c r="K8" s="6"/>
      <c r="L8" s="365">
        <v>114</v>
      </c>
      <c r="M8" s="6">
        <v>55</v>
      </c>
      <c r="N8" s="6">
        <v>58</v>
      </c>
      <c r="O8" s="6">
        <v>13</v>
      </c>
      <c r="P8" s="6"/>
      <c r="Q8" s="6">
        <v>0</v>
      </c>
      <c r="R8" s="6"/>
      <c r="S8" s="6"/>
      <c r="T8" s="1"/>
      <c r="U8" s="1">
        <v>0</v>
      </c>
      <c r="V8" s="1"/>
      <c r="W8" s="1"/>
      <c r="X8" s="7">
        <v>155</v>
      </c>
      <c r="Y8" s="7" t="s">
        <v>5</v>
      </c>
      <c r="Z8" s="10">
        <v>15</v>
      </c>
      <c r="AA8" s="8">
        <f t="shared" si="0"/>
        <v>7</v>
      </c>
      <c r="AB8"/>
      <c r="AC8" s="438">
        <v>155</v>
      </c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8" customFormat="1" ht="18" customHeight="1" x14ac:dyDescent="0.2">
      <c r="A9" s="1">
        <v>1999</v>
      </c>
      <c r="B9" s="6"/>
      <c r="C9" s="6"/>
      <c r="D9" s="6"/>
      <c r="E9" s="6"/>
      <c r="F9" s="6"/>
      <c r="G9" s="6"/>
      <c r="H9" s="6"/>
      <c r="I9" s="6"/>
      <c r="J9" s="365">
        <v>132</v>
      </c>
      <c r="K9" s="6"/>
      <c r="L9" s="6">
        <v>40</v>
      </c>
      <c r="M9" s="6"/>
      <c r="N9" s="6">
        <v>30</v>
      </c>
      <c r="O9" s="6"/>
      <c r="P9" s="6"/>
      <c r="Q9" s="6">
        <v>3</v>
      </c>
      <c r="R9" s="6">
        <v>1</v>
      </c>
      <c r="S9" s="6"/>
      <c r="T9" s="1"/>
      <c r="U9" s="1"/>
      <c r="V9" s="1">
        <v>0</v>
      </c>
      <c r="W9" s="1"/>
      <c r="X9" s="9">
        <v>239</v>
      </c>
      <c r="Y9" s="7" t="s">
        <v>5</v>
      </c>
      <c r="Z9" s="9">
        <v>17</v>
      </c>
      <c r="AA9" s="8">
        <f t="shared" si="0"/>
        <v>6</v>
      </c>
      <c r="AB9"/>
      <c r="AC9" s="438">
        <v>239</v>
      </c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8" customFormat="1" ht="18" customHeight="1" x14ac:dyDescent="0.2">
      <c r="A10" s="1">
        <v>2000</v>
      </c>
      <c r="B10" s="6"/>
      <c r="C10" s="6"/>
      <c r="D10" s="6"/>
      <c r="E10" s="6"/>
      <c r="F10" s="6"/>
      <c r="G10" s="6"/>
      <c r="H10" s="6"/>
      <c r="I10" s="6">
        <v>52</v>
      </c>
      <c r="J10" s="365">
        <v>62</v>
      </c>
      <c r="K10" s="6"/>
      <c r="L10" s="6"/>
      <c r="M10" s="6"/>
      <c r="N10" s="6">
        <v>3</v>
      </c>
      <c r="O10" s="6"/>
      <c r="P10" s="6">
        <v>0</v>
      </c>
      <c r="Q10" s="6">
        <v>0</v>
      </c>
      <c r="R10" s="6"/>
      <c r="S10" s="6"/>
      <c r="T10" s="1"/>
      <c r="U10" s="1">
        <v>0</v>
      </c>
      <c r="V10" s="1"/>
      <c r="W10" s="1"/>
      <c r="X10" s="10">
        <v>94</v>
      </c>
      <c r="Y10" s="7" t="s">
        <v>5</v>
      </c>
      <c r="Z10" s="10">
        <v>20</v>
      </c>
      <c r="AA10" s="8">
        <f t="shared" si="0"/>
        <v>6</v>
      </c>
      <c r="AB10"/>
      <c r="AC10" s="438">
        <v>94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8" customFormat="1" ht="18" customHeight="1" x14ac:dyDescent="0.2">
      <c r="A11" s="1">
        <v>2001</v>
      </c>
      <c r="B11" s="6"/>
      <c r="C11" s="6"/>
      <c r="D11" s="6"/>
      <c r="E11" s="6"/>
      <c r="F11" s="6"/>
      <c r="G11" s="6"/>
      <c r="H11" s="6"/>
      <c r="I11" s="6">
        <v>33</v>
      </c>
      <c r="J11" s="365">
        <v>84</v>
      </c>
      <c r="K11" s="6"/>
      <c r="L11" s="6"/>
      <c r="M11" s="6"/>
      <c r="N11" s="6">
        <v>9</v>
      </c>
      <c r="O11" s="6"/>
      <c r="P11" s="6"/>
      <c r="Q11" s="6">
        <v>0</v>
      </c>
      <c r="R11" s="6"/>
      <c r="S11" s="6"/>
      <c r="T11" s="1"/>
      <c r="U11" s="1"/>
      <c r="V11" s="1"/>
      <c r="W11" s="1"/>
      <c r="X11" s="7">
        <v>115</v>
      </c>
      <c r="Y11" s="7" t="s">
        <v>5</v>
      </c>
      <c r="Z11" s="10">
        <v>20</v>
      </c>
      <c r="AA11" s="8">
        <f t="shared" si="0"/>
        <v>4</v>
      </c>
      <c r="AB11"/>
      <c r="AC11" s="438">
        <v>115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8" customFormat="1" ht="18" customHeight="1" x14ac:dyDescent="0.2">
      <c r="A12" s="1">
        <v>2002</v>
      </c>
      <c r="B12" s="6"/>
      <c r="C12" s="6"/>
      <c r="D12" s="6"/>
      <c r="E12" s="6"/>
      <c r="F12" s="6"/>
      <c r="G12" s="6"/>
      <c r="H12" s="365">
        <v>41</v>
      </c>
      <c r="I12" s="6"/>
      <c r="J12" s="6"/>
      <c r="K12" s="6">
        <v>15</v>
      </c>
      <c r="L12" s="6"/>
      <c r="M12" s="6"/>
      <c r="N12" s="6">
        <v>18</v>
      </c>
      <c r="O12" s="6"/>
      <c r="P12" s="6"/>
      <c r="Q12" s="6"/>
      <c r="R12" s="6">
        <v>1</v>
      </c>
      <c r="S12" s="6"/>
      <c r="T12" s="1">
        <v>0</v>
      </c>
      <c r="U12" s="1"/>
      <c r="V12" s="1"/>
      <c r="W12" s="1"/>
      <c r="X12" s="7">
        <v>54</v>
      </c>
      <c r="Y12" s="7" t="s">
        <v>5</v>
      </c>
      <c r="Z12" s="10">
        <v>28</v>
      </c>
      <c r="AA12" s="8">
        <f t="shared" si="0"/>
        <v>5</v>
      </c>
      <c r="AB12"/>
      <c r="AC12" s="438">
        <v>54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s="8" customFormat="1" ht="18" customHeight="1" x14ac:dyDescent="0.2">
      <c r="A13" s="1">
        <v>2003</v>
      </c>
      <c r="B13" s="6"/>
      <c r="C13" s="6"/>
      <c r="D13" s="6"/>
      <c r="E13" s="6"/>
      <c r="F13" s="6"/>
      <c r="G13" s="6"/>
      <c r="H13" s="6">
        <v>80</v>
      </c>
      <c r="I13" s="365">
        <v>127</v>
      </c>
      <c r="J13" s="6"/>
      <c r="K13" s="6"/>
      <c r="L13" s="6">
        <v>17</v>
      </c>
      <c r="M13" s="6"/>
      <c r="N13" s="6">
        <v>5</v>
      </c>
      <c r="O13" s="6">
        <v>1</v>
      </c>
      <c r="P13" s="6"/>
      <c r="Q13" s="6"/>
      <c r="R13" s="6"/>
      <c r="S13" s="6"/>
      <c r="T13" s="1"/>
      <c r="U13" s="1"/>
      <c r="V13" s="1"/>
      <c r="W13" s="1"/>
      <c r="X13" s="7">
        <v>155</v>
      </c>
      <c r="Y13" s="7" t="s">
        <v>5</v>
      </c>
      <c r="Z13" s="10">
        <v>17</v>
      </c>
      <c r="AA13" s="8">
        <f t="shared" si="0"/>
        <v>5</v>
      </c>
      <c r="AB13"/>
      <c r="AC13" s="438">
        <v>155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6"/>
      <c r="I14" s="365">
        <v>344</v>
      </c>
      <c r="J14" s="6">
        <v>332</v>
      </c>
      <c r="K14" s="6"/>
      <c r="L14" s="6"/>
      <c r="M14" s="6">
        <v>30</v>
      </c>
      <c r="N14" s="6"/>
      <c r="O14" s="6"/>
      <c r="P14" s="6">
        <v>5</v>
      </c>
      <c r="Q14" s="6"/>
      <c r="R14" s="6">
        <v>1</v>
      </c>
      <c r="S14" s="6"/>
      <c r="T14" s="1"/>
      <c r="U14" s="1"/>
      <c r="V14" s="1"/>
      <c r="W14" s="1"/>
      <c r="X14" s="11">
        <v>362</v>
      </c>
      <c r="Y14" s="7" t="s">
        <v>5</v>
      </c>
      <c r="Z14" s="57">
        <v>28</v>
      </c>
      <c r="AA14" s="8">
        <f t="shared" si="0"/>
        <v>5</v>
      </c>
      <c r="AB14"/>
      <c r="AC14" s="438">
        <v>362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6"/>
      <c r="I15" s="6">
        <v>72</v>
      </c>
      <c r="J15" s="6"/>
      <c r="K15" s="365">
        <v>92</v>
      </c>
      <c r="L15" s="6"/>
      <c r="M15" s="6"/>
      <c r="N15" s="6">
        <v>2</v>
      </c>
      <c r="O15" s="6"/>
      <c r="P15" s="6">
        <v>4</v>
      </c>
      <c r="Q15" s="6"/>
      <c r="R15" s="6"/>
      <c r="S15" s="6">
        <v>1</v>
      </c>
      <c r="T15" s="1"/>
      <c r="U15" s="1"/>
      <c r="V15" s="1"/>
      <c r="W15" s="1"/>
      <c r="X15" s="11">
        <v>115</v>
      </c>
      <c r="Y15" s="7" t="s">
        <v>5</v>
      </c>
      <c r="Z15" s="54">
        <v>24.5</v>
      </c>
      <c r="AA15" s="8">
        <f t="shared" si="0"/>
        <v>5</v>
      </c>
      <c r="AB15"/>
      <c r="AC15" s="438">
        <v>115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6"/>
      <c r="I16" s="365">
        <v>76</v>
      </c>
      <c r="J16" s="6"/>
      <c r="K16" s="6">
        <v>38</v>
      </c>
      <c r="L16" s="6">
        <v>9</v>
      </c>
      <c r="M16" s="6"/>
      <c r="N16" s="6"/>
      <c r="O16" s="6"/>
      <c r="P16" s="6"/>
      <c r="Q16" s="6">
        <v>2</v>
      </c>
      <c r="R16" s="6"/>
      <c r="S16" s="6"/>
      <c r="T16" s="1"/>
      <c r="U16" s="1"/>
      <c r="V16" s="1"/>
      <c r="W16" s="1"/>
      <c r="X16" s="12">
        <v>85</v>
      </c>
      <c r="Y16" s="7" t="s">
        <v>5</v>
      </c>
      <c r="Z16" s="53">
        <v>20</v>
      </c>
      <c r="AA16" s="8">
        <f t="shared" si="0"/>
        <v>4</v>
      </c>
      <c r="AB16"/>
      <c r="AC16" s="438">
        <v>85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8" customFormat="1" ht="18" customHeight="1" x14ac:dyDescent="0.2">
      <c r="A17" s="1">
        <v>2007</v>
      </c>
      <c r="B17" s="6"/>
      <c r="C17" s="6"/>
      <c r="D17" s="6"/>
      <c r="E17" s="6"/>
      <c r="F17" s="6"/>
      <c r="G17" s="6"/>
      <c r="H17" s="365">
        <v>95</v>
      </c>
      <c r="I17" s="6">
        <v>60</v>
      </c>
      <c r="J17" s="6"/>
      <c r="K17" s="6"/>
      <c r="L17" s="6"/>
      <c r="M17" s="6">
        <v>4</v>
      </c>
      <c r="N17" s="6"/>
      <c r="O17" s="6"/>
      <c r="P17" s="6"/>
      <c r="Q17" s="6">
        <v>0</v>
      </c>
      <c r="R17" s="6"/>
      <c r="S17" s="6"/>
      <c r="T17" s="1"/>
      <c r="U17" s="1"/>
      <c r="V17" s="1"/>
      <c r="W17" s="1"/>
      <c r="X17" s="12">
        <v>112</v>
      </c>
      <c r="Y17" s="7" t="s">
        <v>5</v>
      </c>
      <c r="Z17" s="54">
        <v>22.5</v>
      </c>
      <c r="AA17" s="8">
        <f t="shared" si="0"/>
        <v>4</v>
      </c>
      <c r="AB17"/>
      <c r="AC17" s="438">
        <v>112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8" customFormat="1" ht="18" customHeight="1" x14ac:dyDescent="0.2">
      <c r="A18" s="1">
        <v>2008</v>
      </c>
      <c r="B18" s="1"/>
      <c r="C18" s="1"/>
      <c r="D18" s="1"/>
      <c r="E18" s="1"/>
      <c r="F18" s="1">
        <v>70</v>
      </c>
      <c r="G18" s="1">
        <v>84</v>
      </c>
      <c r="H18" s="1"/>
      <c r="I18" s="363">
        <v>105</v>
      </c>
      <c r="J18" s="1"/>
      <c r="K18" s="1"/>
      <c r="L18" s="1">
        <v>9</v>
      </c>
      <c r="M18" s="1">
        <v>7</v>
      </c>
      <c r="N18" s="1"/>
      <c r="O18" s="1"/>
      <c r="P18" s="1"/>
      <c r="Q18" s="1">
        <v>0</v>
      </c>
      <c r="R18" s="1"/>
      <c r="S18" s="1"/>
      <c r="T18" s="1"/>
      <c r="U18" s="1"/>
      <c r="V18" s="1"/>
      <c r="W18" s="1"/>
      <c r="X18" s="1">
        <v>149</v>
      </c>
      <c r="Y18" s="7" t="s">
        <v>5</v>
      </c>
      <c r="Z18" s="54">
        <v>20</v>
      </c>
      <c r="AA18" s="8">
        <f t="shared" si="0"/>
        <v>6</v>
      </c>
      <c r="AB18"/>
      <c r="AC18" s="438">
        <v>149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8" customFormat="1" ht="18" customHeight="1" x14ac:dyDescent="0.2">
      <c r="A19" s="1">
        <v>2009</v>
      </c>
      <c r="B19" s="1"/>
      <c r="C19" s="1"/>
      <c r="D19" s="1"/>
      <c r="E19" s="1"/>
      <c r="F19" s="1"/>
      <c r="G19" s="1"/>
      <c r="H19" s="1"/>
      <c r="I19" s="1"/>
      <c r="J19" s="363">
        <v>38</v>
      </c>
      <c r="K19" s="1"/>
      <c r="L19" s="1"/>
      <c r="M19" s="1"/>
      <c r="N19" s="1">
        <v>5</v>
      </c>
      <c r="O19" s="1"/>
      <c r="P19" s="1"/>
      <c r="Q19" s="1"/>
      <c r="R19" s="1"/>
      <c r="S19" s="1"/>
      <c r="T19" s="1">
        <v>0</v>
      </c>
      <c r="U19" s="1"/>
      <c r="V19" s="1"/>
      <c r="W19" s="1"/>
      <c r="X19" s="1">
        <v>60</v>
      </c>
      <c r="Y19" s="7" t="s">
        <v>5</v>
      </c>
      <c r="Z19" s="54">
        <v>25</v>
      </c>
      <c r="AA19" s="8">
        <f t="shared" si="0"/>
        <v>3</v>
      </c>
      <c r="AB19"/>
      <c r="AC19" s="438">
        <v>60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8" customFormat="1" ht="18" customHeight="1" x14ac:dyDescent="0.2">
      <c r="A20" s="1">
        <v>2010</v>
      </c>
      <c r="B20" s="1"/>
      <c r="C20" s="1"/>
      <c r="D20" s="1"/>
      <c r="E20" s="1"/>
      <c r="F20" s="1">
        <v>0</v>
      </c>
      <c r="G20" s="1">
        <v>14</v>
      </c>
      <c r="H20" s="1"/>
      <c r="I20" s="363">
        <v>162</v>
      </c>
      <c r="J20" s="1"/>
      <c r="K20" s="1">
        <v>44</v>
      </c>
      <c r="L20" s="1"/>
      <c r="M20" s="1">
        <v>2</v>
      </c>
      <c r="N20" s="1"/>
      <c r="O20" s="1"/>
      <c r="P20" s="1"/>
      <c r="Q20" s="1"/>
      <c r="R20" s="1">
        <v>0</v>
      </c>
      <c r="S20" s="1"/>
      <c r="T20" s="1"/>
      <c r="U20" s="1"/>
      <c r="V20" s="1"/>
      <c r="W20" s="1"/>
      <c r="X20" s="1">
        <v>185</v>
      </c>
      <c r="Y20" s="7"/>
      <c r="Z20" s="54"/>
      <c r="AA20" s="8">
        <f t="shared" si="0"/>
        <v>6</v>
      </c>
      <c r="AB20"/>
      <c r="AC20" s="438">
        <v>185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8" customFormat="1" ht="18" customHeight="1" x14ac:dyDescent="0.2">
      <c r="A21" s="1">
        <v>2011</v>
      </c>
      <c r="B21" s="1"/>
      <c r="C21" s="1"/>
      <c r="D21" s="1"/>
      <c r="E21" s="1"/>
      <c r="F21" s="1"/>
      <c r="G21" s="1"/>
      <c r="H21" s="1"/>
      <c r="I21" s="536">
        <v>42</v>
      </c>
      <c r="J21" s="156">
        <v>44</v>
      </c>
      <c r="K21" s="1"/>
      <c r="L21" s="1"/>
      <c r="M21" s="106">
        <v>14</v>
      </c>
      <c r="N21" s="106">
        <v>8</v>
      </c>
      <c r="O21" s="1"/>
      <c r="P21" s="106">
        <v>6</v>
      </c>
      <c r="Q21" s="1"/>
      <c r="R21" s="1"/>
      <c r="S21" s="1"/>
      <c r="T21" s="1"/>
      <c r="U21" s="106">
        <v>0</v>
      </c>
      <c r="V21" s="1"/>
      <c r="W21" s="1"/>
      <c r="X21" s="1">
        <v>67</v>
      </c>
      <c r="Y21" s="7" t="s">
        <v>5</v>
      </c>
      <c r="Z21" s="54">
        <v>25</v>
      </c>
      <c r="AA21" s="8">
        <f t="shared" si="0"/>
        <v>6</v>
      </c>
      <c r="AB21"/>
      <c r="AC21" s="438">
        <v>67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8" customFormat="1" ht="18" customHeight="1" x14ac:dyDescent="0.25">
      <c r="A22" s="1">
        <v>2012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322</v>
      </c>
      <c r="Y22" s="7"/>
      <c r="Z22" s="54"/>
      <c r="AB22"/>
      <c r="AC22" s="716">
        <v>108</v>
      </c>
      <c r="AD22" t="s">
        <v>491</v>
      </c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8" customFormat="1" ht="18" customHeight="1" x14ac:dyDescent="0.25">
      <c r="A23" s="1">
        <v>2013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06">
        <v>5</v>
      </c>
      <c r="N23" s="1"/>
      <c r="O23" s="1"/>
      <c r="P23" s="1"/>
      <c r="Q23" s="106">
        <v>1</v>
      </c>
      <c r="R23" s="1"/>
      <c r="S23" s="1"/>
      <c r="T23" s="1"/>
      <c r="U23" s="1"/>
      <c r="V23" s="1"/>
      <c r="W23" s="1"/>
      <c r="X23" s="1">
        <v>5</v>
      </c>
      <c r="Y23" s="7" t="s">
        <v>9</v>
      </c>
      <c r="Z23" s="54"/>
      <c r="AB23"/>
      <c r="AC23" s="716">
        <v>208</v>
      </c>
      <c r="AD23" t="s">
        <v>491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8" customFormat="1" ht="18" customHeight="1" x14ac:dyDescent="0.25">
      <c r="A24" s="1">
        <v>2014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56">
        <v>41</v>
      </c>
      <c r="N24" s="1"/>
      <c r="O24" s="1"/>
      <c r="P24" s="1"/>
      <c r="Q24" s="106">
        <v>1</v>
      </c>
      <c r="R24" s="1"/>
      <c r="S24" s="1"/>
      <c r="T24" s="1"/>
      <c r="U24" s="1"/>
      <c r="V24" s="1"/>
      <c r="W24" s="1"/>
      <c r="X24" s="1">
        <v>44</v>
      </c>
      <c r="Y24" s="7" t="s">
        <v>9</v>
      </c>
      <c r="Z24" s="54"/>
      <c r="AB24"/>
      <c r="AC24" s="716">
        <v>167</v>
      </c>
      <c r="AD24" t="s">
        <v>491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s="8" customFormat="1" ht="18" customHeight="1" x14ac:dyDescent="0.25">
      <c r="A25" s="1">
        <v>2015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 t="s">
        <v>322</v>
      </c>
      <c r="Y25" s="7"/>
      <c r="Z25" s="54"/>
      <c r="AB25"/>
      <c r="AC25" s="716">
        <v>252</v>
      </c>
      <c r="AD25" t="s">
        <v>491</v>
      </c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s="8" customFormat="1" ht="18" customHeight="1" x14ac:dyDescent="0.2">
      <c r="A26" s="1">
        <v>2016</v>
      </c>
      <c r="B26" s="1"/>
      <c r="C26" s="1"/>
      <c r="D26" s="1"/>
      <c r="E26" s="1"/>
      <c r="F26" s="1"/>
      <c r="G26" s="1"/>
      <c r="H26" s="106">
        <v>50</v>
      </c>
      <c r="I26" s="1"/>
      <c r="J26" s="156">
        <v>125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>
        <v>139</v>
      </c>
      <c r="Y26" s="7"/>
      <c r="Z26" s="54"/>
      <c r="AB26"/>
      <c r="AC26" s="438">
        <v>139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s="8" customFormat="1" ht="18" customHeight="1" x14ac:dyDescent="0.2">
      <c r="A27" s="1">
        <v>2017</v>
      </c>
      <c r="B27" s="1"/>
      <c r="C27" s="1"/>
      <c r="D27" s="227"/>
      <c r="E27" s="227"/>
      <c r="F27" s="227"/>
      <c r="G27" s="106">
        <v>122</v>
      </c>
      <c r="H27" s="227"/>
      <c r="I27" s="227"/>
      <c r="J27" s="536">
        <v>95</v>
      </c>
      <c r="K27" s="1"/>
      <c r="L27" s="1"/>
      <c r="M27" s="1"/>
      <c r="N27" s="106">
        <v>12</v>
      </c>
      <c r="O27" s="1"/>
      <c r="P27" s="1"/>
      <c r="Q27" s="1"/>
      <c r="R27" s="1"/>
      <c r="S27" s="1"/>
      <c r="T27" s="1"/>
      <c r="U27" s="1"/>
      <c r="V27" s="1"/>
      <c r="W27" s="1"/>
      <c r="X27" s="1">
        <v>136</v>
      </c>
      <c r="Y27" s="7"/>
      <c r="Z27" s="54"/>
      <c r="AB27"/>
      <c r="AC27" s="438">
        <v>136</v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8" customFormat="1" ht="18" customHeight="1" x14ac:dyDescent="0.2">
      <c r="A28" s="1">
        <v>2018</v>
      </c>
      <c r="B28" s="1"/>
      <c r="C28" s="1"/>
      <c r="D28" s="227"/>
      <c r="E28" s="227"/>
      <c r="F28" s="227"/>
      <c r="G28" s="227"/>
      <c r="H28" s="227"/>
      <c r="I28" s="227"/>
      <c r="J28" s="227"/>
      <c r="K28" s="536">
        <v>16</v>
      </c>
      <c r="L28" s="227"/>
      <c r="M28" s="156">
        <v>5</v>
      </c>
      <c r="N28" s="227"/>
      <c r="O28" s="106">
        <v>0</v>
      </c>
      <c r="P28" s="227"/>
      <c r="Q28" s="227"/>
      <c r="R28" s="227"/>
      <c r="S28" s="1"/>
      <c r="T28" s="1"/>
      <c r="U28" s="1"/>
      <c r="V28" s="1"/>
      <c r="W28" s="1"/>
      <c r="X28" s="1">
        <v>20</v>
      </c>
      <c r="Y28" s="7"/>
      <c r="Z28" s="54"/>
      <c r="AB28"/>
      <c r="AC28" s="438">
        <v>20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8" customFormat="1" ht="18" customHeight="1" x14ac:dyDescent="0.2">
      <c r="A29" s="1">
        <v>2019</v>
      </c>
      <c r="B29" s="1"/>
      <c r="C29" s="1"/>
      <c r="D29" s="227"/>
      <c r="E29" s="227"/>
      <c r="F29" s="227"/>
      <c r="G29" s="227"/>
      <c r="H29" s="227"/>
      <c r="I29" s="227"/>
      <c r="J29" s="227"/>
      <c r="K29" s="427">
        <v>19</v>
      </c>
      <c r="L29" s="227"/>
      <c r="M29" s="227"/>
      <c r="N29" s="227"/>
      <c r="O29" s="227"/>
      <c r="P29" s="227"/>
      <c r="Q29" s="227"/>
      <c r="R29" s="227"/>
      <c r="S29" s="1"/>
      <c r="T29" s="1"/>
      <c r="U29" s="1"/>
      <c r="V29" s="1"/>
      <c r="W29" s="1"/>
      <c r="X29" s="1">
        <v>22</v>
      </c>
      <c r="Y29" s="7"/>
      <c r="Z29" s="54"/>
      <c r="AB29"/>
      <c r="AC29" s="438">
        <v>22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8" customFormat="1" ht="18" customHeight="1" x14ac:dyDescent="0.2">
      <c r="A30" s="1">
        <v>2020</v>
      </c>
      <c r="B30" s="1"/>
      <c r="C30" s="1"/>
      <c r="D30" s="227"/>
      <c r="E30" s="227"/>
      <c r="F30" s="227"/>
      <c r="G30" s="227"/>
      <c r="H30" s="227"/>
      <c r="I30" s="227"/>
      <c r="J30" s="227"/>
      <c r="K30" s="536">
        <v>39</v>
      </c>
      <c r="L30" s="227"/>
      <c r="M30" s="227"/>
      <c r="N30" s="227"/>
      <c r="O30" s="227"/>
      <c r="P30" s="227"/>
      <c r="Q30" s="227"/>
      <c r="R30" s="227"/>
      <c r="S30" s="1"/>
      <c r="T30" s="1"/>
      <c r="U30" s="1"/>
      <c r="V30" s="1"/>
      <c r="W30" s="1"/>
      <c r="X30" s="1">
        <v>43</v>
      </c>
      <c r="Y30" s="7"/>
      <c r="Z30" s="54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94" customFormat="1" ht="18" customHeight="1" x14ac:dyDescent="0.2">
      <c r="A31" s="227">
        <v>2021</v>
      </c>
      <c r="B31" s="227"/>
      <c r="C31" s="227"/>
      <c r="D31" s="227"/>
      <c r="E31" s="227"/>
      <c r="F31" s="227"/>
      <c r="G31" s="106">
        <v>75</v>
      </c>
      <c r="H31" s="227"/>
      <c r="I31" s="156">
        <v>89</v>
      </c>
      <c r="J31" s="227"/>
      <c r="K31" s="536">
        <v>30</v>
      </c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>
        <v>99</v>
      </c>
      <c r="Y31" s="7" t="s">
        <v>9</v>
      </c>
      <c r="Z31" s="210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</row>
    <row r="32" spans="1:47" s="94" customFormat="1" ht="18" customHeight="1" x14ac:dyDescent="0.2">
      <c r="A32" s="227">
        <v>2022</v>
      </c>
      <c r="B32" s="227"/>
      <c r="C32" s="227"/>
      <c r="D32" s="227"/>
      <c r="E32" s="227"/>
      <c r="F32" s="227"/>
      <c r="G32" s="106">
        <v>118</v>
      </c>
      <c r="H32" s="227"/>
      <c r="I32" s="558"/>
      <c r="J32" s="536">
        <v>108</v>
      </c>
      <c r="K32" s="733"/>
      <c r="L32" s="536">
        <v>58</v>
      </c>
      <c r="M32" s="227"/>
      <c r="N32" s="227"/>
      <c r="O32" s="227"/>
      <c r="P32" s="106">
        <v>4</v>
      </c>
      <c r="Q32" s="227"/>
      <c r="R32" s="227"/>
      <c r="S32" s="227"/>
      <c r="T32" s="227"/>
      <c r="U32" s="227"/>
      <c r="V32" s="227"/>
      <c r="W32" s="227"/>
      <c r="X32" s="227">
        <v>131</v>
      </c>
      <c r="Y32" s="11"/>
      <c r="Z32" s="210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</row>
    <row r="33" spans="1:47" s="94" customFormat="1" ht="18" customHeight="1" x14ac:dyDescent="0.2">
      <c r="A33" s="227">
        <v>2023</v>
      </c>
      <c r="B33" s="227"/>
      <c r="C33" s="227"/>
      <c r="D33" s="227"/>
      <c r="E33" s="227"/>
      <c r="F33" s="227"/>
      <c r="G33" s="427">
        <v>205</v>
      </c>
      <c r="H33" s="227"/>
      <c r="I33" s="227"/>
      <c r="J33" s="536">
        <v>75</v>
      </c>
      <c r="K33" s="227"/>
      <c r="L33" s="227"/>
      <c r="M33" s="227"/>
      <c r="N33" s="106">
        <v>21</v>
      </c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11"/>
      <c r="Z33" s="210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</row>
    <row r="34" spans="1:47" s="8" customFormat="1" ht="18" customHeight="1" x14ac:dyDescent="0.2">
      <c r="A34" s="64" t="s">
        <v>17</v>
      </c>
      <c r="B34" s="16"/>
      <c r="C34" s="16"/>
      <c r="D34" s="16"/>
      <c r="E34" s="16"/>
      <c r="F34" s="16">
        <f t="shared" ref="F34:V34" si="1">AVERAGE(F5:F19)</f>
        <v>35</v>
      </c>
      <c r="G34" s="16">
        <f t="shared" si="1"/>
        <v>47</v>
      </c>
      <c r="H34" s="16">
        <f t="shared" si="1"/>
        <v>73.599999999999994</v>
      </c>
      <c r="I34" s="16">
        <f t="shared" si="1"/>
        <v>103.7</v>
      </c>
      <c r="J34" s="16">
        <f t="shared" si="1"/>
        <v>104.25</v>
      </c>
      <c r="K34" s="16">
        <f t="shared" si="1"/>
        <v>62.25</v>
      </c>
      <c r="L34" s="16">
        <f t="shared" si="1"/>
        <v>37.799999999999997</v>
      </c>
      <c r="M34" s="16">
        <f t="shared" si="1"/>
        <v>17.166666666666668</v>
      </c>
      <c r="N34" s="16">
        <f t="shared" si="1"/>
        <v>13.6</v>
      </c>
      <c r="O34" s="16">
        <f t="shared" si="1"/>
        <v>7</v>
      </c>
      <c r="P34" s="16">
        <f t="shared" si="1"/>
        <v>3.4</v>
      </c>
      <c r="Q34" s="16">
        <f t="shared" si="1"/>
        <v>0.7142857142857143</v>
      </c>
      <c r="R34" s="16">
        <f t="shared" si="1"/>
        <v>1</v>
      </c>
      <c r="S34" s="16">
        <f t="shared" si="1"/>
        <v>1</v>
      </c>
      <c r="T34" s="16">
        <f t="shared" si="1"/>
        <v>0</v>
      </c>
      <c r="U34" s="16">
        <f t="shared" si="1"/>
        <v>0</v>
      </c>
      <c r="V34" s="16">
        <f t="shared" si="1"/>
        <v>0</v>
      </c>
      <c r="W34" s="16"/>
      <c r="X34" s="16">
        <f>AVERAGE(X5:X19)</f>
        <v>140.73333333333332</v>
      </c>
      <c r="Y34" s="17"/>
      <c r="Z34" s="16">
        <f>AVERAGE(Z5:Z19)</f>
        <v>20.8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A35" s="8"/>
    </row>
    <row r="36" spans="1:47" ht="18" customHeight="1" x14ac:dyDescent="0.2">
      <c r="A36" s="1002" t="s">
        <v>597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47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</row>
    <row r="38" spans="1:47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</row>
    <row r="39" spans="1:47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B39" s="68" t="s">
        <v>50</v>
      </c>
      <c r="AC39" t="s">
        <v>51</v>
      </c>
    </row>
    <row r="40" spans="1:47" ht="18" customHeight="1" x14ac:dyDescent="0.2">
      <c r="A40" s="1">
        <v>1995</v>
      </c>
      <c r="B40" s="6"/>
      <c r="C40" s="6"/>
      <c r="D40" s="6"/>
      <c r="E40" s="6"/>
      <c r="F40" s="6"/>
      <c r="G40" s="6"/>
      <c r="H40" s="6">
        <v>113</v>
      </c>
      <c r="I40" s="6"/>
      <c r="J40" s="6">
        <v>691</v>
      </c>
      <c r="K40" s="6"/>
      <c r="L40" s="6"/>
      <c r="M40" s="6">
        <v>974</v>
      </c>
      <c r="N40" s="365">
        <v>1033</v>
      </c>
      <c r="O40" s="6"/>
      <c r="P40" s="6"/>
      <c r="Q40" s="6"/>
      <c r="R40" s="6"/>
      <c r="S40" s="6"/>
      <c r="T40" s="13"/>
      <c r="U40" s="13"/>
      <c r="V40" s="13"/>
      <c r="W40" s="13"/>
      <c r="X40" s="13">
        <v>1370</v>
      </c>
      <c r="Y40" s="7" t="s">
        <v>5</v>
      </c>
      <c r="Z40" s="58">
        <v>25</v>
      </c>
      <c r="AA40" s="8">
        <f>COUNT(B40:W40)</f>
        <v>4</v>
      </c>
      <c r="AB40" s="2">
        <f>MAX(B40:W40)</f>
        <v>1033</v>
      </c>
      <c r="AC40">
        <f>X40/AB40</f>
        <v>1.3262342691190707</v>
      </c>
    </row>
    <row r="41" spans="1:47" ht="18" customHeight="1" x14ac:dyDescent="0.2">
      <c r="A41" s="1">
        <v>1996</v>
      </c>
      <c r="B41" s="6"/>
      <c r="C41" s="6"/>
      <c r="D41" s="6"/>
      <c r="E41" s="6"/>
      <c r="F41" s="6">
        <v>14</v>
      </c>
      <c r="G41" s="6">
        <v>48</v>
      </c>
      <c r="H41" s="6">
        <v>119</v>
      </c>
      <c r="I41" s="6">
        <v>108</v>
      </c>
      <c r="J41" s="6">
        <v>78</v>
      </c>
      <c r="K41" s="365">
        <v>601</v>
      </c>
      <c r="L41" s="6"/>
      <c r="M41" s="6"/>
      <c r="N41" s="6">
        <v>21</v>
      </c>
      <c r="O41" s="6"/>
      <c r="P41" s="6">
        <v>746</v>
      </c>
      <c r="Q41" s="6"/>
      <c r="R41" s="6"/>
      <c r="S41" s="6"/>
      <c r="T41" s="13"/>
      <c r="U41" s="13"/>
      <c r="V41" s="13"/>
      <c r="W41" s="13"/>
      <c r="X41" s="13">
        <v>746</v>
      </c>
      <c r="Y41" s="7" t="s">
        <v>7</v>
      </c>
      <c r="Z41" s="60"/>
      <c r="AA41" s="8">
        <f t="shared" ref="AA41:AA56" si="2">COUNT(B41:W41)</f>
        <v>8</v>
      </c>
      <c r="AB41" s="2">
        <f t="shared" ref="AB41:AB63" si="3">MAX(B41:W41)</f>
        <v>746</v>
      </c>
      <c r="AC41">
        <f t="shared" ref="AC41:AC63" si="4">X41/AB41</f>
        <v>1</v>
      </c>
    </row>
    <row r="42" spans="1:47" ht="18" customHeight="1" x14ac:dyDescent="0.2">
      <c r="A42" s="1">
        <v>1997</v>
      </c>
      <c r="B42" s="6"/>
      <c r="C42" s="6"/>
      <c r="D42" s="6"/>
      <c r="E42" s="6"/>
      <c r="F42" s="6"/>
      <c r="G42" s="6">
        <v>28</v>
      </c>
      <c r="H42" s="6"/>
      <c r="I42" s="6">
        <v>238</v>
      </c>
      <c r="J42" s="6"/>
      <c r="K42" s="6"/>
      <c r="L42" s="6"/>
      <c r="M42" s="6">
        <v>288</v>
      </c>
      <c r="N42" s="6"/>
      <c r="O42" s="6"/>
      <c r="P42" s="365">
        <v>484</v>
      </c>
      <c r="Q42" s="6"/>
      <c r="R42" s="6"/>
      <c r="S42" s="6"/>
      <c r="T42" s="13"/>
      <c r="U42" s="13"/>
      <c r="V42" s="13"/>
      <c r="W42" s="13"/>
      <c r="X42" s="13">
        <v>657</v>
      </c>
      <c r="Y42" s="7" t="s">
        <v>5</v>
      </c>
      <c r="Z42" s="58">
        <v>35</v>
      </c>
      <c r="AA42" s="8">
        <f t="shared" si="2"/>
        <v>4</v>
      </c>
      <c r="AB42" s="2">
        <f t="shared" si="3"/>
        <v>484</v>
      </c>
      <c r="AC42">
        <f t="shared" si="4"/>
        <v>1.3574380165289257</v>
      </c>
    </row>
    <row r="43" spans="1:47" ht="18" customHeight="1" x14ac:dyDescent="0.2">
      <c r="A43" s="1">
        <v>1998</v>
      </c>
      <c r="B43" s="6"/>
      <c r="C43" s="6"/>
      <c r="D43" s="6"/>
      <c r="E43" s="6"/>
      <c r="F43" s="6"/>
      <c r="G43" s="6"/>
      <c r="H43" s="6"/>
      <c r="I43" s="6"/>
      <c r="J43" s="6">
        <v>27</v>
      </c>
      <c r="K43" s="6"/>
      <c r="L43" s="6">
        <v>1109</v>
      </c>
      <c r="M43" s="6">
        <v>1528</v>
      </c>
      <c r="N43" s="6">
        <v>1342</v>
      </c>
      <c r="O43" s="6">
        <v>1844</v>
      </c>
      <c r="P43" s="6"/>
      <c r="Q43" s="365">
        <v>3157</v>
      </c>
      <c r="R43" s="6"/>
      <c r="S43" s="6"/>
      <c r="T43" s="13"/>
      <c r="U43" s="13">
        <v>908</v>
      </c>
      <c r="V43" s="13">
        <v>625</v>
      </c>
      <c r="W43" s="13"/>
      <c r="X43" s="13">
        <v>5137</v>
      </c>
      <c r="Y43" s="7" t="s">
        <v>5</v>
      </c>
      <c r="Z43" s="58">
        <v>35</v>
      </c>
      <c r="AA43" s="8">
        <f t="shared" si="2"/>
        <v>8</v>
      </c>
      <c r="AB43" s="2">
        <f t="shared" si="3"/>
        <v>3157</v>
      </c>
      <c r="AC43">
        <f t="shared" si="4"/>
        <v>1.627177700348432</v>
      </c>
    </row>
    <row r="44" spans="1:47" ht="18" customHeight="1" x14ac:dyDescent="0.2">
      <c r="A44" s="1">
        <v>1999</v>
      </c>
      <c r="B44" s="6"/>
      <c r="C44" s="6"/>
      <c r="D44" s="6"/>
      <c r="E44" s="6"/>
      <c r="F44" s="6"/>
      <c r="G44" s="6"/>
      <c r="H44" s="6"/>
      <c r="I44" s="6"/>
      <c r="J44" s="6">
        <v>71</v>
      </c>
      <c r="K44" s="6"/>
      <c r="L44" s="6">
        <v>350</v>
      </c>
      <c r="M44" s="6"/>
      <c r="N44" s="6">
        <v>765</v>
      </c>
      <c r="O44" s="6"/>
      <c r="P44" s="6"/>
      <c r="Q44" s="6">
        <v>1193</v>
      </c>
      <c r="R44" s="365">
        <v>1867</v>
      </c>
      <c r="S44" s="6"/>
      <c r="T44" s="13"/>
      <c r="U44" s="13"/>
      <c r="V44" s="13">
        <v>1097</v>
      </c>
      <c r="W44" s="13"/>
      <c r="X44" s="13">
        <v>3079</v>
      </c>
      <c r="Y44" s="7" t="s">
        <v>5</v>
      </c>
      <c r="Z44" s="58">
        <v>30</v>
      </c>
      <c r="AA44" s="8">
        <f t="shared" si="2"/>
        <v>6</v>
      </c>
      <c r="AB44" s="2">
        <f t="shared" si="3"/>
        <v>1867</v>
      </c>
      <c r="AC44">
        <f t="shared" si="4"/>
        <v>1.6491697911087306</v>
      </c>
    </row>
    <row r="45" spans="1:47" ht="18" customHeight="1" x14ac:dyDescent="0.2">
      <c r="A45" s="1">
        <v>2000</v>
      </c>
      <c r="B45" s="6"/>
      <c r="C45" s="6"/>
      <c r="D45" s="6"/>
      <c r="E45" s="6"/>
      <c r="F45" s="6"/>
      <c r="G45" s="6"/>
      <c r="H45" s="6"/>
      <c r="I45" s="6">
        <v>52</v>
      </c>
      <c r="J45" s="6">
        <v>503</v>
      </c>
      <c r="K45" s="6"/>
      <c r="L45" s="6"/>
      <c r="M45" s="6"/>
      <c r="N45" s="365">
        <v>2518</v>
      </c>
      <c r="O45" s="6"/>
      <c r="P45" s="6">
        <v>2383</v>
      </c>
      <c r="Q45" s="6">
        <v>2228</v>
      </c>
      <c r="R45" s="6"/>
      <c r="S45" s="6"/>
      <c r="T45" s="13"/>
      <c r="U45" s="13">
        <v>1552</v>
      </c>
      <c r="V45" s="13"/>
      <c r="W45" s="13"/>
      <c r="X45" s="13">
        <v>3547</v>
      </c>
      <c r="Y45" s="7" t="s">
        <v>5</v>
      </c>
      <c r="Z45" s="58">
        <v>45</v>
      </c>
      <c r="AA45" s="8">
        <f t="shared" si="2"/>
        <v>6</v>
      </c>
      <c r="AB45" s="2">
        <f t="shared" si="3"/>
        <v>2518</v>
      </c>
      <c r="AC45">
        <f t="shared" si="4"/>
        <v>1.408657664813344</v>
      </c>
    </row>
    <row r="46" spans="1:47" ht="18" customHeight="1" x14ac:dyDescent="0.2">
      <c r="A46" s="1">
        <v>2001</v>
      </c>
      <c r="B46" s="6"/>
      <c r="C46" s="6"/>
      <c r="D46" s="6"/>
      <c r="E46" s="6"/>
      <c r="F46" s="6"/>
      <c r="G46" s="6"/>
      <c r="H46" s="6"/>
      <c r="I46" s="6">
        <v>53</v>
      </c>
      <c r="J46" s="6">
        <v>892</v>
      </c>
      <c r="K46" s="6"/>
      <c r="L46" s="6"/>
      <c r="M46" s="6"/>
      <c r="N46" s="365">
        <v>3092</v>
      </c>
      <c r="O46" s="6"/>
      <c r="P46" s="6"/>
      <c r="Q46" s="6">
        <v>2746</v>
      </c>
      <c r="R46" s="6"/>
      <c r="S46" s="6"/>
      <c r="T46" s="13"/>
      <c r="U46" s="13"/>
      <c r="V46" s="13"/>
      <c r="W46" s="13"/>
      <c r="X46" s="13">
        <v>4002</v>
      </c>
      <c r="Y46" s="7" t="s">
        <v>5</v>
      </c>
      <c r="Z46" s="58">
        <v>45</v>
      </c>
      <c r="AA46" s="8">
        <f t="shared" si="2"/>
        <v>4</v>
      </c>
      <c r="AB46" s="2">
        <f t="shared" si="3"/>
        <v>3092</v>
      </c>
      <c r="AC46">
        <f t="shared" si="4"/>
        <v>1.2943078913324708</v>
      </c>
    </row>
    <row r="47" spans="1:47" ht="18" customHeight="1" x14ac:dyDescent="0.2">
      <c r="A47" s="1">
        <v>2002</v>
      </c>
      <c r="B47" s="6"/>
      <c r="C47" s="6"/>
      <c r="D47" s="6"/>
      <c r="E47" s="6"/>
      <c r="F47" s="6"/>
      <c r="G47" s="6"/>
      <c r="H47" s="6">
        <v>440</v>
      </c>
      <c r="I47" s="6"/>
      <c r="J47" s="6"/>
      <c r="K47" s="6">
        <v>643</v>
      </c>
      <c r="L47" s="6"/>
      <c r="M47" s="6"/>
      <c r="N47" s="6">
        <v>838</v>
      </c>
      <c r="O47" s="6"/>
      <c r="P47" s="6"/>
      <c r="Q47" s="6"/>
      <c r="R47" s="365">
        <v>2769</v>
      </c>
      <c r="S47" s="6"/>
      <c r="T47" s="13">
        <v>2566</v>
      </c>
      <c r="U47" s="13"/>
      <c r="V47" s="13"/>
      <c r="W47" s="13"/>
      <c r="X47" s="13">
        <v>3724</v>
      </c>
      <c r="Y47" s="7" t="s">
        <v>5</v>
      </c>
      <c r="Z47" s="60">
        <v>45</v>
      </c>
      <c r="AA47" s="8">
        <f t="shared" si="2"/>
        <v>5</v>
      </c>
      <c r="AB47" s="2">
        <f t="shared" si="3"/>
        <v>2769</v>
      </c>
      <c r="AC47">
        <f t="shared" si="4"/>
        <v>1.3448898519321055</v>
      </c>
    </row>
    <row r="48" spans="1:47" ht="18" customHeight="1" x14ac:dyDescent="0.2">
      <c r="A48" s="1">
        <v>2003</v>
      </c>
      <c r="B48" s="6"/>
      <c r="C48" s="6"/>
      <c r="D48" s="6"/>
      <c r="E48" s="6"/>
      <c r="F48" s="6"/>
      <c r="G48" s="6"/>
      <c r="H48" s="6">
        <v>144</v>
      </c>
      <c r="I48" s="6">
        <v>728</v>
      </c>
      <c r="J48" s="6"/>
      <c r="K48" s="6"/>
      <c r="L48" s="6">
        <v>1716</v>
      </c>
      <c r="M48" s="6"/>
      <c r="N48" s="365">
        <v>2347</v>
      </c>
      <c r="O48" s="6">
        <v>2326</v>
      </c>
      <c r="P48" s="6"/>
      <c r="Q48" s="6"/>
      <c r="R48" s="6"/>
      <c r="S48" s="6"/>
      <c r="T48" s="13"/>
      <c r="U48" s="13"/>
      <c r="V48" s="13"/>
      <c r="W48" s="13"/>
      <c r="X48" s="13">
        <v>2807</v>
      </c>
      <c r="Y48" s="7" t="s">
        <v>5</v>
      </c>
      <c r="Z48" s="58">
        <v>37</v>
      </c>
      <c r="AA48" s="8">
        <f t="shared" si="2"/>
        <v>5</v>
      </c>
      <c r="AB48" s="2">
        <f t="shared" si="3"/>
        <v>2347</v>
      </c>
      <c r="AC48">
        <f t="shared" si="4"/>
        <v>1.195994887089902</v>
      </c>
    </row>
    <row r="49" spans="1:47" ht="18" customHeight="1" x14ac:dyDescent="0.2">
      <c r="A49" s="1">
        <v>2004</v>
      </c>
      <c r="B49" s="6"/>
      <c r="C49" s="6"/>
      <c r="D49" s="6"/>
      <c r="E49" s="6"/>
      <c r="F49" s="6"/>
      <c r="G49" s="6"/>
      <c r="H49" s="6"/>
      <c r="I49" s="6">
        <v>568</v>
      </c>
      <c r="J49" s="6">
        <v>663</v>
      </c>
      <c r="K49" s="6"/>
      <c r="L49" s="6"/>
      <c r="M49" s="6">
        <v>2260</v>
      </c>
      <c r="N49" s="6"/>
      <c r="O49" s="6"/>
      <c r="P49" s="365">
        <v>3545</v>
      </c>
      <c r="Q49" s="6"/>
      <c r="R49" s="6">
        <v>2793</v>
      </c>
      <c r="S49" s="6"/>
      <c r="T49" s="13"/>
      <c r="U49" s="13"/>
      <c r="V49" s="13"/>
      <c r="W49" s="13"/>
      <c r="X49" s="21">
        <v>4477</v>
      </c>
      <c r="Y49" s="7" t="s">
        <v>5</v>
      </c>
      <c r="Z49" s="59">
        <v>45</v>
      </c>
      <c r="AA49" s="8">
        <f t="shared" si="2"/>
        <v>5</v>
      </c>
      <c r="AB49" s="2">
        <f t="shared" si="3"/>
        <v>3545</v>
      </c>
      <c r="AC49">
        <f t="shared" si="4"/>
        <v>1.2629055007052186</v>
      </c>
    </row>
    <row r="50" spans="1:47" ht="18" customHeight="1" x14ac:dyDescent="0.2">
      <c r="A50" s="1">
        <v>2005</v>
      </c>
      <c r="B50" s="6"/>
      <c r="C50" s="6"/>
      <c r="D50" s="6"/>
      <c r="E50" s="6"/>
      <c r="F50" s="6"/>
      <c r="G50" s="6"/>
      <c r="H50" s="6"/>
      <c r="I50" s="6">
        <v>77</v>
      </c>
      <c r="J50" s="6"/>
      <c r="K50" s="6">
        <v>1034</v>
      </c>
      <c r="L50" s="6"/>
      <c r="M50" s="6"/>
      <c r="N50" s="6">
        <v>239</v>
      </c>
      <c r="O50" s="6"/>
      <c r="P50" s="365">
        <v>2257</v>
      </c>
      <c r="Q50" s="6"/>
      <c r="R50" s="6"/>
      <c r="S50" s="6">
        <v>2050</v>
      </c>
      <c r="T50" s="13"/>
      <c r="U50" s="13"/>
      <c r="V50" s="13"/>
      <c r="W50" s="13"/>
      <c r="X50" s="13">
        <v>2754</v>
      </c>
      <c r="Y50" s="7" t="s">
        <v>5</v>
      </c>
      <c r="Z50" s="60">
        <v>45</v>
      </c>
      <c r="AA50" s="8">
        <f t="shared" si="2"/>
        <v>5</v>
      </c>
      <c r="AB50" s="2">
        <f t="shared" si="3"/>
        <v>2257</v>
      </c>
      <c r="AC50">
        <f t="shared" si="4"/>
        <v>1.2202038103677448</v>
      </c>
    </row>
    <row r="51" spans="1:47" ht="18" customHeight="1" x14ac:dyDescent="0.2">
      <c r="A51" s="1">
        <v>2006</v>
      </c>
      <c r="B51" s="6"/>
      <c r="C51" s="6"/>
      <c r="D51" s="6"/>
      <c r="E51" s="6"/>
      <c r="F51" s="6"/>
      <c r="G51" s="6"/>
      <c r="H51" s="6"/>
      <c r="I51" s="6">
        <v>380</v>
      </c>
      <c r="J51" s="6"/>
      <c r="K51" s="6">
        <v>346</v>
      </c>
      <c r="L51" s="6">
        <v>516</v>
      </c>
      <c r="M51" s="6"/>
      <c r="N51" s="6"/>
      <c r="O51" s="6"/>
      <c r="P51" s="6"/>
      <c r="Q51" s="365">
        <v>793</v>
      </c>
      <c r="R51" s="6"/>
      <c r="S51" s="6"/>
      <c r="T51" s="13"/>
      <c r="U51" s="13"/>
      <c r="V51" s="13"/>
      <c r="W51" s="13"/>
      <c r="X51" s="12">
        <v>1086</v>
      </c>
      <c r="Y51" s="7" t="s">
        <v>5</v>
      </c>
      <c r="Z51" s="53">
        <v>45</v>
      </c>
      <c r="AA51" s="8">
        <f t="shared" si="2"/>
        <v>4</v>
      </c>
      <c r="AB51" s="2">
        <f t="shared" si="3"/>
        <v>793</v>
      </c>
      <c r="AC51">
        <f t="shared" si="4"/>
        <v>1.3694829760403531</v>
      </c>
    </row>
    <row r="52" spans="1:47" ht="18" customHeight="1" x14ac:dyDescent="0.2">
      <c r="A52" s="1">
        <v>2007</v>
      </c>
      <c r="B52" s="6"/>
      <c r="C52" s="6"/>
      <c r="D52" s="6"/>
      <c r="E52" s="6"/>
      <c r="F52" s="6"/>
      <c r="G52" s="6"/>
      <c r="H52" s="6">
        <v>185</v>
      </c>
      <c r="I52" s="6">
        <v>173</v>
      </c>
      <c r="J52" s="6"/>
      <c r="K52" s="6"/>
      <c r="L52" s="6"/>
      <c r="M52" s="365">
        <v>1474</v>
      </c>
      <c r="N52" s="6"/>
      <c r="O52" s="6"/>
      <c r="P52" s="6"/>
      <c r="Q52" s="6">
        <v>1182</v>
      </c>
      <c r="R52" s="6"/>
      <c r="S52" s="6"/>
      <c r="T52" s="13"/>
      <c r="U52" s="13"/>
      <c r="V52" s="13"/>
      <c r="W52" s="13"/>
      <c r="X52" s="12">
        <v>1628</v>
      </c>
      <c r="Y52" s="7" t="s">
        <v>5</v>
      </c>
      <c r="Z52" s="60">
        <v>45</v>
      </c>
      <c r="AA52" s="8">
        <f t="shared" si="2"/>
        <v>4</v>
      </c>
      <c r="AB52" s="2">
        <f t="shared" si="3"/>
        <v>1474</v>
      </c>
      <c r="AC52">
        <f t="shared" si="4"/>
        <v>1.1044776119402986</v>
      </c>
    </row>
    <row r="53" spans="1:47" s="55" customFormat="1" ht="18" customHeight="1" x14ac:dyDescent="0.2">
      <c r="A53" s="13">
        <v>2008</v>
      </c>
      <c r="B53" s="13"/>
      <c r="C53" s="13"/>
      <c r="D53" s="13"/>
      <c r="E53" s="13"/>
      <c r="F53" s="13">
        <v>150</v>
      </c>
      <c r="G53" s="13">
        <v>145</v>
      </c>
      <c r="H53" s="13"/>
      <c r="I53" s="13">
        <v>258</v>
      </c>
      <c r="J53" s="13"/>
      <c r="K53" s="13"/>
      <c r="L53" s="13">
        <v>1602</v>
      </c>
      <c r="M53" s="366">
        <v>2434</v>
      </c>
      <c r="N53" s="13"/>
      <c r="O53" s="13"/>
      <c r="P53" s="13"/>
      <c r="Q53" s="13">
        <v>1531</v>
      </c>
      <c r="R53" s="13"/>
      <c r="S53" s="13"/>
      <c r="T53" s="13"/>
      <c r="U53" s="13"/>
      <c r="V53" s="13"/>
      <c r="W53" s="13"/>
      <c r="X53" s="13">
        <v>2719</v>
      </c>
      <c r="Y53" s="7" t="s">
        <v>5</v>
      </c>
      <c r="Z53" s="58">
        <v>47.5</v>
      </c>
      <c r="AA53" s="8">
        <f t="shared" si="2"/>
        <v>6</v>
      </c>
      <c r="AB53" s="2">
        <f t="shared" si="3"/>
        <v>2434</v>
      </c>
      <c r="AC53">
        <f t="shared" si="4"/>
        <v>1.1170912078882498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8" customHeight="1" x14ac:dyDescent="0.2">
      <c r="A54" s="13">
        <v>2009</v>
      </c>
      <c r="B54" s="13"/>
      <c r="C54" s="13"/>
      <c r="D54" s="13"/>
      <c r="E54" s="13"/>
      <c r="F54" s="13"/>
      <c r="G54" s="13"/>
      <c r="H54" s="13"/>
      <c r="I54" s="13"/>
      <c r="J54" s="13">
        <v>3138</v>
      </c>
      <c r="K54" s="13"/>
      <c r="L54" s="13"/>
      <c r="M54" s="13"/>
      <c r="N54" s="366">
        <v>4576</v>
      </c>
      <c r="O54" s="13"/>
      <c r="P54" s="13"/>
      <c r="Q54" s="13"/>
      <c r="R54" s="13"/>
      <c r="S54" s="13"/>
      <c r="T54" s="13">
        <v>2544</v>
      </c>
      <c r="U54" s="13"/>
      <c r="V54" s="13"/>
      <c r="W54" s="13"/>
      <c r="X54" s="13">
        <v>8175</v>
      </c>
      <c r="Y54" s="7" t="s">
        <v>5</v>
      </c>
      <c r="Z54" s="58">
        <v>40</v>
      </c>
      <c r="AA54" s="8">
        <f t="shared" si="2"/>
        <v>3</v>
      </c>
      <c r="AB54" s="2">
        <f t="shared" si="3"/>
        <v>4576</v>
      </c>
      <c r="AC54">
        <f t="shared" si="4"/>
        <v>1.7864947552447552</v>
      </c>
    </row>
    <row r="55" spans="1:47" ht="18" customHeight="1" x14ac:dyDescent="0.2">
      <c r="A55" s="13">
        <v>2010</v>
      </c>
      <c r="B55" s="13"/>
      <c r="C55" s="13"/>
      <c r="D55" s="13"/>
      <c r="E55" s="13"/>
      <c r="F55" s="1">
        <v>9</v>
      </c>
      <c r="G55" s="1">
        <v>32</v>
      </c>
      <c r="H55" s="1"/>
      <c r="I55" s="1">
        <v>211</v>
      </c>
      <c r="J55" s="1"/>
      <c r="K55" s="1">
        <v>1094</v>
      </c>
      <c r="L55" s="1"/>
      <c r="M55" s="363">
        <v>1942</v>
      </c>
      <c r="N55" s="1"/>
      <c r="O55" s="1"/>
      <c r="P55" s="1"/>
      <c r="Q55" s="1"/>
      <c r="R55" s="1">
        <v>1412</v>
      </c>
      <c r="S55" s="13"/>
      <c r="T55" s="13"/>
      <c r="U55" s="13"/>
      <c r="V55" s="13"/>
      <c r="W55" s="13"/>
      <c r="X55" s="13"/>
      <c r="Y55" s="7"/>
      <c r="Z55" s="58"/>
      <c r="AA55" s="8">
        <f t="shared" si="2"/>
        <v>6</v>
      </c>
      <c r="AB55" s="2">
        <f t="shared" si="3"/>
        <v>1942</v>
      </c>
      <c r="AC55">
        <f t="shared" si="4"/>
        <v>0</v>
      </c>
    </row>
    <row r="56" spans="1:47" ht="18" customHeight="1" x14ac:dyDescent="0.2">
      <c r="A56" s="13">
        <v>2011</v>
      </c>
      <c r="B56" s="13"/>
      <c r="C56" s="13"/>
      <c r="D56" s="13"/>
      <c r="E56" s="13"/>
      <c r="F56" s="13"/>
      <c r="G56" s="13"/>
      <c r="H56" s="13"/>
      <c r="I56" s="13">
        <v>289</v>
      </c>
      <c r="J56" s="13">
        <v>1033</v>
      </c>
      <c r="K56" s="13"/>
      <c r="L56" s="13"/>
      <c r="M56" s="13">
        <v>1371</v>
      </c>
      <c r="N56" s="13">
        <v>1599</v>
      </c>
      <c r="O56" s="13"/>
      <c r="P56" s="366">
        <v>1831</v>
      </c>
      <c r="Q56" s="13"/>
      <c r="R56" s="13"/>
      <c r="S56" s="13"/>
      <c r="T56" s="13"/>
      <c r="U56" s="13">
        <v>916</v>
      </c>
      <c r="V56" s="13"/>
      <c r="W56" s="13"/>
      <c r="X56" s="13">
        <v>2500</v>
      </c>
      <c r="Y56" s="7" t="s">
        <v>5</v>
      </c>
      <c r="Z56" s="58">
        <v>40</v>
      </c>
      <c r="AA56" s="8">
        <f t="shared" si="2"/>
        <v>6</v>
      </c>
      <c r="AB56" s="2">
        <f t="shared" si="3"/>
        <v>1831</v>
      </c>
      <c r="AC56">
        <f t="shared" si="4"/>
        <v>1.3653741125068268</v>
      </c>
    </row>
    <row r="57" spans="1:47" ht="18" customHeight="1" x14ac:dyDescent="0.2">
      <c r="A57" s="13">
        <v>2012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7"/>
      <c r="Z57" s="58"/>
      <c r="AA57" s="8"/>
      <c r="AB57" s="2"/>
    </row>
    <row r="58" spans="1:47" ht="18" customHeight="1" x14ac:dyDescent="0.2">
      <c r="A58" s="13">
        <v>2013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66">
        <v>1138</v>
      </c>
      <c r="N58" s="13"/>
      <c r="O58" s="13"/>
      <c r="P58" s="13"/>
      <c r="Q58" s="13">
        <v>925</v>
      </c>
      <c r="R58" s="13"/>
      <c r="S58" s="13"/>
      <c r="T58" s="13"/>
      <c r="U58" s="13"/>
      <c r="V58" s="13"/>
      <c r="W58" s="13"/>
      <c r="X58" s="13">
        <v>1138</v>
      </c>
      <c r="Y58" s="7" t="s">
        <v>9</v>
      </c>
      <c r="Z58" s="58"/>
      <c r="AA58" s="8"/>
      <c r="AB58" s="2">
        <f t="shared" si="3"/>
        <v>1138</v>
      </c>
      <c r="AC58">
        <f t="shared" si="4"/>
        <v>1</v>
      </c>
    </row>
    <row r="59" spans="1:47" ht="18" customHeight="1" x14ac:dyDescent="0.2">
      <c r="A59" s="13">
        <v>2014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66">
        <v>3157</v>
      </c>
      <c r="N59" s="13"/>
      <c r="O59" s="13"/>
      <c r="P59" s="13"/>
      <c r="Q59" s="13">
        <v>138</v>
      </c>
      <c r="R59" s="13"/>
      <c r="S59" s="13"/>
      <c r="T59" s="13"/>
      <c r="U59" s="13"/>
      <c r="V59" s="13"/>
      <c r="W59" s="13"/>
      <c r="X59" s="13">
        <v>3508</v>
      </c>
      <c r="Y59" s="7" t="s">
        <v>9</v>
      </c>
      <c r="Z59" s="58"/>
      <c r="AA59" s="8"/>
      <c r="AB59" s="2">
        <f t="shared" si="3"/>
        <v>3157</v>
      </c>
      <c r="AC59">
        <f t="shared" si="4"/>
        <v>1.1111815014254038</v>
      </c>
    </row>
    <row r="60" spans="1:47" ht="18" customHeight="1" x14ac:dyDescent="0.2">
      <c r="A60" s="13">
        <v>2015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 t="s">
        <v>322</v>
      </c>
      <c r="Y60" s="7"/>
      <c r="Z60" s="58"/>
      <c r="AA60" s="8"/>
      <c r="AB60" s="2"/>
    </row>
    <row r="61" spans="1:47" ht="18" customHeight="1" x14ac:dyDescent="0.2">
      <c r="A61" s="13">
        <v>2016</v>
      </c>
      <c r="B61" s="13"/>
      <c r="C61" s="13"/>
      <c r="D61" s="13"/>
      <c r="E61" s="13"/>
      <c r="F61" s="13"/>
      <c r="G61" s="13"/>
      <c r="H61" s="13">
        <v>157</v>
      </c>
      <c r="I61" s="13"/>
      <c r="J61" s="366">
        <v>1232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>
        <v>1369</v>
      </c>
      <c r="Y61" s="7"/>
      <c r="Z61" s="58"/>
      <c r="AA61" s="8"/>
      <c r="AB61" s="2">
        <f t="shared" si="3"/>
        <v>1232</v>
      </c>
      <c r="AC61">
        <f t="shared" si="4"/>
        <v>1.1112012987012987</v>
      </c>
    </row>
    <row r="62" spans="1:47" ht="18" customHeight="1" x14ac:dyDescent="0.2">
      <c r="A62" s="13">
        <v>2017</v>
      </c>
      <c r="B62" s="13"/>
      <c r="C62" s="13"/>
      <c r="D62" s="13"/>
      <c r="E62" s="89"/>
      <c r="F62" s="89"/>
      <c r="G62" s="123">
        <v>68</v>
      </c>
      <c r="H62" s="439"/>
      <c r="I62" s="439"/>
      <c r="J62" s="123">
        <v>289</v>
      </c>
      <c r="K62" s="13"/>
      <c r="L62" s="13"/>
      <c r="M62" s="13"/>
      <c r="N62" s="363">
        <v>778</v>
      </c>
      <c r="O62" s="13"/>
      <c r="P62" s="13"/>
      <c r="Q62" s="13"/>
      <c r="R62" s="13"/>
      <c r="S62" s="13"/>
      <c r="T62" s="13"/>
      <c r="U62" s="13"/>
      <c r="V62" s="13"/>
      <c r="W62" s="13"/>
      <c r="X62" s="13">
        <v>864</v>
      </c>
      <c r="Y62" s="7"/>
      <c r="Z62" s="58"/>
      <c r="AA62" s="8"/>
      <c r="AB62" s="2">
        <f t="shared" si="3"/>
        <v>778</v>
      </c>
      <c r="AC62">
        <f t="shared" si="4"/>
        <v>1.1105398457583548</v>
      </c>
    </row>
    <row r="63" spans="1:47" ht="18" customHeight="1" x14ac:dyDescent="0.2">
      <c r="A63" s="13">
        <v>2018</v>
      </c>
      <c r="B63" s="13"/>
      <c r="C63" s="13"/>
      <c r="D63" s="13"/>
      <c r="E63" s="89"/>
      <c r="F63" s="89"/>
      <c r="G63" s="89"/>
      <c r="H63" s="89"/>
      <c r="I63" s="89"/>
      <c r="J63" s="89"/>
      <c r="K63" s="123">
        <v>672</v>
      </c>
      <c r="L63" s="89"/>
      <c r="M63" s="543">
        <v>858</v>
      </c>
      <c r="N63" s="89"/>
      <c r="O63" s="550">
        <v>426</v>
      </c>
      <c r="P63" s="89"/>
      <c r="Q63" s="89"/>
      <c r="R63" s="13"/>
      <c r="S63" s="13"/>
      <c r="T63" s="13"/>
      <c r="U63" s="13"/>
      <c r="V63" s="13"/>
      <c r="W63" s="13"/>
      <c r="X63" s="13">
        <v>1055</v>
      </c>
      <c r="Y63" s="7"/>
      <c r="Z63" s="58">
        <v>40</v>
      </c>
      <c r="AA63" s="8"/>
      <c r="AB63" s="2">
        <f t="shared" si="3"/>
        <v>858</v>
      </c>
      <c r="AC63">
        <f t="shared" si="4"/>
        <v>1.2296037296037297</v>
      </c>
    </row>
    <row r="64" spans="1:47" ht="18" customHeight="1" x14ac:dyDescent="0.2">
      <c r="A64" s="13">
        <v>2019</v>
      </c>
      <c r="B64" s="13"/>
      <c r="C64" s="13"/>
      <c r="D64" s="13"/>
      <c r="E64" s="89"/>
      <c r="F64" s="89"/>
      <c r="G64" s="89"/>
      <c r="H64" s="89"/>
      <c r="I64" s="89"/>
      <c r="J64" s="89"/>
      <c r="K64" s="123">
        <v>495</v>
      </c>
      <c r="L64" s="89"/>
      <c r="M64" s="89"/>
      <c r="N64" s="89"/>
      <c r="O64" s="89"/>
      <c r="P64" s="89"/>
      <c r="Q64" s="89"/>
      <c r="R64" s="13"/>
      <c r="S64" s="13"/>
      <c r="T64" s="13"/>
      <c r="U64" s="13"/>
      <c r="V64" s="13"/>
      <c r="W64" s="13"/>
      <c r="X64" s="13">
        <v>550</v>
      </c>
      <c r="Y64" s="7" t="s">
        <v>9</v>
      </c>
      <c r="Z64" s="58"/>
      <c r="AA64" s="8"/>
      <c r="AB64" s="2">
        <f>MAX(B64:W64)</f>
        <v>495</v>
      </c>
      <c r="AC64">
        <f>X64/AB64</f>
        <v>1.1111111111111112</v>
      </c>
    </row>
    <row r="65" spans="1:47" ht="18" customHeight="1" x14ac:dyDescent="0.2">
      <c r="A65" s="13">
        <v>2020</v>
      </c>
      <c r="B65" s="13"/>
      <c r="C65" s="13"/>
      <c r="D65" s="13"/>
      <c r="E65" s="89"/>
      <c r="F65" s="89"/>
      <c r="G65" s="89"/>
      <c r="H65" s="89"/>
      <c r="I65" s="89"/>
      <c r="J65" s="89"/>
      <c r="K65" s="109">
        <v>537</v>
      </c>
      <c r="L65" s="89"/>
      <c r="M65" s="89"/>
      <c r="N65" s="89"/>
      <c r="O65" s="89"/>
      <c r="P65" s="89"/>
      <c r="Q65" s="89"/>
      <c r="R65" s="13"/>
      <c r="S65" s="13"/>
      <c r="T65" s="13"/>
      <c r="U65" s="13"/>
      <c r="V65" s="13"/>
      <c r="W65" s="13"/>
      <c r="X65" s="13">
        <v>609</v>
      </c>
      <c r="Y65" s="7"/>
      <c r="Z65" s="58"/>
      <c r="AA65" s="8"/>
      <c r="AB65" s="2">
        <f t="shared" ref="AB65:AB67" si="5">MAX(B65:W65)</f>
        <v>537</v>
      </c>
      <c r="AC65">
        <f t="shared" ref="AC65:AC67" si="6">X65/AB65</f>
        <v>1.1340782122905029</v>
      </c>
    </row>
    <row r="66" spans="1:47" ht="18" customHeight="1" x14ac:dyDescent="0.2">
      <c r="A66" s="13">
        <v>2021</v>
      </c>
      <c r="B66" s="13"/>
      <c r="C66" s="13"/>
      <c r="D66" s="13"/>
      <c r="E66" s="89"/>
      <c r="F66" s="89"/>
      <c r="G66" s="109">
        <v>77</v>
      </c>
      <c r="H66" s="89"/>
      <c r="I66" s="109">
        <v>381</v>
      </c>
      <c r="J66" s="89"/>
      <c r="K66" s="109">
        <v>658</v>
      </c>
      <c r="L66" s="89"/>
      <c r="M66" s="89"/>
      <c r="N66" s="89"/>
      <c r="O66" s="89"/>
      <c r="P66" s="89"/>
      <c r="Q66" s="89"/>
      <c r="R66" s="13"/>
      <c r="S66" s="13"/>
      <c r="T66" s="13"/>
      <c r="U66" s="13"/>
      <c r="V66" s="13"/>
      <c r="W66" s="13"/>
      <c r="X66" s="13">
        <v>1462</v>
      </c>
      <c r="Y66" s="7"/>
      <c r="Z66" s="58"/>
      <c r="AA66" s="8"/>
      <c r="AB66" s="2">
        <f t="shared" si="5"/>
        <v>658</v>
      </c>
      <c r="AC66">
        <f t="shared" si="6"/>
        <v>2.2218844984802431</v>
      </c>
    </row>
    <row r="67" spans="1:47" s="150" customFormat="1" ht="18" customHeight="1" x14ac:dyDescent="0.2">
      <c r="A67" s="89">
        <v>2022</v>
      </c>
      <c r="B67" s="89"/>
      <c r="C67" s="89"/>
      <c r="D67" s="89"/>
      <c r="E67" s="89"/>
      <c r="F67" s="89"/>
      <c r="G67" s="109">
        <v>103</v>
      </c>
      <c r="H67" s="89"/>
      <c r="I67" s="89"/>
      <c r="J67" s="109">
        <v>271</v>
      </c>
      <c r="K67" s="89"/>
      <c r="L67" s="109">
        <v>478</v>
      </c>
      <c r="M67" s="89"/>
      <c r="N67" s="89"/>
      <c r="O67" s="89"/>
      <c r="P67" s="109">
        <v>783</v>
      </c>
      <c r="Q67" s="89"/>
      <c r="R67" s="89"/>
      <c r="S67" s="89"/>
      <c r="T67" s="89"/>
      <c r="U67" s="89"/>
      <c r="V67" s="89"/>
      <c r="W67" s="89"/>
      <c r="X67" s="89">
        <v>870</v>
      </c>
      <c r="Y67" s="11"/>
      <c r="Z67" s="92"/>
      <c r="AA67" s="94"/>
      <c r="AB67" s="2">
        <f t="shared" si="5"/>
        <v>783</v>
      </c>
      <c r="AC67">
        <f t="shared" si="6"/>
        <v>1.1111111111111112</v>
      </c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</row>
    <row r="68" spans="1:47" s="150" customFormat="1" ht="18" customHeight="1" x14ac:dyDescent="0.2">
      <c r="A68" s="89">
        <v>2023</v>
      </c>
      <c r="B68" s="89"/>
      <c r="C68" s="89"/>
      <c r="D68" s="89"/>
      <c r="E68" s="89"/>
      <c r="F68" s="89"/>
      <c r="G68" s="109">
        <v>62</v>
      </c>
      <c r="H68" s="89"/>
      <c r="I68" s="89"/>
      <c r="J68" s="109">
        <v>593</v>
      </c>
      <c r="K68" s="89"/>
      <c r="L68" s="89"/>
      <c r="M68" s="89"/>
      <c r="N68" s="109">
        <v>903</v>
      </c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11"/>
      <c r="Z68" s="92"/>
      <c r="AA68" s="94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</row>
    <row r="69" spans="1:47" ht="18" customHeight="1" x14ac:dyDescent="0.2">
      <c r="A69" s="64" t="s">
        <v>17</v>
      </c>
      <c r="B69" s="16"/>
      <c r="C69" s="16"/>
      <c r="D69" s="16"/>
      <c r="E69" s="16"/>
      <c r="F69" s="16">
        <f t="shared" ref="F69:V69" si="7">AVERAGE(F40:F54)</f>
        <v>82</v>
      </c>
      <c r="G69" s="16">
        <f t="shared" si="7"/>
        <v>73.666666666666671</v>
      </c>
      <c r="H69" s="16">
        <f t="shared" si="7"/>
        <v>200.2</v>
      </c>
      <c r="I69" s="16">
        <f t="shared" si="7"/>
        <v>263.5</v>
      </c>
      <c r="J69" s="16">
        <f t="shared" si="7"/>
        <v>757.875</v>
      </c>
      <c r="K69" s="16">
        <f t="shared" si="7"/>
        <v>656</v>
      </c>
      <c r="L69" s="16">
        <f t="shared" si="7"/>
        <v>1058.5999999999999</v>
      </c>
      <c r="M69" s="16">
        <f t="shared" si="7"/>
        <v>1493</v>
      </c>
      <c r="N69" s="16">
        <f t="shared" si="7"/>
        <v>1677.1</v>
      </c>
      <c r="O69" s="16">
        <f t="shared" si="7"/>
        <v>2085</v>
      </c>
      <c r="P69" s="16">
        <f t="shared" si="7"/>
        <v>1883</v>
      </c>
      <c r="Q69" s="16">
        <f t="shared" si="7"/>
        <v>1832.8571428571429</v>
      </c>
      <c r="R69" s="16">
        <f t="shared" si="7"/>
        <v>2476.3333333333335</v>
      </c>
      <c r="S69" s="16">
        <f t="shared" si="7"/>
        <v>2050</v>
      </c>
      <c r="T69" s="16">
        <f t="shared" si="7"/>
        <v>2555</v>
      </c>
      <c r="U69" s="16">
        <f t="shared" si="7"/>
        <v>1230</v>
      </c>
      <c r="V69" s="16">
        <f t="shared" si="7"/>
        <v>861</v>
      </c>
      <c r="W69" s="16"/>
      <c r="X69" s="16">
        <f>AVERAGE(X40:X54)</f>
        <v>3060.5333333333333</v>
      </c>
      <c r="Y69" s="17"/>
      <c r="Z69" s="16">
        <f>AVERAGE(Z40:Z54)</f>
        <v>40.321428571428569</v>
      </c>
      <c r="AA69" s="8"/>
    </row>
    <row r="70" spans="1:47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  <c r="AA70" s="8"/>
    </row>
    <row r="71" spans="1:47" ht="18" customHeight="1" x14ac:dyDescent="0.2">
      <c r="A71" s="1002" t="s">
        <v>596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47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</row>
    <row r="73" spans="1:47" ht="18" customHeight="1" thickTop="1" x14ac:dyDescent="0.2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</row>
    <row r="74" spans="1:47" ht="18" customHeight="1" x14ac:dyDescent="0.2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B74" s="68" t="s">
        <v>50</v>
      </c>
      <c r="AC74" t="s">
        <v>51</v>
      </c>
    </row>
    <row r="75" spans="1:47" ht="18" customHeight="1" x14ac:dyDescent="0.2">
      <c r="A75" s="1">
        <v>1995</v>
      </c>
      <c r="B75" s="6"/>
      <c r="C75" s="6"/>
      <c r="D75" s="6"/>
      <c r="E75" s="6"/>
      <c r="F75" s="6"/>
      <c r="G75" s="6"/>
      <c r="H75" s="6">
        <v>48</v>
      </c>
      <c r="I75" s="6"/>
      <c r="J75" s="6">
        <v>255</v>
      </c>
      <c r="K75" s="6"/>
      <c r="L75" s="6"/>
      <c r="M75" s="365">
        <v>1928</v>
      </c>
      <c r="N75" s="6">
        <v>1442</v>
      </c>
      <c r="O75" s="6"/>
      <c r="P75" s="6"/>
      <c r="Q75" s="6"/>
      <c r="R75" s="6"/>
      <c r="S75" s="6"/>
      <c r="T75" s="13"/>
      <c r="U75" s="13"/>
      <c r="V75" s="13"/>
      <c r="W75" s="13"/>
      <c r="X75" s="7">
        <v>2556</v>
      </c>
      <c r="Y75" s="7" t="s">
        <v>5</v>
      </c>
      <c r="Z75" s="10">
        <v>20</v>
      </c>
      <c r="AA75" s="8">
        <f>COUNT(B75:W75)</f>
        <v>4</v>
      </c>
      <c r="AB75" s="2">
        <f t="shared" ref="AB75:AB89" si="8">MAX(B75:W75)</f>
        <v>1928</v>
      </c>
      <c r="AC75">
        <f t="shared" ref="AC75:AC89" si="9">X75/AB75</f>
        <v>1.3257261410788381</v>
      </c>
    </row>
    <row r="76" spans="1:47" ht="18" customHeight="1" x14ac:dyDescent="0.2">
      <c r="A76" s="1">
        <v>1996</v>
      </c>
      <c r="B76" s="6"/>
      <c r="C76" s="6"/>
      <c r="D76" s="6"/>
      <c r="E76" s="6"/>
      <c r="F76" s="6">
        <v>14</v>
      </c>
      <c r="G76" s="6">
        <v>60</v>
      </c>
      <c r="H76" s="6">
        <v>118</v>
      </c>
      <c r="I76" s="6">
        <v>130</v>
      </c>
      <c r="J76" s="6">
        <v>141</v>
      </c>
      <c r="K76" s="365">
        <v>3716</v>
      </c>
      <c r="L76" s="6"/>
      <c r="M76" s="6"/>
      <c r="N76" s="6">
        <v>468</v>
      </c>
      <c r="O76" s="6"/>
      <c r="P76" s="6">
        <v>807</v>
      </c>
      <c r="Q76" s="6"/>
      <c r="R76" s="6"/>
      <c r="S76" s="6"/>
      <c r="T76" s="13"/>
      <c r="U76" s="13"/>
      <c r="V76" s="13"/>
      <c r="W76" s="13"/>
      <c r="X76" s="7">
        <v>5883</v>
      </c>
      <c r="Y76" s="7" t="s">
        <v>5</v>
      </c>
      <c r="Z76" s="10">
        <v>20</v>
      </c>
      <c r="AA76" s="8">
        <f t="shared" ref="AA76:AA91" si="10">COUNT(B76:W76)</f>
        <v>8</v>
      </c>
      <c r="AB76" s="2">
        <f t="shared" si="8"/>
        <v>3716</v>
      </c>
      <c r="AC76">
        <f t="shared" si="9"/>
        <v>1.5831539289558665</v>
      </c>
    </row>
    <row r="77" spans="1:47" ht="18" customHeight="1" x14ac:dyDescent="0.2">
      <c r="A77" s="1">
        <v>1997</v>
      </c>
      <c r="B77" s="6"/>
      <c r="C77" s="6"/>
      <c r="D77" s="6"/>
      <c r="E77" s="6"/>
      <c r="F77" s="6"/>
      <c r="G77" s="6">
        <v>2</v>
      </c>
      <c r="H77" s="6"/>
      <c r="I77" s="6">
        <v>17</v>
      </c>
      <c r="J77" s="6"/>
      <c r="K77" s="6"/>
      <c r="L77" s="6"/>
      <c r="M77" s="365">
        <v>3735</v>
      </c>
      <c r="N77" s="6"/>
      <c r="O77" s="6"/>
      <c r="P77" s="6">
        <v>614</v>
      </c>
      <c r="Q77" s="6"/>
      <c r="R77" s="6"/>
      <c r="S77" s="6"/>
      <c r="T77" s="13"/>
      <c r="U77" s="13"/>
      <c r="V77" s="13"/>
      <c r="W77" s="13"/>
      <c r="X77" s="7">
        <v>5162</v>
      </c>
      <c r="Y77" s="7" t="s">
        <v>5</v>
      </c>
      <c r="Z77" s="10">
        <v>20</v>
      </c>
      <c r="AA77" s="8">
        <f t="shared" si="10"/>
        <v>4</v>
      </c>
      <c r="AB77" s="2">
        <f t="shared" si="8"/>
        <v>3735</v>
      </c>
      <c r="AC77">
        <f t="shared" si="9"/>
        <v>1.3820615796519411</v>
      </c>
    </row>
    <row r="78" spans="1:47" ht="18" customHeight="1" x14ac:dyDescent="0.2">
      <c r="A78" s="1">
        <v>1998</v>
      </c>
      <c r="B78" s="6"/>
      <c r="C78" s="6"/>
      <c r="D78" s="6"/>
      <c r="E78" s="6"/>
      <c r="F78" s="6"/>
      <c r="G78" s="6"/>
      <c r="H78" s="6"/>
      <c r="I78" s="6"/>
      <c r="J78" s="6">
        <v>200</v>
      </c>
      <c r="K78" s="6"/>
      <c r="L78" s="6">
        <v>7516</v>
      </c>
      <c r="M78" s="365">
        <v>9697</v>
      </c>
      <c r="N78" s="6">
        <v>8426</v>
      </c>
      <c r="O78" s="6">
        <v>4490</v>
      </c>
      <c r="P78" s="6"/>
      <c r="Q78" s="6">
        <v>233</v>
      </c>
      <c r="R78" s="6"/>
      <c r="S78" s="6"/>
      <c r="T78" s="13"/>
      <c r="U78" s="13"/>
      <c r="V78" s="13">
        <v>14</v>
      </c>
      <c r="W78" s="13"/>
      <c r="X78" s="7">
        <v>19086</v>
      </c>
      <c r="Y78" s="7" t="s">
        <v>5</v>
      </c>
      <c r="Z78" s="10">
        <v>15</v>
      </c>
      <c r="AA78" s="8">
        <f t="shared" si="10"/>
        <v>7</v>
      </c>
      <c r="AB78" s="2">
        <f t="shared" si="8"/>
        <v>9697</v>
      </c>
      <c r="AC78">
        <f t="shared" si="9"/>
        <v>1.9682375992575023</v>
      </c>
    </row>
    <row r="79" spans="1:47" ht="18" customHeight="1" x14ac:dyDescent="0.2">
      <c r="A79" s="1">
        <v>1999</v>
      </c>
      <c r="B79" s="6"/>
      <c r="C79" s="6"/>
      <c r="D79" s="6"/>
      <c r="E79" s="6"/>
      <c r="F79" s="6"/>
      <c r="G79" s="6"/>
      <c r="H79" s="6"/>
      <c r="I79" s="6"/>
      <c r="J79" s="6">
        <v>342</v>
      </c>
      <c r="K79" s="6"/>
      <c r="L79" s="6">
        <v>3840</v>
      </c>
      <c r="M79" s="6"/>
      <c r="N79" s="365">
        <v>5144</v>
      </c>
      <c r="O79" s="6"/>
      <c r="P79" s="6"/>
      <c r="Q79" s="6">
        <v>103</v>
      </c>
      <c r="R79" s="6">
        <v>37</v>
      </c>
      <c r="S79" s="6"/>
      <c r="T79" s="13"/>
      <c r="U79" s="13"/>
      <c r="V79" s="13">
        <v>0</v>
      </c>
      <c r="W79" s="13"/>
      <c r="X79" s="9">
        <v>12698</v>
      </c>
      <c r="Y79" s="7" t="s">
        <v>5</v>
      </c>
      <c r="Z79" s="60">
        <v>12.5</v>
      </c>
      <c r="AA79" s="8">
        <f t="shared" si="10"/>
        <v>6</v>
      </c>
      <c r="AB79" s="2">
        <f t="shared" si="8"/>
        <v>5144</v>
      </c>
      <c r="AC79">
        <f t="shared" si="9"/>
        <v>2.46850699844479</v>
      </c>
    </row>
    <row r="80" spans="1:47" ht="18" customHeight="1" x14ac:dyDescent="0.2">
      <c r="A80" s="1">
        <v>2000</v>
      </c>
      <c r="B80" s="6"/>
      <c r="C80" s="6"/>
      <c r="D80" s="6"/>
      <c r="E80" s="6"/>
      <c r="F80" s="6"/>
      <c r="G80" s="6"/>
      <c r="H80" s="6"/>
      <c r="I80" s="6">
        <v>67</v>
      </c>
      <c r="J80" s="6">
        <v>520</v>
      </c>
      <c r="K80" s="6"/>
      <c r="L80" s="6">
        <v>750</v>
      </c>
      <c r="M80" s="6"/>
      <c r="N80" s="6">
        <v>2700</v>
      </c>
      <c r="O80" s="365">
        <v>3000</v>
      </c>
      <c r="P80" s="6">
        <v>577</v>
      </c>
      <c r="Q80" s="6">
        <v>257</v>
      </c>
      <c r="R80" s="6"/>
      <c r="S80" s="6"/>
      <c r="T80" s="13"/>
      <c r="U80" s="13">
        <v>0</v>
      </c>
      <c r="V80" s="13"/>
      <c r="W80" s="13"/>
      <c r="X80" s="10">
        <v>4652</v>
      </c>
      <c r="Y80" s="7" t="s">
        <v>5</v>
      </c>
      <c r="Z80" s="60">
        <v>15</v>
      </c>
      <c r="AA80" s="8">
        <f t="shared" si="10"/>
        <v>8</v>
      </c>
      <c r="AB80" s="2">
        <f t="shared" si="8"/>
        <v>3000</v>
      </c>
      <c r="AC80">
        <f t="shared" si="9"/>
        <v>1.5506666666666666</v>
      </c>
    </row>
    <row r="81" spans="1:47" ht="18" customHeight="1" x14ac:dyDescent="0.2">
      <c r="A81" s="1">
        <v>2001</v>
      </c>
      <c r="B81" s="6"/>
      <c r="C81" s="6"/>
      <c r="D81" s="6"/>
      <c r="E81" s="6"/>
      <c r="F81" s="6"/>
      <c r="G81" s="6"/>
      <c r="H81" s="6"/>
      <c r="I81" s="6">
        <v>49</v>
      </c>
      <c r="J81" s="6">
        <v>396</v>
      </c>
      <c r="K81" s="6"/>
      <c r="L81" s="6"/>
      <c r="M81" s="6"/>
      <c r="N81" s="365">
        <v>6794</v>
      </c>
      <c r="O81" s="6"/>
      <c r="P81" s="6"/>
      <c r="Q81" s="6">
        <v>51</v>
      </c>
      <c r="R81" s="6"/>
      <c r="S81" s="6"/>
      <c r="T81" s="13"/>
      <c r="U81" s="13"/>
      <c r="V81" s="13"/>
      <c r="W81" s="13"/>
      <c r="X81" s="7">
        <v>8914</v>
      </c>
      <c r="Y81" s="7" t="s">
        <v>5</v>
      </c>
      <c r="Z81" s="60">
        <v>20</v>
      </c>
      <c r="AA81" s="8">
        <f t="shared" si="10"/>
        <v>4</v>
      </c>
      <c r="AB81" s="2">
        <f t="shared" si="8"/>
        <v>6794</v>
      </c>
      <c r="AC81">
        <f t="shared" si="9"/>
        <v>1.312040035325287</v>
      </c>
    </row>
    <row r="82" spans="1:47" ht="18" customHeight="1" x14ac:dyDescent="0.2">
      <c r="A82" s="1">
        <v>2002</v>
      </c>
      <c r="B82" s="6"/>
      <c r="C82" s="6"/>
      <c r="D82" s="6"/>
      <c r="E82" s="6"/>
      <c r="F82" s="6"/>
      <c r="G82" s="6"/>
      <c r="H82" s="6">
        <v>210</v>
      </c>
      <c r="I82" s="6"/>
      <c r="J82" s="6"/>
      <c r="K82" s="6">
        <v>766</v>
      </c>
      <c r="L82" s="6"/>
      <c r="M82" s="6"/>
      <c r="N82" s="365">
        <v>5327</v>
      </c>
      <c r="O82" s="6"/>
      <c r="P82" s="6"/>
      <c r="Q82" s="6"/>
      <c r="R82" s="6">
        <v>71</v>
      </c>
      <c r="S82" s="6"/>
      <c r="T82" s="13">
        <v>3</v>
      </c>
      <c r="U82" s="13"/>
      <c r="V82" s="13"/>
      <c r="W82" s="13"/>
      <c r="X82" s="7">
        <v>14645</v>
      </c>
      <c r="Y82" s="7" t="s">
        <v>5</v>
      </c>
      <c r="Z82" s="60">
        <v>10</v>
      </c>
      <c r="AA82" s="8">
        <f t="shared" si="10"/>
        <v>5</v>
      </c>
      <c r="AB82" s="2">
        <f t="shared" si="8"/>
        <v>5327</v>
      </c>
      <c r="AC82">
        <f t="shared" si="9"/>
        <v>2.7492021775858833</v>
      </c>
    </row>
    <row r="83" spans="1:47" ht="18" customHeight="1" x14ac:dyDescent="0.2">
      <c r="A83" s="1">
        <v>2003</v>
      </c>
      <c r="B83" s="6"/>
      <c r="C83" s="6"/>
      <c r="D83" s="6"/>
      <c r="E83" s="6"/>
      <c r="F83" s="6"/>
      <c r="G83" s="6"/>
      <c r="H83" s="6">
        <v>109</v>
      </c>
      <c r="I83" s="6">
        <v>1204</v>
      </c>
      <c r="J83" s="6"/>
      <c r="K83" s="6"/>
      <c r="L83" s="365">
        <v>10734</v>
      </c>
      <c r="M83" s="6"/>
      <c r="N83" s="6">
        <v>6645</v>
      </c>
      <c r="O83" s="6">
        <v>4754</v>
      </c>
      <c r="P83" s="6"/>
      <c r="Q83" s="6"/>
      <c r="R83" s="6"/>
      <c r="S83" s="6"/>
      <c r="T83" s="13"/>
      <c r="U83" s="13"/>
      <c r="V83" s="13"/>
      <c r="W83" s="13"/>
      <c r="X83" s="7">
        <v>15100</v>
      </c>
      <c r="Y83" s="7" t="s">
        <v>5</v>
      </c>
      <c r="Z83" s="60">
        <v>17</v>
      </c>
      <c r="AA83" s="8">
        <f t="shared" si="10"/>
        <v>5</v>
      </c>
      <c r="AB83" s="2">
        <f t="shared" si="8"/>
        <v>10734</v>
      </c>
      <c r="AC83">
        <f t="shared" si="9"/>
        <v>1.4067449226756101</v>
      </c>
    </row>
    <row r="84" spans="1:47" ht="18" customHeight="1" x14ac:dyDescent="0.2">
      <c r="A84" s="1">
        <v>2004</v>
      </c>
      <c r="B84" s="6"/>
      <c r="C84" s="6"/>
      <c r="D84" s="6"/>
      <c r="E84" s="6"/>
      <c r="F84" s="6"/>
      <c r="G84" s="6"/>
      <c r="H84" s="6"/>
      <c r="I84" s="6">
        <v>240</v>
      </c>
      <c r="J84" s="6">
        <v>534</v>
      </c>
      <c r="K84" s="6"/>
      <c r="L84" s="6"/>
      <c r="M84" s="365">
        <v>7823</v>
      </c>
      <c r="N84" s="6"/>
      <c r="O84" s="6"/>
      <c r="P84" s="6">
        <v>1103</v>
      </c>
      <c r="Q84" s="6"/>
      <c r="R84" s="6">
        <v>70</v>
      </c>
      <c r="S84" s="6"/>
      <c r="T84" s="13"/>
      <c r="U84" s="13"/>
      <c r="V84" s="13"/>
      <c r="W84" s="13"/>
      <c r="X84" s="7">
        <v>11857</v>
      </c>
      <c r="Y84" s="7" t="s">
        <v>5</v>
      </c>
      <c r="Z84" s="60">
        <v>17</v>
      </c>
      <c r="AA84" s="8">
        <f t="shared" si="10"/>
        <v>5</v>
      </c>
      <c r="AB84" s="2">
        <f t="shared" si="8"/>
        <v>7823</v>
      </c>
      <c r="AC84">
        <f t="shared" si="9"/>
        <v>1.5156589543653329</v>
      </c>
    </row>
    <row r="85" spans="1:47" ht="18" customHeight="1" x14ac:dyDescent="0.2">
      <c r="A85" s="1">
        <v>2005</v>
      </c>
      <c r="B85" s="6"/>
      <c r="C85" s="6"/>
      <c r="D85" s="6"/>
      <c r="E85" s="6"/>
      <c r="F85" s="6"/>
      <c r="G85" s="6"/>
      <c r="H85" s="6"/>
      <c r="I85" s="6">
        <v>108</v>
      </c>
      <c r="J85" s="6"/>
      <c r="K85" s="6">
        <v>1475</v>
      </c>
      <c r="L85" s="6"/>
      <c r="M85" s="6"/>
      <c r="N85" s="365">
        <v>3766</v>
      </c>
      <c r="O85" s="6"/>
      <c r="P85" s="6">
        <v>2331</v>
      </c>
      <c r="Q85" s="6"/>
      <c r="R85" s="6"/>
      <c r="S85" s="6">
        <v>3</v>
      </c>
      <c r="T85" s="13"/>
      <c r="U85" s="13"/>
      <c r="V85" s="13"/>
      <c r="W85" s="13"/>
      <c r="X85" s="11">
        <v>7934</v>
      </c>
      <c r="Y85" s="7" t="s">
        <v>5</v>
      </c>
      <c r="Z85" s="60">
        <v>20</v>
      </c>
      <c r="AA85" s="8">
        <f t="shared" si="10"/>
        <v>5</v>
      </c>
      <c r="AB85" s="2">
        <f t="shared" si="8"/>
        <v>3766</v>
      </c>
      <c r="AC85">
        <f t="shared" si="9"/>
        <v>2.1067445565586831</v>
      </c>
    </row>
    <row r="86" spans="1:47" ht="18" customHeight="1" x14ac:dyDescent="0.2">
      <c r="A86" s="1">
        <v>2006</v>
      </c>
      <c r="B86" s="6"/>
      <c r="C86" s="6"/>
      <c r="D86" s="6"/>
      <c r="E86" s="6"/>
      <c r="F86" s="6"/>
      <c r="G86" s="6"/>
      <c r="H86" s="6"/>
      <c r="I86" s="6">
        <v>483</v>
      </c>
      <c r="J86" s="6"/>
      <c r="K86" s="6">
        <v>1108</v>
      </c>
      <c r="L86" s="365">
        <v>15533</v>
      </c>
      <c r="M86" s="6"/>
      <c r="N86" s="6"/>
      <c r="O86" s="6"/>
      <c r="P86" s="6"/>
      <c r="Q86" s="6">
        <v>22</v>
      </c>
      <c r="R86" s="6"/>
      <c r="S86" s="6"/>
      <c r="T86" s="13"/>
      <c r="U86" s="13"/>
      <c r="V86" s="13"/>
      <c r="W86" s="13"/>
      <c r="X86" s="12">
        <v>21580</v>
      </c>
      <c r="Y86" s="7" t="s">
        <v>5</v>
      </c>
      <c r="Z86" s="53">
        <v>17.5</v>
      </c>
      <c r="AA86" s="8">
        <f t="shared" si="10"/>
        <v>4</v>
      </c>
      <c r="AB86" s="2">
        <f t="shared" si="8"/>
        <v>15533</v>
      </c>
      <c r="AC86">
        <f t="shared" si="9"/>
        <v>1.3893001995750982</v>
      </c>
    </row>
    <row r="87" spans="1:47" ht="18" customHeight="1" x14ac:dyDescent="0.2">
      <c r="A87" s="1">
        <v>2007</v>
      </c>
      <c r="B87" s="6"/>
      <c r="C87" s="6"/>
      <c r="D87" s="6"/>
      <c r="E87" s="6"/>
      <c r="F87" s="6"/>
      <c r="G87" s="6"/>
      <c r="H87" s="6">
        <v>239</v>
      </c>
      <c r="I87" s="6">
        <v>1066</v>
      </c>
      <c r="J87" s="6"/>
      <c r="K87" s="6"/>
      <c r="L87" s="6"/>
      <c r="M87" s="365">
        <v>14653</v>
      </c>
      <c r="N87" s="6"/>
      <c r="O87" s="6"/>
      <c r="P87" s="6"/>
      <c r="Q87" s="6">
        <v>153</v>
      </c>
      <c r="R87" s="6"/>
      <c r="S87" s="6"/>
      <c r="T87" s="13"/>
      <c r="U87" s="13"/>
      <c r="V87" s="13"/>
      <c r="W87" s="13"/>
      <c r="X87" s="12">
        <v>24002</v>
      </c>
      <c r="Y87" s="7" t="s">
        <v>5</v>
      </c>
      <c r="Z87" s="60">
        <v>17.5</v>
      </c>
      <c r="AA87" s="8">
        <f t="shared" si="10"/>
        <v>4</v>
      </c>
      <c r="AB87" s="2">
        <f t="shared" si="8"/>
        <v>14653</v>
      </c>
      <c r="AC87">
        <f t="shared" si="9"/>
        <v>1.6380263427284516</v>
      </c>
    </row>
    <row r="88" spans="1:47" s="55" customFormat="1" ht="18" customHeight="1" x14ac:dyDescent="0.2">
      <c r="A88" s="13">
        <v>2008</v>
      </c>
      <c r="B88" s="13"/>
      <c r="C88" s="13"/>
      <c r="D88" s="13"/>
      <c r="E88" s="13"/>
      <c r="F88" s="13">
        <v>3</v>
      </c>
      <c r="G88" s="13">
        <v>7</v>
      </c>
      <c r="H88" s="13"/>
      <c r="I88" s="13">
        <v>69</v>
      </c>
      <c r="J88" s="13"/>
      <c r="K88" s="13"/>
      <c r="L88" s="13">
        <v>3086</v>
      </c>
      <c r="M88" s="366">
        <v>4353</v>
      </c>
      <c r="N88" s="13"/>
      <c r="O88" s="13"/>
      <c r="P88" s="13"/>
      <c r="Q88" s="13">
        <v>39</v>
      </c>
      <c r="R88" s="13"/>
      <c r="S88" s="13"/>
      <c r="T88" s="13"/>
      <c r="U88" s="13"/>
      <c r="V88" s="13"/>
      <c r="W88" s="13"/>
      <c r="X88" s="13">
        <v>6619</v>
      </c>
      <c r="Y88" s="7" t="s">
        <v>5</v>
      </c>
      <c r="Z88" s="58">
        <v>20</v>
      </c>
      <c r="AA88" s="8">
        <f t="shared" si="10"/>
        <v>6</v>
      </c>
      <c r="AB88" s="2">
        <f t="shared" si="8"/>
        <v>4353</v>
      </c>
      <c r="AC88">
        <f t="shared" si="9"/>
        <v>1.5205605329657708</v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ht="18" customHeight="1" x14ac:dyDescent="0.2">
      <c r="A89" s="1">
        <v>2009</v>
      </c>
      <c r="B89" s="13"/>
      <c r="C89" s="13"/>
      <c r="D89" s="13"/>
      <c r="E89" s="13"/>
      <c r="F89" s="13"/>
      <c r="G89" s="13"/>
      <c r="H89" s="13"/>
      <c r="I89" s="13"/>
      <c r="J89" s="13">
        <v>582</v>
      </c>
      <c r="K89" s="13"/>
      <c r="L89" s="13"/>
      <c r="M89" s="13"/>
      <c r="N89" s="366">
        <v>4969</v>
      </c>
      <c r="O89" s="13"/>
      <c r="P89" s="13"/>
      <c r="Q89" s="13"/>
      <c r="R89" s="13"/>
      <c r="S89" s="13"/>
      <c r="T89" s="13">
        <v>4</v>
      </c>
      <c r="U89" s="13"/>
      <c r="V89" s="13"/>
      <c r="W89" s="13"/>
      <c r="X89" s="13">
        <v>7320</v>
      </c>
      <c r="Y89" s="7" t="s">
        <v>5</v>
      </c>
      <c r="Z89" s="58">
        <v>25</v>
      </c>
      <c r="AA89" s="8">
        <f t="shared" si="10"/>
        <v>3</v>
      </c>
      <c r="AB89" s="2">
        <f t="shared" si="8"/>
        <v>4969</v>
      </c>
      <c r="AC89">
        <f t="shared" si="9"/>
        <v>1.4731334272489434</v>
      </c>
    </row>
    <row r="90" spans="1:47" ht="18" customHeight="1" x14ac:dyDescent="0.2">
      <c r="A90" s="13">
        <v>2010</v>
      </c>
      <c r="B90" s="13"/>
      <c r="C90" s="13"/>
      <c r="D90" s="13"/>
      <c r="E90" s="13"/>
      <c r="F90" s="1">
        <v>7</v>
      </c>
      <c r="G90" s="1">
        <v>31</v>
      </c>
      <c r="H90" s="1"/>
      <c r="I90" s="1">
        <v>223</v>
      </c>
      <c r="J90" s="1"/>
      <c r="K90" s="1">
        <v>2784</v>
      </c>
      <c r="L90" s="1"/>
      <c r="M90" s="363">
        <v>7198</v>
      </c>
      <c r="N90" s="1"/>
      <c r="O90" s="1"/>
      <c r="P90" s="1"/>
      <c r="Q90" s="1"/>
      <c r="R90" s="1">
        <v>0</v>
      </c>
      <c r="S90" s="13"/>
      <c r="T90" s="13"/>
      <c r="U90" s="13"/>
      <c r="V90" s="13"/>
      <c r="W90" s="13"/>
      <c r="X90" s="13"/>
      <c r="Y90" s="7"/>
      <c r="Z90" s="58"/>
      <c r="AA90" s="8">
        <f t="shared" si="10"/>
        <v>6</v>
      </c>
      <c r="AB90" s="2"/>
    </row>
    <row r="91" spans="1:47" ht="18" customHeight="1" x14ac:dyDescent="0.2">
      <c r="A91" s="13">
        <v>2011</v>
      </c>
      <c r="B91" s="13"/>
      <c r="C91" s="13"/>
      <c r="D91" s="13"/>
      <c r="E91" s="13"/>
      <c r="F91" s="13"/>
      <c r="G91" s="13"/>
      <c r="H91" s="13"/>
      <c r="I91" s="13">
        <v>492</v>
      </c>
      <c r="J91" s="13">
        <v>5570</v>
      </c>
      <c r="K91" s="13"/>
      <c r="L91" s="13"/>
      <c r="M91" s="366">
        <v>21457</v>
      </c>
      <c r="N91" s="13">
        <v>16587</v>
      </c>
      <c r="O91" s="13"/>
      <c r="P91" s="13">
        <v>6499</v>
      </c>
      <c r="Q91" s="13"/>
      <c r="R91" s="13"/>
      <c r="S91" s="13"/>
      <c r="T91" s="13"/>
      <c r="U91" s="13">
        <v>3</v>
      </c>
      <c r="V91" s="13"/>
      <c r="W91" s="13"/>
      <c r="X91" s="13">
        <v>29000</v>
      </c>
      <c r="Y91" s="7" t="s">
        <v>5</v>
      </c>
      <c r="Z91" s="58">
        <v>25</v>
      </c>
      <c r="AA91" s="8">
        <f t="shared" si="10"/>
        <v>6</v>
      </c>
      <c r="AB91" s="2">
        <f>MAX(B91:W91)</f>
        <v>21457</v>
      </c>
      <c r="AC91">
        <f>MIN(AC75:AC89)</f>
        <v>1.312040035325287</v>
      </c>
      <c r="AD91">
        <f>AC91*AB91</f>
        <v>28152.443037974685</v>
      </c>
      <c r="AE91" t="s">
        <v>52</v>
      </c>
    </row>
    <row r="92" spans="1:47" ht="18" customHeight="1" x14ac:dyDescent="0.2">
      <c r="A92" s="13">
        <v>2012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7"/>
      <c r="Z92" s="58"/>
      <c r="AA92" s="8"/>
      <c r="AB92" s="2"/>
    </row>
    <row r="93" spans="1:47" ht="18" customHeight="1" x14ac:dyDescent="0.2">
      <c r="A93" s="13">
        <v>2013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66">
        <v>1801</v>
      </c>
      <c r="N93" s="13"/>
      <c r="O93" s="13"/>
      <c r="P93" s="13"/>
      <c r="Q93" s="13">
        <v>165</v>
      </c>
      <c r="R93" s="13"/>
      <c r="S93" s="13"/>
      <c r="T93" s="13"/>
      <c r="U93" s="13"/>
      <c r="V93" s="13"/>
      <c r="W93" s="13"/>
      <c r="X93" s="13">
        <v>1801</v>
      </c>
      <c r="Y93" s="7" t="s">
        <v>9</v>
      </c>
      <c r="Z93" s="58"/>
      <c r="AA93" s="8"/>
      <c r="AB93" s="2"/>
    </row>
    <row r="94" spans="1:47" ht="18" customHeight="1" x14ac:dyDescent="0.2">
      <c r="A94" s="13">
        <v>2014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66">
        <v>3738</v>
      </c>
      <c r="N94" s="13"/>
      <c r="O94" s="13"/>
      <c r="P94" s="13"/>
      <c r="Q94" s="13">
        <v>131</v>
      </c>
      <c r="R94" s="13"/>
      <c r="S94" s="13"/>
      <c r="T94" s="13"/>
      <c r="U94" s="13"/>
      <c r="V94" s="13"/>
      <c r="W94" s="13"/>
      <c r="X94" s="13">
        <v>4146</v>
      </c>
      <c r="Y94" s="7" t="s">
        <v>9</v>
      </c>
      <c r="Z94" s="58"/>
      <c r="AA94" s="8"/>
      <c r="AB94" s="2"/>
    </row>
    <row r="95" spans="1:47" ht="18" customHeight="1" x14ac:dyDescent="0.2">
      <c r="A95" s="13">
        <v>2015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7"/>
      <c r="Z95" s="58"/>
      <c r="AA95" s="8"/>
      <c r="AB95" s="2"/>
    </row>
    <row r="96" spans="1:47" ht="18" customHeight="1" x14ac:dyDescent="0.2">
      <c r="A96" s="13">
        <v>2016</v>
      </c>
      <c r="B96" s="13"/>
      <c r="C96" s="13"/>
      <c r="D96" s="13"/>
      <c r="E96" s="13"/>
      <c r="F96" s="13"/>
      <c r="G96" s="13"/>
      <c r="H96" s="13">
        <v>18</v>
      </c>
      <c r="I96" s="13"/>
      <c r="J96" s="13">
        <v>921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>
        <v>1033</v>
      </c>
      <c r="Y96" s="7"/>
      <c r="Z96" s="58"/>
      <c r="AA96" s="8"/>
      <c r="AB96" s="2">
        <f>MAX(B96:W96)</f>
        <v>921</v>
      </c>
      <c r="AC96">
        <f>X96/AB96</f>
        <v>1.1216069489685125</v>
      </c>
    </row>
    <row r="97" spans="1:47" ht="18" customHeight="1" x14ac:dyDescent="0.2">
      <c r="A97" s="13">
        <v>2017</v>
      </c>
      <c r="B97" s="13"/>
      <c r="C97" s="13"/>
      <c r="D97" s="13"/>
      <c r="E97" s="89"/>
      <c r="F97" s="89"/>
      <c r="G97" s="123">
        <v>15</v>
      </c>
      <c r="H97" s="439"/>
      <c r="I97" s="439"/>
      <c r="J97" s="123">
        <v>431</v>
      </c>
      <c r="K97" s="13"/>
      <c r="L97" s="13"/>
      <c r="M97" s="13"/>
      <c r="N97" s="527">
        <v>1878</v>
      </c>
      <c r="O97" s="13"/>
      <c r="P97" s="13"/>
      <c r="Q97" s="13"/>
      <c r="R97" s="13"/>
      <c r="S97" s="13"/>
      <c r="T97" s="13"/>
      <c r="U97" s="13"/>
      <c r="V97" s="13"/>
      <c r="W97" s="13"/>
      <c r="X97" s="13">
        <v>2639</v>
      </c>
      <c r="Y97" s="7"/>
      <c r="Z97" s="58"/>
      <c r="AA97" s="8"/>
      <c r="AB97" s="2">
        <f>MAX(B97:W97)</f>
        <v>1878</v>
      </c>
      <c r="AC97">
        <f>X97/AB97</f>
        <v>1.4052183173588924</v>
      </c>
    </row>
    <row r="98" spans="1:47" ht="18" customHeight="1" x14ac:dyDescent="0.2">
      <c r="A98" s="13">
        <v>2018</v>
      </c>
      <c r="B98" s="13"/>
      <c r="C98" s="13"/>
      <c r="D98" s="13"/>
      <c r="E98" s="89"/>
      <c r="F98" s="89"/>
      <c r="G98" s="89"/>
      <c r="H98" s="89"/>
      <c r="I98" s="89"/>
      <c r="J98" s="89"/>
      <c r="K98" s="377">
        <v>1056</v>
      </c>
      <c r="L98" s="89"/>
      <c r="M98" s="307">
        <v>1155</v>
      </c>
      <c r="N98" s="89"/>
      <c r="O98" s="307">
        <v>98</v>
      </c>
      <c r="P98" s="13"/>
      <c r="Q98" s="13"/>
      <c r="R98" s="13"/>
      <c r="S98" s="13"/>
      <c r="T98" s="13"/>
      <c r="U98" s="13"/>
      <c r="V98" s="13"/>
      <c r="W98" s="13"/>
      <c r="X98" s="13">
        <v>1343</v>
      </c>
      <c r="Y98" s="7"/>
      <c r="Z98" s="58"/>
      <c r="AA98" s="8"/>
      <c r="AB98" s="2">
        <f>MAX(B98:W98)</f>
        <v>1155</v>
      </c>
      <c r="AC98">
        <f>X98/AB98</f>
        <v>1.1627705627705627</v>
      </c>
    </row>
    <row r="99" spans="1:47" ht="18" customHeight="1" x14ac:dyDescent="0.2">
      <c r="A99" s="13">
        <v>2019</v>
      </c>
      <c r="B99" s="13"/>
      <c r="C99" s="13"/>
      <c r="D99" s="13"/>
      <c r="E99" s="89"/>
      <c r="F99" s="89"/>
      <c r="G99" s="89"/>
      <c r="H99" s="89"/>
      <c r="I99" s="89"/>
      <c r="J99" s="89"/>
      <c r="K99" s="550">
        <v>459</v>
      </c>
      <c r="L99" s="89"/>
      <c r="M99" s="89"/>
      <c r="N99" s="89"/>
      <c r="O99" s="89"/>
      <c r="P99" s="89"/>
      <c r="Q99" s="89"/>
      <c r="R99" s="13"/>
      <c r="S99" s="13"/>
      <c r="T99" s="13"/>
      <c r="U99" s="13"/>
      <c r="V99" s="13"/>
      <c r="W99" s="13"/>
      <c r="X99" s="13">
        <v>514</v>
      </c>
      <c r="Y99" s="7"/>
      <c r="Z99" s="58"/>
      <c r="AA99" s="8"/>
      <c r="AB99" s="2">
        <f>MAX(B99:W99)</f>
        <v>459</v>
      </c>
      <c r="AC99">
        <f>X99/AB99</f>
        <v>1.1198257080610021</v>
      </c>
    </row>
    <row r="100" spans="1:47" ht="18" customHeight="1" x14ac:dyDescent="0.2">
      <c r="A100" s="13">
        <v>2020</v>
      </c>
      <c r="B100" s="13"/>
      <c r="C100" s="13"/>
      <c r="D100" s="13"/>
      <c r="E100" s="89"/>
      <c r="F100" s="89"/>
      <c r="G100" s="89"/>
      <c r="H100" s="89"/>
      <c r="I100" s="89"/>
      <c r="J100" s="89"/>
      <c r="K100" s="590">
        <v>156</v>
      </c>
      <c r="L100" s="89"/>
      <c r="M100" s="89"/>
      <c r="N100" s="89"/>
      <c r="O100" s="89"/>
      <c r="P100" s="89"/>
      <c r="Q100" s="89"/>
      <c r="R100" s="13"/>
      <c r="S100" s="13"/>
      <c r="T100" s="13"/>
      <c r="U100" s="13"/>
      <c r="V100" s="13"/>
      <c r="W100" s="13"/>
      <c r="X100" s="13">
        <v>173</v>
      </c>
      <c r="Y100" s="7"/>
      <c r="Z100" s="58"/>
      <c r="AA100" s="8"/>
      <c r="AB100" s="2">
        <f t="shared" ref="AB100:AB102" si="11">MAX(B100:W100)</f>
        <v>156</v>
      </c>
      <c r="AC100">
        <f t="shared" ref="AC100:AC102" si="12">X100/AB100</f>
        <v>1.108974358974359</v>
      </c>
    </row>
    <row r="101" spans="1:47" s="150" customFormat="1" ht="18" customHeight="1" x14ac:dyDescent="0.2">
      <c r="A101" s="89">
        <v>2021</v>
      </c>
      <c r="B101" s="89"/>
      <c r="C101" s="89"/>
      <c r="D101" s="89"/>
      <c r="E101" s="89"/>
      <c r="F101" s="89"/>
      <c r="G101" s="109">
        <v>4</v>
      </c>
      <c r="H101" s="89"/>
      <c r="I101" s="109">
        <v>65</v>
      </c>
      <c r="J101" s="89"/>
      <c r="K101" s="338">
        <v>273</v>
      </c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>
        <v>607</v>
      </c>
      <c r="Y101" s="11"/>
      <c r="Z101" s="92"/>
      <c r="AA101" s="94"/>
      <c r="AB101" s="2">
        <f t="shared" si="11"/>
        <v>273</v>
      </c>
      <c r="AC101">
        <f t="shared" si="12"/>
        <v>2.2234432234432235</v>
      </c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</row>
    <row r="102" spans="1:47" s="150" customFormat="1" ht="18" customHeight="1" x14ac:dyDescent="0.2">
      <c r="A102" s="89">
        <v>2022</v>
      </c>
      <c r="B102" s="89"/>
      <c r="C102" s="89"/>
      <c r="D102" s="89"/>
      <c r="E102" s="89"/>
      <c r="F102" s="89"/>
      <c r="G102" s="109">
        <v>9</v>
      </c>
      <c r="H102" s="89"/>
      <c r="I102" s="89"/>
      <c r="J102" s="109">
        <v>324</v>
      </c>
      <c r="K102" s="735"/>
      <c r="L102" s="590">
        <v>1415</v>
      </c>
      <c r="M102" s="89"/>
      <c r="N102" s="89"/>
      <c r="O102" s="89"/>
      <c r="P102" s="109">
        <v>543</v>
      </c>
      <c r="Q102" s="89"/>
      <c r="R102" s="89"/>
      <c r="S102" s="89"/>
      <c r="T102" s="89"/>
      <c r="U102" s="89"/>
      <c r="V102" s="89"/>
      <c r="W102" s="89"/>
      <c r="X102" s="89">
        <v>1594</v>
      </c>
      <c r="Y102" s="11"/>
      <c r="Z102" s="92"/>
      <c r="AA102" s="94"/>
      <c r="AB102" s="2">
        <f t="shared" si="11"/>
        <v>1415</v>
      </c>
      <c r="AC102">
        <f t="shared" si="12"/>
        <v>1.1265017667844524</v>
      </c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</row>
    <row r="103" spans="1:47" s="150" customFormat="1" ht="18" customHeight="1" x14ac:dyDescent="0.2">
      <c r="A103" s="89">
        <v>2023</v>
      </c>
      <c r="B103" s="89"/>
      <c r="C103" s="89"/>
      <c r="D103" s="89"/>
      <c r="E103" s="89"/>
      <c r="F103" s="89"/>
      <c r="G103" s="109">
        <v>24</v>
      </c>
      <c r="H103" s="89"/>
      <c r="I103" s="89"/>
      <c r="J103" s="590">
        <v>1155</v>
      </c>
      <c r="K103" s="89"/>
      <c r="L103" s="89"/>
      <c r="M103" s="89"/>
      <c r="N103" s="155">
        <v>3781</v>
      </c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11"/>
      <c r="Z103" s="92"/>
      <c r="AA103" s="94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</row>
    <row r="104" spans="1:47" ht="18" customHeight="1" x14ac:dyDescent="0.2">
      <c r="A104" s="64" t="s">
        <v>17</v>
      </c>
      <c r="B104" s="16"/>
      <c r="C104" s="16"/>
      <c r="D104" s="16"/>
      <c r="E104" s="16"/>
      <c r="F104" s="16">
        <f t="shared" ref="F104:V104" si="13">AVERAGE(F75:F89)</f>
        <v>8.5</v>
      </c>
      <c r="G104" s="16">
        <f t="shared" si="13"/>
        <v>23</v>
      </c>
      <c r="H104" s="16">
        <f t="shared" si="13"/>
        <v>144.80000000000001</v>
      </c>
      <c r="I104" s="16">
        <f t="shared" si="13"/>
        <v>343.3</v>
      </c>
      <c r="J104" s="16">
        <f t="shared" si="13"/>
        <v>371.25</v>
      </c>
      <c r="K104" s="16">
        <f t="shared" si="13"/>
        <v>1766.25</v>
      </c>
      <c r="L104" s="16">
        <f t="shared" si="13"/>
        <v>6909.833333333333</v>
      </c>
      <c r="M104" s="16">
        <f t="shared" si="13"/>
        <v>7031.5</v>
      </c>
      <c r="N104" s="16">
        <f t="shared" si="13"/>
        <v>4568.1000000000004</v>
      </c>
      <c r="O104" s="16">
        <f t="shared" si="13"/>
        <v>4081.3333333333335</v>
      </c>
      <c r="P104" s="16">
        <f t="shared" si="13"/>
        <v>1086.4000000000001</v>
      </c>
      <c r="Q104" s="16">
        <f t="shared" si="13"/>
        <v>122.57142857142857</v>
      </c>
      <c r="R104" s="16">
        <f t="shared" si="13"/>
        <v>59.333333333333336</v>
      </c>
      <c r="S104" s="16">
        <f t="shared" si="13"/>
        <v>3</v>
      </c>
      <c r="T104" s="16">
        <f t="shared" si="13"/>
        <v>3.5</v>
      </c>
      <c r="U104" s="16">
        <f t="shared" si="13"/>
        <v>0</v>
      </c>
      <c r="V104" s="16">
        <f t="shared" si="13"/>
        <v>7</v>
      </c>
      <c r="W104" s="16"/>
      <c r="X104" s="16">
        <f>AVERAGE(X75:X89)</f>
        <v>11200.533333333333</v>
      </c>
      <c r="Y104" s="17"/>
      <c r="Z104" s="16">
        <f>AVERAGE(Z75:Z89)</f>
        <v>17.766666666666666</v>
      </c>
      <c r="AB104" s="2">
        <v>21457</v>
      </c>
      <c r="AC104">
        <f>AD104/AB104</f>
        <v>1.3515402898820899</v>
      </c>
      <c r="AD104">
        <v>29000</v>
      </c>
      <c r="AE104" t="s">
        <v>53</v>
      </c>
    </row>
    <row r="105" spans="1:47" x14ac:dyDescent="0.2">
      <c r="AB105" s="2">
        <v>21458</v>
      </c>
      <c r="AC105">
        <f>AD105/AB105</f>
        <v>1.1650666418119116</v>
      </c>
      <c r="AD105">
        <v>25000</v>
      </c>
    </row>
  </sheetData>
  <mergeCells count="18">
    <mergeCell ref="A1:I1"/>
    <mergeCell ref="B3:W3"/>
    <mergeCell ref="X3:X4"/>
    <mergeCell ref="A36:I36"/>
    <mergeCell ref="A3:A4"/>
    <mergeCell ref="Z3:Z4"/>
    <mergeCell ref="Y38:Y39"/>
    <mergeCell ref="Z38:Z39"/>
    <mergeCell ref="Z73:Z74"/>
    <mergeCell ref="A38:A39"/>
    <mergeCell ref="B38:W38"/>
    <mergeCell ref="X38:X39"/>
    <mergeCell ref="A71:I71"/>
    <mergeCell ref="A73:A74"/>
    <mergeCell ref="B73:W73"/>
    <mergeCell ref="Y73:Y74"/>
    <mergeCell ref="Y3:Y4"/>
    <mergeCell ref="X73:X74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U138"/>
  <sheetViews>
    <sheetView topLeftCell="A97" zoomScale="75" workbookViewId="0">
      <selection activeCell="W139" sqref="W139"/>
    </sheetView>
  </sheetViews>
  <sheetFormatPr defaultColWidth="9.140625" defaultRowHeight="12.75" x14ac:dyDescent="0.2"/>
  <cols>
    <col min="1" max="1" width="10.28515625" style="2" customWidth="1"/>
    <col min="2" max="23" width="6.5703125" style="2" customWidth="1"/>
    <col min="24" max="25" width="9.140625" style="2"/>
    <col min="26" max="26" width="11.7109375" style="56" customWidth="1"/>
    <col min="27" max="27" width="9.140625" style="2"/>
    <col min="28" max="28" width="15.42578125" customWidth="1"/>
    <col min="29" max="47" width="8.7109375" customWidth="1"/>
    <col min="48" max="16384" width="9.140625" style="2"/>
  </cols>
  <sheetData>
    <row r="1" spans="1:47" ht="18" customHeight="1" x14ac:dyDescent="0.2">
      <c r="A1" s="1002" t="s">
        <v>599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7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1:47" ht="18" customHeight="1" thickTop="1" x14ac:dyDescent="0.2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</row>
    <row r="4" spans="1:47" ht="18" customHeight="1" x14ac:dyDescent="0.2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68" t="s">
        <v>44</v>
      </c>
      <c r="AC4" t="s">
        <v>160</v>
      </c>
      <c r="AE4" t="s">
        <v>490</v>
      </c>
    </row>
    <row r="5" spans="1:47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6"/>
      <c r="I5" s="6">
        <v>8</v>
      </c>
      <c r="J5" s="6">
        <v>141</v>
      </c>
      <c r="K5" s="6"/>
      <c r="L5" s="6"/>
      <c r="M5" s="6"/>
      <c r="N5" s="6">
        <v>5</v>
      </c>
      <c r="O5" s="6"/>
      <c r="P5" s="6"/>
      <c r="Q5" s="6"/>
      <c r="R5" s="6"/>
      <c r="S5" s="6"/>
      <c r="T5" s="1"/>
      <c r="U5" s="1"/>
      <c r="V5" s="1"/>
      <c r="W5" s="1"/>
      <c r="X5" s="7">
        <v>323</v>
      </c>
      <c r="Y5" s="7" t="s">
        <v>5</v>
      </c>
      <c r="Z5" s="10">
        <v>20</v>
      </c>
      <c r="AA5" s="8">
        <f>COUNT(B5:W5)</f>
        <v>3</v>
      </c>
      <c r="AB5" t="s">
        <v>161</v>
      </c>
      <c r="AC5">
        <f>X5/MAX(B5:W5)</f>
        <v>2.2907801418439715</v>
      </c>
      <c r="AD5"/>
      <c r="AE5" s="438">
        <v>323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s="8" customFormat="1" ht="18" customHeight="1" x14ac:dyDescent="0.2">
      <c r="A6" s="1">
        <v>1996</v>
      </c>
      <c r="B6" s="6"/>
      <c r="C6" s="6"/>
      <c r="D6" s="6"/>
      <c r="E6" s="6"/>
      <c r="F6" s="6">
        <v>23</v>
      </c>
      <c r="G6" s="6">
        <v>59</v>
      </c>
      <c r="H6" s="6">
        <v>81</v>
      </c>
      <c r="I6" s="6">
        <v>69</v>
      </c>
      <c r="J6" s="6"/>
      <c r="K6" s="365">
        <v>72</v>
      </c>
      <c r="L6" s="6"/>
      <c r="M6" s="6"/>
      <c r="N6" s="6">
        <v>8</v>
      </c>
      <c r="O6" s="6"/>
      <c r="P6" s="6"/>
      <c r="Q6" s="6"/>
      <c r="R6" s="6"/>
      <c r="S6" s="6"/>
      <c r="T6" s="1"/>
      <c r="U6" s="1"/>
      <c r="V6" s="1"/>
      <c r="W6" s="1"/>
      <c r="X6" s="7">
        <v>164</v>
      </c>
      <c r="Y6" s="7" t="s">
        <v>5</v>
      </c>
      <c r="Z6" s="10">
        <v>20</v>
      </c>
      <c r="AA6" s="8">
        <f t="shared" ref="AA6:AA26" si="0">COUNT(B6:W6)</f>
        <v>6</v>
      </c>
      <c r="AB6" t="s">
        <v>162</v>
      </c>
      <c r="AC6">
        <f t="shared" ref="AC6:AC27" si="1">X6/MAX(B6:W6)</f>
        <v>2.0246913580246915</v>
      </c>
      <c r="AD6"/>
      <c r="AE6" s="438">
        <v>164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s="8" customFormat="1" ht="18" customHeight="1" x14ac:dyDescent="0.2">
      <c r="A7" s="1">
        <v>1997</v>
      </c>
      <c r="B7" s="6"/>
      <c r="C7" s="6"/>
      <c r="D7" s="6"/>
      <c r="E7" s="6"/>
      <c r="F7" s="6">
        <v>19</v>
      </c>
      <c r="G7" s="6">
        <v>65</v>
      </c>
      <c r="H7" s="6"/>
      <c r="I7" s="6">
        <v>55</v>
      </c>
      <c r="J7" s="6"/>
      <c r="K7" s="6">
        <v>0</v>
      </c>
      <c r="L7" s="6"/>
      <c r="M7" s="365">
        <v>113</v>
      </c>
      <c r="N7" s="6"/>
      <c r="O7" s="6"/>
      <c r="P7" s="6">
        <v>3</v>
      </c>
      <c r="Q7" s="6"/>
      <c r="R7" s="6"/>
      <c r="S7" s="6"/>
      <c r="T7" s="1"/>
      <c r="U7" s="1"/>
      <c r="V7" s="1"/>
      <c r="W7" s="1"/>
      <c r="X7" s="7">
        <v>266</v>
      </c>
      <c r="Y7" s="7" t="s">
        <v>5</v>
      </c>
      <c r="Z7" s="10">
        <v>20</v>
      </c>
      <c r="AA7" s="8">
        <f t="shared" si="0"/>
        <v>6</v>
      </c>
      <c r="AB7" t="s">
        <v>163</v>
      </c>
      <c r="AC7">
        <f t="shared" si="1"/>
        <v>2.3539823008849559</v>
      </c>
      <c r="AD7"/>
      <c r="AE7" s="438">
        <v>266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8" customFormat="1" ht="18" customHeight="1" x14ac:dyDescent="0.2">
      <c r="A8" s="1">
        <v>1998</v>
      </c>
      <c r="B8" s="6"/>
      <c r="C8" s="6"/>
      <c r="D8" s="6"/>
      <c r="E8" s="6"/>
      <c r="F8" s="6"/>
      <c r="G8" s="6"/>
      <c r="H8" s="6"/>
      <c r="I8" s="6"/>
      <c r="J8" s="6"/>
      <c r="K8" s="6"/>
      <c r="L8" s="365">
        <v>234</v>
      </c>
      <c r="M8" s="6">
        <v>49</v>
      </c>
      <c r="N8" s="6"/>
      <c r="O8" s="6">
        <v>27</v>
      </c>
      <c r="P8" s="6"/>
      <c r="Q8" s="6"/>
      <c r="R8" s="6"/>
      <c r="S8" s="6"/>
      <c r="T8" s="1"/>
      <c r="U8" s="1"/>
      <c r="V8" s="1"/>
      <c r="W8" s="1"/>
      <c r="X8" s="7">
        <v>370</v>
      </c>
      <c r="Y8" s="7" t="s">
        <v>7</v>
      </c>
      <c r="Z8" s="10"/>
      <c r="AA8" s="8">
        <f t="shared" si="0"/>
        <v>3</v>
      </c>
      <c r="AB8" t="s">
        <v>163</v>
      </c>
      <c r="AC8">
        <f t="shared" si="1"/>
        <v>1.5811965811965811</v>
      </c>
      <c r="AD8"/>
      <c r="AE8" s="438">
        <v>370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8" customFormat="1" ht="18" customHeight="1" x14ac:dyDescent="0.2">
      <c r="A9" s="1">
        <v>1999</v>
      </c>
      <c r="B9" s="6"/>
      <c r="C9" s="6"/>
      <c r="D9" s="6"/>
      <c r="E9" s="6"/>
      <c r="F9" s="6"/>
      <c r="G9" s="6"/>
      <c r="H9" s="6"/>
      <c r="I9" s="365">
        <v>93</v>
      </c>
      <c r="J9" s="6"/>
      <c r="K9" s="6">
        <v>24</v>
      </c>
      <c r="L9" s="6"/>
      <c r="M9" s="6">
        <v>74</v>
      </c>
      <c r="N9" s="6"/>
      <c r="O9" s="6"/>
      <c r="P9" s="6"/>
      <c r="Q9" s="6">
        <v>0</v>
      </c>
      <c r="R9" s="6"/>
      <c r="S9" s="6"/>
      <c r="T9" s="1"/>
      <c r="U9" s="1"/>
      <c r="V9" s="1"/>
      <c r="W9" s="1"/>
      <c r="X9" s="9">
        <v>234</v>
      </c>
      <c r="Y9" s="7" t="s">
        <v>5</v>
      </c>
      <c r="Z9" s="9">
        <v>20</v>
      </c>
      <c r="AA9" s="8">
        <f t="shared" si="0"/>
        <v>4</v>
      </c>
      <c r="AB9" t="s">
        <v>163</v>
      </c>
      <c r="AC9">
        <f t="shared" si="1"/>
        <v>2.5161290322580645</v>
      </c>
      <c r="AD9"/>
      <c r="AE9" s="438">
        <v>234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8" customFormat="1" ht="18" customHeight="1" x14ac:dyDescent="0.2">
      <c r="A10" s="1">
        <v>2000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>
        <v>7</v>
      </c>
      <c r="O10" s="6"/>
      <c r="P10" s="6"/>
      <c r="Q10" s="6">
        <v>0</v>
      </c>
      <c r="R10" s="6"/>
      <c r="S10" s="6"/>
      <c r="T10" s="1"/>
      <c r="U10" s="1">
        <v>0</v>
      </c>
      <c r="V10" s="1"/>
      <c r="W10" s="1"/>
      <c r="X10" s="10">
        <v>160</v>
      </c>
      <c r="Y10" s="7" t="s">
        <v>7</v>
      </c>
      <c r="Z10" s="10"/>
      <c r="AA10" s="8">
        <f t="shared" si="0"/>
        <v>3</v>
      </c>
      <c r="AB10" t="s">
        <v>164</v>
      </c>
      <c r="AC10">
        <f t="shared" si="1"/>
        <v>22.857142857142858</v>
      </c>
      <c r="AD10"/>
      <c r="AE10" s="438">
        <v>160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8" customFormat="1" ht="18" customHeight="1" x14ac:dyDescent="0.25">
      <c r="A11" s="1">
        <v>2001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>
        <v>2</v>
      </c>
      <c r="M11" s="6"/>
      <c r="N11" s="6">
        <v>0</v>
      </c>
      <c r="O11" s="6"/>
      <c r="P11" s="6"/>
      <c r="Q11" s="6">
        <v>0</v>
      </c>
      <c r="R11" s="6"/>
      <c r="S11" s="6"/>
      <c r="T11" s="1"/>
      <c r="U11" s="1"/>
      <c r="V11" s="1"/>
      <c r="W11" s="1"/>
      <c r="X11" s="7">
        <v>2</v>
      </c>
      <c r="Y11" s="7" t="s">
        <v>7</v>
      </c>
      <c r="Z11" s="10"/>
      <c r="AA11" s="8">
        <f t="shared" si="0"/>
        <v>3</v>
      </c>
      <c r="AB11"/>
      <c r="AC11">
        <f t="shared" si="1"/>
        <v>1</v>
      </c>
      <c r="AD11"/>
      <c r="AE11" s="716">
        <v>170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8" customFormat="1" ht="18" customHeight="1" x14ac:dyDescent="0.2">
      <c r="A12" s="1">
        <v>2002</v>
      </c>
      <c r="B12" s="6"/>
      <c r="C12" s="6"/>
      <c r="D12" s="6"/>
      <c r="E12" s="6"/>
      <c r="F12" s="6"/>
      <c r="G12" s="6"/>
      <c r="H12" s="6"/>
      <c r="I12" s="6">
        <v>5</v>
      </c>
      <c r="J12" s="6"/>
      <c r="K12" s="6">
        <v>18</v>
      </c>
      <c r="L12" s="6"/>
      <c r="M12" s="6"/>
      <c r="N12" s="6">
        <v>5</v>
      </c>
      <c r="O12" s="6"/>
      <c r="P12" s="6"/>
      <c r="Q12" s="6"/>
      <c r="R12" s="6">
        <v>0</v>
      </c>
      <c r="S12" s="6">
        <v>0</v>
      </c>
      <c r="T12" s="1"/>
      <c r="U12" s="1"/>
      <c r="V12" s="1"/>
      <c r="W12" s="1"/>
      <c r="X12" s="7">
        <v>23</v>
      </c>
      <c r="Y12" s="7" t="s">
        <v>9</v>
      </c>
      <c r="Z12" s="10"/>
      <c r="AA12" s="8">
        <f t="shared" si="0"/>
        <v>5</v>
      </c>
      <c r="AB12" t="s">
        <v>165</v>
      </c>
      <c r="AC12">
        <f t="shared" si="1"/>
        <v>1.2777777777777777</v>
      </c>
      <c r="AD12"/>
      <c r="AE12" s="438">
        <v>23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s="8" customFormat="1" ht="18" customHeight="1" x14ac:dyDescent="0.2">
      <c r="A13" s="1">
        <v>2003</v>
      </c>
      <c r="B13" s="6"/>
      <c r="C13" s="6"/>
      <c r="D13" s="6"/>
      <c r="E13" s="6"/>
      <c r="F13" s="6"/>
      <c r="G13" s="6"/>
      <c r="H13" s="6">
        <v>19</v>
      </c>
      <c r="I13" s="6"/>
      <c r="J13" s="6">
        <v>12</v>
      </c>
      <c r="K13" s="6"/>
      <c r="L13" s="6"/>
      <c r="M13" s="6"/>
      <c r="N13" s="6">
        <v>8</v>
      </c>
      <c r="O13" s="6"/>
      <c r="P13" s="6"/>
      <c r="Q13" s="6"/>
      <c r="R13" s="6"/>
      <c r="S13" s="6">
        <v>0</v>
      </c>
      <c r="T13" s="1"/>
      <c r="U13" s="1"/>
      <c r="V13" s="1"/>
      <c r="W13" s="1"/>
      <c r="X13" s="7">
        <v>28</v>
      </c>
      <c r="Y13" s="7" t="s">
        <v>5</v>
      </c>
      <c r="Z13" s="10">
        <v>28</v>
      </c>
      <c r="AA13" s="8">
        <f t="shared" si="0"/>
        <v>4</v>
      </c>
      <c r="AB13" t="s">
        <v>155</v>
      </c>
      <c r="AC13">
        <f t="shared" si="1"/>
        <v>1.4736842105263157</v>
      </c>
      <c r="AD13"/>
      <c r="AE13" s="438">
        <v>28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6"/>
      <c r="I14" s="6"/>
      <c r="J14" s="6">
        <v>44</v>
      </c>
      <c r="K14" s="6"/>
      <c r="L14" s="6"/>
      <c r="M14" s="6">
        <v>52</v>
      </c>
      <c r="N14" s="6"/>
      <c r="O14" s="6"/>
      <c r="P14" s="6">
        <v>0</v>
      </c>
      <c r="Q14" s="6"/>
      <c r="R14" s="6"/>
      <c r="S14" s="6"/>
      <c r="T14" s="1"/>
      <c r="U14" s="1"/>
      <c r="V14" s="1"/>
      <c r="W14" s="1"/>
      <c r="X14" s="11">
        <v>72</v>
      </c>
      <c r="Y14" s="7" t="s">
        <v>5</v>
      </c>
      <c r="Z14" s="57">
        <v>35</v>
      </c>
      <c r="AA14" s="8">
        <f t="shared" si="0"/>
        <v>3</v>
      </c>
      <c r="AB14" t="s">
        <v>155</v>
      </c>
      <c r="AC14">
        <f t="shared" si="1"/>
        <v>1.3846153846153846</v>
      </c>
      <c r="AD14"/>
      <c r="AE14" s="438">
        <v>72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6"/>
      <c r="I15" s="6">
        <v>25</v>
      </c>
      <c r="J15" s="6"/>
      <c r="K15" s="6"/>
      <c r="L15" s="6"/>
      <c r="M15" s="6"/>
      <c r="N15" s="6"/>
      <c r="O15" s="6"/>
      <c r="P15" s="6"/>
      <c r="Q15" s="6"/>
      <c r="R15" s="6">
        <v>3</v>
      </c>
      <c r="S15" s="6"/>
      <c r="T15" s="1"/>
      <c r="U15" s="1"/>
      <c r="V15" s="1"/>
      <c r="W15" s="1"/>
      <c r="X15" s="11">
        <v>36</v>
      </c>
      <c r="Y15" s="7" t="s">
        <v>9</v>
      </c>
      <c r="Z15" s="54"/>
      <c r="AA15" s="8">
        <f t="shared" si="0"/>
        <v>2</v>
      </c>
      <c r="AB15" t="s">
        <v>155</v>
      </c>
      <c r="AC15">
        <f t="shared" si="1"/>
        <v>1.44</v>
      </c>
      <c r="AD15"/>
      <c r="AE15" s="438">
        <v>36</v>
      </c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6">
        <v>8</v>
      </c>
      <c r="I16" s="6"/>
      <c r="J16" s="365">
        <v>91</v>
      </c>
      <c r="K16" s="6"/>
      <c r="L16" s="6"/>
      <c r="M16" s="6">
        <v>46</v>
      </c>
      <c r="N16" s="6"/>
      <c r="O16" s="6"/>
      <c r="P16" s="6"/>
      <c r="Q16" s="6"/>
      <c r="R16" s="6"/>
      <c r="S16" s="6">
        <v>0</v>
      </c>
      <c r="T16" s="1"/>
      <c r="U16" s="1"/>
      <c r="V16" s="1"/>
      <c r="W16" s="1"/>
      <c r="X16" s="12">
        <v>117</v>
      </c>
      <c r="Y16" s="7" t="s">
        <v>5</v>
      </c>
      <c r="Z16" s="53">
        <v>25</v>
      </c>
      <c r="AA16" s="8">
        <f t="shared" si="0"/>
        <v>4</v>
      </c>
      <c r="AB16" t="s">
        <v>155</v>
      </c>
      <c r="AC16">
        <f t="shared" si="1"/>
        <v>1.2857142857142858</v>
      </c>
      <c r="AD16"/>
      <c r="AE16" s="438">
        <v>117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8" customFormat="1" ht="18" customHeight="1" x14ac:dyDescent="0.2">
      <c r="A17" s="1">
        <v>2007</v>
      </c>
      <c r="B17" s="6"/>
      <c r="C17" s="6"/>
      <c r="D17" s="6"/>
      <c r="E17" s="6"/>
      <c r="F17" s="6"/>
      <c r="G17" s="6">
        <v>8</v>
      </c>
      <c r="H17" s="6"/>
      <c r="I17" s="6"/>
      <c r="J17" s="6"/>
      <c r="K17" s="6"/>
      <c r="L17" s="6"/>
      <c r="M17" s="6"/>
      <c r="N17" s="6">
        <v>0</v>
      </c>
      <c r="O17" s="6"/>
      <c r="P17" s="6"/>
      <c r="Q17" s="6">
        <v>1</v>
      </c>
      <c r="R17" s="6"/>
      <c r="S17" s="6"/>
      <c r="T17" s="1"/>
      <c r="U17" s="1"/>
      <c r="V17" s="1"/>
      <c r="W17" s="1"/>
      <c r="X17" s="12">
        <v>13</v>
      </c>
      <c r="Y17" s="7" t="s">
        <v>5</v>
      </c>
      <c r="Z17" s="54">
        <v>20</v>
      </c>
      <c r="AA17" s="8">
        <f t="shared" si="0"/>
        <v>3</v>
      </c>
      <c r="AB17" t="s">
        <v>155</v>
      </c>
      <c r="AC17">
        <f t="shared" si="1"/>
        <v>1.625</v>
      </c>
      <c r="AD17"/>
      <c r="AE17" s="438">
        <v>13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8" customFormat="1" ht="18" customHeight="1" x14ac:dyDescent="0.2">
      <c r="A18" s="1">
        <v>2008</v>
      </c>
      <c r="B18" s="1"/>
      <c r="C18" s="1"/>
      <c r="D18" s="1"/>
      <c r="E18" s="1"/>
      <c r="F18" s="1">
        <v>1</v>
      </c>
      <c r="G18" s="1">
        <v>0</v>
      </c>
      <c r="H18" s="1">
        <v>11</v>
      </c>
      <c r="I18" s="363">
        <v>18</v>
      </c>
      <c r="J18" s="1"/>
      <c r="K18" s="1"/>
      <c r="L18" s="1"/>
      <c r="M18" s="1"/>
      <c r="N18" s="1">
        <v>5</v>
      </c>
      <c r="O18" s="1"/>
      <c r="P18" s="1"/>
      <c r="Q18" s="1"/>
      <c r="R18" s="1">
        <v>0</v>
      </c>
      <c r="S18" s="1"/>
      <c r="T18" s="1"/>
      <c r="U18" s="1"/>
      <c r="V18" s="1"/>
      <c r="W18" s="1"/>
      <c r="X18" s="1">
        <v>24</v>
      </c>
      <c r="Y18" s="7" t="s">
        <v>5</v>
      </c>
      <c r="Z18" s="54">
        <v>25</v>
      </c>
      <c r="AA18" s="8">
        <f t="shared" si="0"/>
        <v>6</v>
      </c>
      <c r="AB18" t="s">
        <v>155</v>
      </c>
      <c r="AC18">
        <f t="shared" si="1"/>
        <v>1.3333333333333333</v>
      </c>
      <c r="AD18"/>
      <c r="AE18" s="438">
        <v>24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8" customFormat="1" ht="18" customHeight="1" x14ac:dyDescent="0.2">
      <c r="A19" s="1">
        <v>2009</v>
      </c>
      <c r="B19" s="1"/>
      <c r="C19" s="1"/>
      <c r="D19" s="1"/>
      <c r="E19" s="1"/>
      <c r="F19" s="1"/>
      <c r="G19" s="1"/>
      <c r="H19" s="1">
        <v>2</v>
      </c>
      <c r="I19" s="1">
        <v>2</v>
      </c>
      <c r="J19" s="1"/>
      <c r="K19" s="363">
        <v>13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>
        <v>15</v>
      </c>
      <c r="Y19" s="7" t="s">
        <v>9</v>
      </c>
      <c r="Z19" s="54"/>
      <c r="AA19" s="8">
        <f t="shared" si="0"/>
        <v>3</v>
      </c>
      <c r="AB19" t="s">
        <v>164</v>
      </c>
      <c r="AC19">
        <f t="shared" si="1"/>
        <v>1.1538461538461537</v>
      </c>
      <c r="AD19"/>
      <c r="AE19" s="438">
        <v>15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8" customFormat="1" ht="18" customHeight="1" x14ac:dyDescent="0.2">
      <c r="A20" s="1">
        <v>2010</v>
      </c>
      <c r="B20" s="1"/>
      <c r="C20" s="1"/>
      <c r="D20" s="1"/>
      <c r="E20" s="1"/>
      <c r="F20" s="1"/>
      <c r="G20" s="1"/>
      <c r="H20" s="1"/>
      <c r="I20" s="1"/>
      <c r="J20" s="1"/>
      <c r="K20" s="1">
        <v>4</v>
      </c>
      <c r="L20" s="1"/>
      <c r="M20" s="1"/>
      <c r="N20" s="1"/>
      <c r="O20" s="1"/>
      <c r="P20" s="1"/>
      <c r="Q20" s="1"/>
      <c r="R20" s="1"/>
      <c r="S20" s="1"/>
      <c r="T20" s="1">
        <v>0</v>
      </c>
      <c r="U20" s="1"/>
      <c r="V20" s="1"/>
      <c r="W20" s="1"/>
      <c r="X20" s="1"/>
      <c r="Y20" s="7"/>
      <c r="Z20" s="54"/>
      <c r="AA20" s="8">
        <f t="shared" si="0"/>
        <v>2</v>
      </c>
      <c r="AB20" t="s">
        <v>164</v>
      </c>
      <c r="AC20">
        <f t="shared" si="1"/>
        <v>0</v>
      </c>
      <c r="AD20"/>
      <c r="AE20" s="438">
        <v>9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8" customFormat="1" ht="18" customHeight="1" x14ac:dyDescent="0.2">
      <c r="A21" s="1">
        <v>2011</v>
      </c>
      <c r="B21" s="1"/>
      <c r="C21" s="1"/>
      <c r="D21" s="1"/>
      <c r="E21" s="1"/>
      <c r="F21" s="1"/>
      <c r="G21" s="1">
        <v>3</v>
      </c>
      <c r="H21" s="1">
        <v>10</v>
      </c>
      <c r="I21" s="1"/>
      <c r="J21" s="1"/>
      <c r="K21" s="1"/>
      <c r="L21" s="1"/>
      <c r="M21" s="1">
        <v>27</v>
      </c>
      <c r="N21" s="1"/>
      <c r="O21" s="1"/>
      <c r="P21" s="1"/>
      <c r="Q21" s="1">
        <v>1</v>
      </c>
      <c r="R21" s="1"/>
      <c r="S21" s="1"/>
      <c r="T21" s="1"/>
      <c r="U21" s="1"/>
      <c r="V21" s="1"/>
      <c r="W21" s="1"/>
      <c r="X21" s="1">
        <v>50</v>
      </c>
      <c r="Y21" s="7" t="s">
        <v>5</v>
      </c>
      <c r="Z21" s="54">
        <v>20</v>
      </c>
      <c r="AA21" s="8">
        <f t="shared" si="0"/>
        <v>4</v>
      </c>
      <c r="AB21" t="s">
        <v>155</v>
      </c>
      <c r="AC21">
        <f t="shared" si="1"/>
        <v>1.8518518518518519</v>
      </c>
      <c r="AD21"/>
      <c r="AE21" s="438">
        <v>48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8" customFormat="1" ht="18" customHeight="1" x14ac:dyDescent="0.2">
      <c r="A22" s="1">
        <v>2012</v>
      </c>
      <c r="B22" s="1"/>
      <c r="C22" s="1"/>
      <c r="D22" s="1"/>
      <c r="E22" s="1"/>
      <c r="F22" s="1">
        <v>6</v>
      </c>
      <c r="G22" s="1">
        <v>13</v>
      </c>
      <c r="H22" s="1">
        <v>27</v>
      </c>
      <c r="I22" s="1"/>
      <c r="J22" s="1">
        <v>32</v>
      </c>
      <c r="K22" s="1"/>
      <c r="L22" s="363">
        <v>33</v>
      </c>
      <c r="M22" s="1">
        <v>10</v>
      </c>
      <c r="N22" s="1"/>
      <c r="O22" s="1">
        <v>1</v>
      </c>
      <c r="P22" s="1"/>
      <c r="Q22" s="1"/>
      <c r="R22" s="1">
        <v>0</v>
      </c>
      <c r="S22" s="1"/>
      <c r="T22" s="1"/>
      <c r="U22" s="1"/>
      <c r="V22" s="1"/>
      <c r="W22" s="1"/>
      <c r="X22" s="1">
        <v>80</v>
      </c>
      <c r="Y22" s="7" t="s">
        <v>5</v>
      </c>
      <c r="Z22" s="54">
        <v>20</v>
      </c>
      <c r="AA22" s="8">
        <f t="shared" si="0"/>
        <v>8</v>
      </c>
      <c r="AB22" t="s">
        <v>165</v>
      </c>
      <c r="AC22">
        <f t="shared" si="1"/>
        <v>2.4242424242424243</v>
      </c>
      <c r="AD22"/>
      <c r="AE22" s="438">
        <v>80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8" customFormat="1" ht="18" customHeight="1" x14ac:dyDescent="0.2">
      <c r="A23" s="1">
        <v>2013</v>
      </c>
      <c r="B23" s="1"/>
      <c r="C23" s="1"/>
      <c r="D23" s="1"/>
      <c r="E23" s="1"/>
      <c r="F23" s="1">
        <v>1</v>
      </c>
      <c r="G23" s="1">
        <v>12</v>
      </c>
      <c r="H23" s="1"/>
      <c r="I23" s="1"/>
      <c r="J23" s="1"/>
      <c r="K23" s="363">
        <v>43</v>
      </c>
      <c r="L23" s="1"/>
      <c r="M23" s="1">
        <v>27</v>
      </c>
      <c r="N23" s="1">
        <v>5</v>
      </c>
      <c r="O23" s="1">
        <v>1</v>
      </c>
      <c r="P23" s="1"/>
      <c r="Q23" s="514">
        <v>0</v>
      </c>
      <c r="R23" s="1"/>
      <c r="S23" s="1"/>
      <c r="T23" s="1"/>
      <c r="U23" s="1"/>
      <c r="V23" s="1"/>
      <c r="W23" s="1"/>
      <c r="X23" s="1">
        <v>73</v>
      </c>
      <c r="Y23" s="7" t="s">
        <v>5</v>
      </c>
      <c r="Z23" s="54">
        <v>20</v>
      </c>
      <c r="AA23" s="8">
        <f t="shared" si="0"/>
        <v>7</v>
      </c>
      <c r="AB23" t="s">
        <v>165</v>
      </c>
      <c r="AC23">
        <f t="shared" si="1"/>
        <v>1.6976744186046511</v>
      </c>
      <c r="AD23"/>
      <c r="AE23" s="438">
        <v>73</v>
      </c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8" customFormat="1" ht="18" customHeight="1" x14ac:dyDescent="0.2">
      <c r="A24" s="1">
        <v>2014</v>
      </c>
      <c r="B24" s="1"/>
      <c r="C24" s="1"/>
      <c r="D24" s="1"/>
      <c r="E24" s="1"/>
      <c r="F24" s="1"/>
      <c r="G24" s="1">
        <v>1</v>
      </c>
      <c r="H24" s="1"/>
      <c r="I24" s="363">
        <v>14</v>
      </c>
      <c r="J24" s="1"/>
      <c r="K24" s="1">
        <v>7</v>
      </c>
      <c r="L24" s="1"/>
      <c r="M24" s="1"/>
      <c r="N24" s="1"/>
      <c r="O24" s="1"/>
      <c r="P24" s="1">
        <v>0</v>
      </c>
      <c r="Q24" s="514">
        <v>32</v>
      </c>
      <c r="R24" s="1"/>
      <c r="S24" s="1"/>
      <c r="T24" s="1"/>
      <c r="U24" s="1"/>
      <c r="V24" s="1"/>
      <c r="W24" s="1"/>
      <c r="X24" s="1">
        <v>37</v>
      </c>
      <c r="Y24" s="7" t="s">
        <v>9</v>
      </c>
      <c r="Z24" s="54"/>
      <c r="AA24" s="8">
        <f t="shared" si="0"/>
        <v>5</v>
      </c>
      <c r="AB24"/>
      <c r="AC24">
        <f t="shared" si="1"/>
        <v>1.15625</v>
      </c>
      <c r="AD24"/>
      <c r="AE24" s="438">
        <v>37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s="8" customFormat="1" ht="18" customHeight="1" x14ac:dyDescent="0.2">
      <c r="A25" s="1">
        <v>2015</v>
      </c>
      <c r="B25" s="1"/>
      <c r="C25" s="1"/>
      <c r="D25" s="1"/>
      <c r="E25" s="1"/>
      <c r="F25" s="1"/>
      <c r="G25" s="123">
        <v>10</v>
      </c>
      <c r="H25" s="363">
        <v>33</v>
      </c>
      <c r="I25" s="1"/>
      <c r="J25" s="123">
        <v>30</v>
      </c>
      <c r="K25" s="123">
        <v>1</v>
      </c>
      <c r="L25" s="1"/>
      <c r="M25" s="123">
        <v>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>
        <v>49</v>
      </c>
      <c r="Y25" s="7" t="s">
        <v>5</v>
      </c>
      <c r="Z25" s="54">
        <v>20</v>
      </c>
      <c r="AA25" s="8">
        <f t="shared" si="0"/>
        <v>5</v>
      </c>
      <c r="AB25"/>
      <c r="AC25">
        <f t="shared" si="1"/>
        <v>1.4848484848484849</v>
      </c>
      <c r="AD25"/>
      <c r="AE25" s="438">
        <v>49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s="8" customFormat="1" ht="18" customHeight="1" x14ac:dyDescent="0.2">
      <c r="A26" s="1">
        <v>2016</v>
      </c>
      <c r="B26" s="1"/>
      <c r="C26" s="1"/>
      <c r="D26" s="1"/>
      <c r="E26" s="1"/>
      <c r="F26" s="1"/>
      <c r="G26" s="1"/>
      <c r="H26" s="363">
        <v>14</v>
      </c>
      <c r="I26" s="1"/>
      <c r="J26" s="123">
        <v>10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>
        <v>17</v>
      </c>
      <c r="Y26" s="7" t="s">
        <v>9</v>
      </c>
      <c r="Z26" s="54"/>
      <c r="AA26" s="8">
        <f t="shared" si="0"/>
        <v>2</v>
      </c>
      <c r="AB26"/>
      <c r="AC26">
        <f t="shared" si="1"/>
        <v>1.2142857142857142</v>
      </c>
      <c r="AD26"/>
      <c r="AE26" s="438">
        <v>17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s="8" customFormat="1" ht="18" customHeight="1" x14ac:dyDescent="0.2">
      <c r="A27" s="1">
        <v>2017</v>
      </c>
      <c r="B27" s="1"/>
      <c r="C27" s="1"/>
      <c r="D27" s="1"/>
      <c r="E27" s="1"/>
      <c r="F27" s="1"/>
      <c r="G27" s="123">
        <v>25</v>
      </c>
      <c r="H27" s="1"/>
      <c r="I27" s="123">
        <v>24</v>
      </c>
      <c r="J27" s="123">
        <v>18</v>
      </c>
      <c r="K27" s="1"/>
      <c r="L27" s="1"/>
      <c r="M27" s="1"/>
      <c r="N27" s="1"/>
      <c r="O27" s="514">
        <v>5</v>
      </c>
      <c r="P27" s="1"/>
      <c r="Q27" s="1"/>
      <c r="R27" s="1"/>
      <c r="S27" s="1"/>
      <c r="T27" s="1"/>
      <c r="U27" s="1"/>
      <c r="V27" s="1"/>
      <c r="W27" s="1"/>
      <c r="X27" s="1">
        <v>61</v>
      </c>
      <c r="Y27" s="7"/>
      <c r="Z27" s="54">
        <v>20</v>
      </c>
      <c r="AB27" t="s">
        <v>155</v>
      </c>
      <c r="AC27">
        <f t="shared" si="1"/>
        <v>2.44</v>
      </c>
      <c r="AD27"/>
      <c r="AE27" s="438">
        <v>61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8" customFormat="1" ht="18" customHeight="1" x14ac:dyDescent="0.2">
      <c r="A28" s="1">
        <v>2018</v>
      </c>
      <c r="B28" s="1"/>
      <c r="C28" s="1"/>
      <c r="D28" s="1"/>
      <c r="E28" s="1"/>
      <c r="F28" s="1"/>
      <c r="G28" s="1"/>
      <c r="H28" s="1"/>
      <c r="I28" s="591">
        <v>3</v>
      </c>
      <c r="J28" s="592">
        <f>2+4</f>
        <v>6</v>
      </c>
      <c r="K28" s="1"/>
      <c r="L28" s="324">
        <v>6</v>
      </c>
      <c r="M28" s="1"/>
      <c r="N28" s="1"/>
      <c r="O28" s="324">
        <v>1</v>
      </c>
      <c r="P28" s="1"/>
      <c r="Q28" s="1"/>
      <c r="R28" s="1"/>
      <c r="S28" s="1"/>
      <c r="T28" s="1"/>
      <c r="U28" s="1"/>
      <c r="V28" s="1"/>
      <c r="W28" s="1"/>
      <c r="X28" s="1">
        <v>7</v>
      </c>
      <c r="Y28" s="7" t="s">
        <v>9</v>
      </c>
      <c r="Z28" s="54"/>
      <c r="AB28"/>
      <c r="AC28"/>
      <c r="AD28"/>
      <c r="AE28" s="438">
        <v>7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8" customFormat="1" ht="18" customHeight="1" x14ac:dyDescent="0.2">
      <c r="A29" s="1">
        <v>2019</v>
      </c>
      <c r="B29" s="1"/>
      <c r="C29" s="1"/>
      <c r="D29" s="1"/>
      <c r="E29" s="1"/>
      <c r="F29" s="1"/>
      <c r="G29" s="106">
        <v>0</v>
      </c>
      <c r="H29" s="1"/>
      <c r="I29" s="1"/>
      <c r="J29" s="156">
        <v>8</v>
      </c>
      <c r="K29" s="593">
        <f>3+2</f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>
        <v>10</v>
      </c>
      <c r="Y29" s="7" t="s">
        <v>9</v>
      </c>
      <c r="Z29" s="54"/>
      <c r="AB29"/>
      <c r="AC29"/>
      <c r="AD29"/>
      <c r="AE29" s="438">
        <v>10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8" customFormat="1" ht="18" customHeight="1" x14ac:dyDescent="0.2">
      <c r="A30" s="1">
        <v>2020</v>
      </c>
      <c r="B30" s="1"/>
      <c r="C30" s="1"/>
      <c r="D30" s="1"/>
      <c r="E30" s="1"/>
      <c r="F30" s="1"/>
      <c r="G30" s="1"/>
      <c r="H30" s="1"/>
      <c r="I30" s="536">
        <v>11</v>
      </c>
      <c r="J30" s="1"/>
      <c r="K30" s="1"/>
      <c r="L30" s="1"/>
      <c r="M30" s="514">
        <v>13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14</v>
      </c>
      <c r="Y30" s="7" t="s">
        <v>9</v>
      </c>
      <c r="Z30" s="54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94" customFormat="1" ht="18" customHeight="1" x14ac:dyDescent="0.2">
      <c r="A31" s="227">
        <v>2021</v>
      </c>
      <c r="B31" s="227"/>
      <c r="C31" s="227"/>
      <c r="D31" s="227"/>
      <c r="E31" s="227"/>
      <c r="F31" s="227"/>
      <c r="G31" s="227"/>
      <c r="H31" s="227"/>
      <c r="I31" s="536">
        <v>18</v>
      </c>
      <c r="J31" s="227"/>
      <c r="K31" s="227"/>
      <c r="L31" s="227"/>
      <c r="M31" s="227"/>
      <c r="N31" s="227"/>
      <c r="O31" s="514">
        <v>15</v>
      </c>
      <c r="P31" s="227"/>
      <c r="Q31" s="227"/>
      <c r="R31" s="227"/>
      <c r="S31" s="227"/>
      <c r="T31" s="227"/>
      <c r="U31" s="227"/>
      <c r="V31" s="227"/>
      <c r="W31" s="227"/>
      <c r="X31" s="227">
        <v>23</v>
      </c>
      <c r="Y31" s="11"/>
      <c r="Z31" s="210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</row>
    <row r="32" spans="1:47" s="94" customFormat="1" ht="18" customHeight="1" x14ac:dyDescent="0.2">
      <c r="A32" s="227">
        <v>2022</v>
      </c>
      <c r="B32" s="227"/>
      <c r="C32" s="227"/>
      <c r="D32" s="227"/>
      <c r="E32" s="227"/>
      <c r="F32" s="227"/>
      <c r="G32" s="227"/>
      <c r="H32" s="427">
        <v>43</v>
      </c>
      <c r="I32" s="733"/>
      <c r="J32" s="227"/>
      <c r="K32" s="106">
        <v>77</v>
      </c>
      <c r="L32" s="227"/>
      <c r="M32" s="227"/>
      <c r="N32" s="227"/>
      <c r="O32" s="227"/>
      <c r="P32" s="514">
        <v>4</v>
      </c>
      <c r="Q32" s="227"/>
      <c r="R32" s="227"/>
      <c r="S32" s="227"/>
      <c r="T32" s="227"/>
      <c r="U32" s="227"/>
      <c r="V32" s="227"/>
      <c r="W32" s="227"/>
      <c r="X32" s="227">
        <v>87</v>
      </c>
      <c r="Y32" s="11"/>
      <c r="Z32" s="210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</row>
    <row r="33" spans="1:47" s="94" customFormat="1" ht="18" customHeight="1" x14ac:dyDescent="0.2">
      <c r="A33" s="227">
        <v>2023</v>
      </c>
      <c r="B33" s="227"/>
      <c r="C33" s="227"/>
      <c r="D33" s="227"/>
      <c r="E33" s="227"/>
      <c r="F33" s="227"/>
      <c r="G33" s="227"/>
      <c r="H33" s="106">
        <v>64</v>
      </c>
      <c r="I33" s="227"/>
      <c r="J33" s="156">
        <v>21</v>
      </c>
      <c r="K33" s="227"/>
      <c r="L33" s="227"/>
      <c r="M33" s="227"/>
      <c r="N33" s="227"/>
      <c r="O33" s="227"/>
      <c r="P33" s="514">
        <v>0</v>
      </c>
      <c r="Q33" s="227"/>
      <c r="R33" s="227"/>
      <c r="S33" s="227"/>
      <c r="T33" s="227"/>
      <c r="U33" s="227"/>
      <c r="V33" s="227"/>
      <c r="W33" s="227"/>
      <c r="X33" s="227"/>
      <c r="Y33" s="11"/>
      <c r="Z33" s="210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</row>
    <row r="34" spans="1:47" s="8" customFormat="1" ht="18" customHeight="1" x14ac:dyDescent="0.2">
      <c r="A34" s="64" t="s">
        <v>17</v>
      </c>
      <c r="B34" s="16"/>
      <c r="C34" s="16"/>
      <c r="D34" s="16"/>
      <c r="E34" s="16"/>
      <c r="F34" s="16">
        <f t="shared" ref="F34:U34" si="2">AVERAGE(F5:F19)</f>
        <v>14.333333333333334</v>
      </c>
      <c r="G34" s="16">
        <f t="shared" si="2"/>
        <v>33</v>
      </c>
      <c r="H34" s="16">
        <f t="shared" si="2"/>
        <v>24.2</v>
      </c>
      <c r="I34" s="16">
        <f t="shared" si="2"/>
        <v>34.375</v>
      </c>
      <c r="J34" s="16">
        <f t="shared" si="2"/>
        <v>72</v>
      </c>
      <c r="K34" s="16">
        <f t="shared" si="2"/>
        <v>25.4</v>
      </c>
      <c r="L34" s="16">
        <f t="shared" si="2"/>
        <v>118</v>
      </c>
      <c r="M34" s="16">
        <f t="shared" si="2"/>
        <v>66.8</v>
      </c>
      <c r="N34" s="16">
        <f t="shared" si="2"/>
        <v>4.75</v>
      </c>
      <c r="O34" s="16">
        <f t="shared" si="2"/>
        <v>27</v>
      </c>
      <c r="P34" s="16">
        <f t="shared" si="2"/>
        <v>1.5</v>
      </c>
      <c r="Q34" s="16">
        <f t="shared" si="2"/>
        <v>0.25</v>
      </c>
      <c r="R34" s="16">
        <f t="shared" si="2"/>
        <v>1</v>
      </c>
      <c r="S34" s="16">
        <f t="shared" si="2"/>
        <v>0</v>
      </c>
      <c r="T34" s="16"/>
      <c r="U34" s="16">
        <f t="shared" si="2"/>
        <v>0</v>
      </c>
      <c r="V34" s="16"/>
      <c r="W34" s="16"/>
      <c r="X34" s="16">
        <f>AVERAGE(X5:X19)</f>
        <v>123.13333333333334</v>
      </c>
      <c r="Y34" s="17"/>
      <c r="Z34" s="16">
        <f>AVERAGE(Z5:Z19)</f>
        <v>23.666666666666668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47" ht="18" customHeight="1" x14ac:dyDescent="0.2">
      <c r="A36" s="1002" t="s">
        <v>600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47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</row>
    <row r="38" spans="1:47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</row>
    <row r="39" spans="1:47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C39" t="s">
        <v>160</v>
      </c>
    </row>
    <row r="40" spans="1:47" ht="18" customHeight="1" x14ac:dyDescent="0.2">
      <c r="A40" s="1">
        <v>1995</v>
      </c>
      <c r="B40" s="6"/>
      <c r="C40" s="6"/>
      <c r="D40" s="6"/>
      <c r="E40" s="6"/>
      <c r="F40" s="6"/>
      <c r="G40" s="6"/>
      <c r="H40" s="6"/>
      <c r="I40" s="365">
        <v>796</v>
      </c>
      <c r="J40" s="6">
        <v>269</v>
      </c>
      <c r="K40" s="6"/>
      <c r="L40" s="6"/>
      <c r="M40" s="6"/>
      <c r="N40" s="6">
        <v>1</v>
      </c>
      <c r="O40" s="6"/>
      <c r="P40" s="6"/>
      <c r="Q40" s="6"/>
      <c r="R40" s="6"/>
      <c r="S40" s="6"/>
      <c r="T40" s="13"/>
      <c r="U40" s="13"/>
      <c r="V40" s="13"/>
      <c r="W40" s="13"/>
      <c r="X40" s="13">
        <v>918</v>
      </c>
      <c r="Y40" s="7" t="s">
        <v>5</v>
      </c>
      <c r="Z40" s="58">
        <v>20</v>
      </c>
      <c r="AA40" s="8">
        <f>COUNT(B40:W40)</f>
        <v>3</v>
      </c>
      <c r="AC40">
        <f>X40/MAX(B40:W40)</f>
        <v>1.1532663316582914</v>
      </c>
    </row>
    <row r="41" spans="1:47" ht="18" customHeight="1" x14ac:dyDescent="0.2">
      <c r="A41" s="1">
        <v>1996</v>
      </c>
      <c r="B41" s="6"/>
      <c r="C41" s="6"/>
      <c r="D41" s="6"/>
      <c r="E41" s="6"/>
      <c r="F41" s="6">
        <v>75</v>
      </c>
      <c r="G41" s="6">
        <v>53</v>
      </c>
      <c r="H41" s="6">
        <v>143</v>
      </c>
      <c r="I41" s="6">
        <v>96</v>
      </c>
      <c r="J41" s="6"/>
      <c r="K41" s="365">
        <v>203</v>
      </c>
      <c r="L41" s="6"/>
      <c r="M41" s="6"/>
      <c r="N41" s="6">
        <v>10</v>
      </c>
      <c r="O41" s="6"/>
      <c r="P41" s="6"/>
      <c r="Q41" s="6"/>
      <c r="R41" s="6"/>
      <c r="S41" s="6"/>
      <c r="T41" s="13"/>
      <c r="U41" s="13"/>
      <c r="V41" s="13"/>
      <c r="W41" s="13"/>
      <c r="X41" s="13">
        <v>357</v>
      </c>
      <c r="Y41" s="7" t="s">
        <v>5</v>
      </c>
      <c r="Z41" s="60">
        <v>50</v>
      </c>
      <c r="AA41" s="8">
        <f t="shared" ref="AA41:AA63" si="3">COUNT(B41:W41)</f>
        <v>6</v>
      </c>
      <c r="AC41">
        <f t="shared" ref="AC41:AC67" si="4">X41/MAX(B41:W41)</f>
        <v>1.7586206896551724</v>
      </c>
    </row>
    <row r="42" spans="1:47" ht="18" customHeight="1" x14ac:dyDescent="0.2">
      <c r="A42" s="1">
        <v>1997</v>
      </c>
      <c r="B42" s="6"/>
      <c r="C42" s="6"/>
      <c r="D42" s="6"/>
      <c r="E42" s="6"/>
      <c r="F42" s="6">
        <v>12</v>
      </c>
      <c r="G42" s="6">
        <v>21</v>
      </c>
      <c r="H42" s="6"/>
      <c r="I42" s="6">
        <v>166</v>
      </c>
      <c r="J42" s="6"/>
      <c r="K42" s="6">
        <v>195</v>
      </c>
      <c r="L42" s="6"/>
      <c r="M42" s="6">
        <v>266</v>
      </c>
      <c r="N42" s="6"/>
      <c r="O42" s="6"/>
      <c r="P42" s="365">
        <v>478</v>
      </c>
      <c r="Q42" s="6"/>
      <c r="R42" s="6"/>
      <c r="S42" s="6"/>
      <c r="T42" s="13"/>
      <c r="U42" s="13"/>
      <c r="V42" s="13"/>
      <c r="W42" s="13"/>
      <c r="X42" s="13">
        <v>649</v>
      </c>
      <c r="Y42" s="7" t="s">
        <v>5</v>
      </c>
      <c r="Z42" s="58">
        <v>30</v>
      </c>
      <c r="AA42" s="8">
        <f t="shared" si="3"/>
        <v>6</v>
      </c>
      <c r="AC42">
        <f t="shared" si="4"/>
        <v>1.3577405857740585</v>
      </c>
    </row>
    <row r="43" spans="1:47" ht="18" customHeight="1" x14ac:dyDescent="0.2">
      <c r="A43" s="1">
        <v>1998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>
        <v>69</v>
      </c>
      <c r="M43" s="6">
        <v>1215</v>
      </c>
      <c r="N43" s="6"/>
      <c r="O43" s="473">
        <v>1355</v>
      </c>
      <c r="P43" s="6"/>
      <c r="Q43" s="6"/>
      <c r="R43" s="6"/>
      <c r="S43" s="6"/>
      <c r="T43" s="13"/>
      <c r="U43" s="13"/>
      <c r="V43" s="13"/>
      <c r="W43" s="13"/>
      <c r="X43" s="13">
        <v>2007</v>
      </c>
      <c r="Y43" s="7" t="s">
        <v>5</v>
      </c>
      <c r="Z43" s="58">
        <v>30</v>
      </c>
      <c r="AA43" s="8">
        <f t="shared" si="3"/>
        <v>3</v>
      </c>
      <c r="AC43">
        <f t="shared" si="4"/>
        <v>1.481180811808118</v>
      </c>
    </row>
    <row r="44" spans="1:47" ht="18" customHeight="1" x14ac:dyDescent="0.2">
      <c r="A44" s="1">
        <v>1999</v>
      </c>
      <c r="B44" s="6"/>
      <c r="C44" s="6"/>
      <c r="D44" s="6"/>
      <c r="E44" s="6"/>
      <c r="F44" s="6"/>
      <c r="G44" s="6"/>
      <c r="H44" s="6"/>
      <c r="I44" s="6">
        <v>252</v>
      </c>
      <c r="J44" s="6"/>
      <c r="K44" s="6">
        <v>239</v>
      </c>
      <c r="L44" s="6">
        <v>200</v>
      </c>
      <c r="M44" s="6">
        <v>547</v>
      </c>
      <c r="N44" s="6"/>
      <c r="O44" s="6"/>
      <c r="P44" s="6"/>
      <c r="Q44" s="473">
        <v>830</v>
      </c>
      <c r="R44" s="6"/>
      <c r="S44" s="6"/>
      <c r="T44" s="13"/>
      <c r="U44" s="13"/>
      <c r="V44" s="13"/>
      <c r="W44" s="13"/>
      <c r="X44" s="13">
        <v>1606</v>
      </c>
      <c r="Y44" s="7" t="s">
        <v>5</v>
      </c>
      <c r="Z44" s="58">
        <v>30</v>
      </c>
      <c r="AA44" s="8">
        <f t="shared" si="3"/>
        <v>5</v>
      </c>
      <c r="AC44">
        <f t="shared" si="4"/>
        <v>1.9349397590361446</v>
      </c>
    </row>
    <row r="45" spans="1:47" ht="18" customHeight="1" x14ac:dyDescent="0.2">
      <c r="A45" s="1">
        <v>2000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473">
        <v>990</v>
      </c>
      <c r="O45" s="6"/>
      <c r="P45" s="6"/>
      <c r="Q45" s="6">
        <v>475</v>
      </c>
      <c r="R45" s="6"/>
      <c r="S45" s="6"/>
      <c r="T45" s="13"/>
      <c r="U45" s="13">
        <v>318</v>
      </c>
      <c r="V45" s="13"/>
      <c r="W45" s="13"/>
      <c r="X45" s="13">
        <v>1207</v>
      </c>
      <c r="Y45" s="7" t="s">
        <v>5</v>
      </c>
      <c r="Z45" s="58">
        <v>45</v>
      </c>
      <c r="AA45" s="8">
        <f t="shared" si="3"/>
        <v>3</v>
      </c>
      <c r="AC45">
        <f t="shared" si="4"/>
        <v>1.2191919191919192</v>
      </c>
    </row>
    <row r="46" spans="1:47" ht="18" customHeight="1" x14ac:dyDescent="0.2">
      <c r="A46" s="1">
        <v>2001</v>
      </c>
      <c r="B46" s="6"/>
      <c r="C46" s="6"/>
      <c r="D46" s="6"/>
      <c r="E46" s="6"/>
      <c r="F46" s="6"/>
      <c r="G46" s="6"/>
      <c r="H46" s="6"/>
      <c r="I46" s="6">
        <v>62</v>
      </c>
      <c r="J46" s="6"/>
      <c r="K46" s="6"/>
      <c r="L46" s="6">
        <v>122</v>
      </c>
      <c r="M46" s="6"/>
      <c r="N46" s="6">
        <v>16</v>
      </c>
      <c r="O46" s="6"/>
      <c r="P46" s="6"/>
      <c r="Q46" s="473">
        <v>1050</v>
      </c>
      <c r="R46" s="6"/>
      <c r="S46" s="6"/>
      <c r="T46" s="13"/>
      <c r="U46" s="13"/>
      <c r="V46" s="13"/>
      <c r="W46" s="13"/>
      <c r="X46" s="13">
        <v>1115</v>
      </c>
      <c r="Y46" s="7" t="s">
        <v>7</v>
      </c>
      <c r="Z46" s="58"/>
      <c r="AA46" s="8">
        <f t="shared" si="3"/>
        <v>4</v>
      </c>
      <c r="AC46">
        <f t="shared" si="4"/>
        <v>1.0619047619047619</v>
      </c>
    </row>
    <row r="47" spans="1:47" ht="18" customHeight="1" x14ac:dyDescent="0.2">
      <c r="A47" s="1">
        <v>2002</v>
      </c>
      <c r="B47" s="6"/>
      <c r="C47" s="6"/>
      <c r="D47" s="6"/>
      <c r="E47" s="6"/>
      <c r="F47" s="6"/>
      <c r="G47" s="6"/>
      <c r="H47" s="466"/>
      <c r="I47" s="464">
        <v>379</v>
      </c>
      <c r="J47" s="466"/>
      <c r="K47" s="464">
        <v>845</v>
      </c>
      <c r="L47" s="466"/>
      <c r="M47" s="466"/>
      <c r="N47" s="472">
        <v>1602</v>
      </c>
      <c r="O47" s="466"/>
      <c r="P47" s="466"/>
      <c r="Q47" s="466"/>
      <c r="R47" s="469">
        <v>809</v>
      </c>
      <c r="S47" s="465">
        <v>43</v>
      </c>
      <c r="T47" s="13"/>
      <c r="U47" s="13"/>
      <c r="V47" s="13"/>
      <c r="W47" s="13"/>
      <c r="X47" s="13">
        <v>3911</v>
      </c>
      <c r="Y47" s="7" t="s">
        <v>5</v>
      </c>
      <c r="Z47" s="60">
        <v>30</v>
      </c>
      <c r="AA47" s="8">
        <f t="shared" si="3"/>
        <v>5</v>
      </c>
      <c r="AC47">
        <f t="shared" si="4"/>
        <v>2.4413233458177279</v>
      </c>
    </row>
    <row r="48" spans="1:47" ht="18" customHeight="1" x14ac:dyDescent="0.2">
      <c r="A48" s="1">
        <v>2003</v>
      </c>
      <c r="B48" s="6"/>
      <c r="C48" s="6"/>
      <c r="D48" s="6"/>
      <c r="E48" s="6"/>
      <c r="F48" s="6"/>
      <c r="G48" s="6"/>
      <c r="H48" s="464">
        <v>382</v>
      </c>
      <c r="I48" s="466"/>
      <c r="J48" s="464">
        <v>447</v>
      </c>
      <c r="K48" s="466"/>
      <c r="L48" s="466"/>
      <c r="M48" s="466"/>
      <c r="N48" s="469">
        <v>951</v>
      </c>
      <c r="O48" s="466"/>
      <c r="P48" s="466"/>
      <c r="Q48" s="466"/>
      <c r="R48" s="466"/>
      <c r="S48" s="465">
        <v>549</v>
      </c>
      <c r="T48" s="13"/>
      <c r="U48" s="13"/>
      <c r="V48" s="13"/>
      <c r="W48" s="13"/>
      <c r="X48" s="13">
        <v>1289</v>
      </c>
      <c r="Y48" s="7" t="s">
        <v>5</v>
      </c>
      <c r="Z48" s="58">
        <v>45</v>
      </c>
      <c r="AA48" s="8">
        <f t="shared" si="3"/>
        <v>4</v>
      </c>
      <c r="AC48">
        <f t="shared" si="4"/>
        <v>1.3554153522607781</v>
      </c>
    </row>
    <row r="49" spans="1:47" ht="18" customHeight="1" x14ac:dyDescent="0.2">
      <c r="A49" s="1">
        <v>2004</v>
      </c>
      <c r="B49" s="6"/>
      <c r="C49" s="6"/>
      <c r="D49" s="6"/>
      <c r="E49" s="6"/>
      <c r="F49" s="6"/>
      <c r="G49" s="6"/>
      <c r="H49" s="466"/>
      <c r="I49" s="466"/>
      <c r="J49" s="464">
        <v>172</v>
      </c>
      <c r="K49" s="466"/>
      <c r="L49" s="466"/>
      <c r="M49" s="464">
        <v>183</v>
      </c>
      <c r="N49" s="466"/>
      <c r="O49" s="466"/>
      <c r="P49" s="465">
        <v>899</v>
      </c>
      <c r="Q49" s="466"/>
      <c r="R49" s="466"/>
      <c r="S49" s="466"/>
      <c r="T49" s="13"/>
      <c r="U49" s="13"/>
      <c r="V49" s="13"/>
      <c r="W49" s="13"/>
      <c r="X49" s="21">
        <v>1105</v>
      </c>
      <c r="Y49" s="7" t="s">
        <v>5</v>
      </c>
      <c r="Z49" s="59">
        <v>37</v>
      </c>
      <c r="AA49" s="8">
        <f t="shared" si="3"/>
        <v>3</v>
      </c>
      <c r="AC49">
        <f t="shared" si="4"/>
        <v>1.2291434927697442</v>
      </c>
    </row>
    <row r="50" spans="1:47" ht="18" customHeight="1" x14ac:dyDescent="0.2">
      <c r="A50" s="1">
        <v>2005</v>
      </c>
      <c r="B50" s="6"/>
      <c r="C50" s="6"/>
      <c r="D50" s="6"/>
      <c r="E50" s="6"/>
      <c r="F50" s="6"/>
      <c r="G50" s="6"/>
      <c r="H50" s="6"/>
      <c r="I50" s="6">
        <v>410</v>
      </c>
      <c r="J50" s="6"/>
      <c r="K50" s="6"/>
      <c r="L50" s="6"/>
      <c r="M50" s="6"/>
      <c r="N50" s="6"/>
      <c r="O50" s="6"/>
      <c r="P50" s="6"/>
      <c r="Q50" s="6"/>
      <c r="R50" s="365">
        <v>883</v>
      </c>
      <c r="S50" s="6"/>
      <c r="T50" s="13"/>
      <c r="U50" s="13"/>
      <c r="V50" s="13"/>
      <c r="W50" s="13"/>
      <c r="X50" s="13">
        <v>914</v>
      </c>
      <c r="Y50" s="7" t="s">
        <v>9</v>
      </c>
      <c r="Z50" s="60"/>
      <c r="AA50" s="8">
        <f t="shared" si="3"/>
        <v>2</v>
      </c>
      <c r="AC50">
        <f t="shared" si="4"/>
        <v>1.0351075877689695</v>
      </c>
    </row>
    <row r="51" spans="1:47" ht="18" customHeight="1" x14ac:dyDescent="0.2">
      <c r="A51" s="1">
        <v>2006</v>
      </c>
      <c r="B51" s="6"/>
      <c r="C51" s="6"/>
      <c r="D51" s="6"/>
      <c r="E51" s="6"/>
      <c r="F51" s="6"/>
      <c r="G51" s="6"/>
      <c r="H51" s="6">
        <v>348</v>
      </c>
      <c r="I51" s="6"/>
      <c r="J51" s="365">
        <v>581</v>
      </c>
      <c r="K51" s="6"/>
      <c r="L51" s="6"/>
      <c r="M51" s="6">
        <v>175</v>
      </c>
      <c r="N51" s="6"/>
      <c r="O51" s="6"/>
      <c r="P51" s="6"/>
      <c r="Q51" s="6"/>
      <c r="R51" s="6"/>
      <c r="S51" s="6">
        <v>251</v>
      </c>
      <c r="T51" s="13"/>
      <c r="U51" s="13"/>
      <c r="V51" s="13"/>
      <c r="W51" s="13"/>
      <c r="X51" s="12">
        <v>595</v>
      </c>
      <c r="Y51" s="7" t="s">
        <v>5</v>
      </c>
      <c r="Z51" s="53">
        <v>45</v>
      </c>
      <c r="AA51" s="8">
        <f t="shared" si="3"/>
        <v>4</v>
      </c>
      <c r="AC51">
        <f t="shared" si="4"/>
        <v>1.0240963855421688</v>
      </c>
    </row>
    <row r="52" spans="1:47" ht="18" customHeight="1" x14ac:dyDescent="0.2">
      <c r="A52" s="1">
        <v>2007</v>
      </c>
      <c r="B52" s="6"/>
      <c r="C52" s="6"/>
      <c r="D52" s="6"/>
      <c r="E52" s="6"/>
      <c r="F52" s="6"/>
      <c r="G52" s="6">
        <v>281</v>
      </c>
      <c r="H52" s="6"/>
      <c r="I52" s="6"/>
      <c r="J52" s="6"/>
      <c r="K52" s="6"/>
      <c r="L52" s="6"/>
      <c r="M52" s="6"/>
      <c r="N52" s="6">
        <v>2</v>
      </c>
      <c r="O52" s="6"/>
      <c r="P52" s="6"/>
      <c r="Q52" s="6">
        <v>439</v>
      </c>
      <c r="R52" s="6"/>
      <c r="S52" s="6"/>
      <c r="T52" s="13"/>
      <c r="U52" s="13"/>
      <c r="V52" s="13"/>
      <c r="W52" s="13"/>
      <c r="X52" s="12">
        <v>441</v>
      </c>
      <c r="Y52" s="7" t="s">
        <v>9</v>
      </c>
      <c r="Z52" s="60"/>
      <c r="AA52" s="8">
        <f t="shared" si="3"/>
        <v>3</v>
      </c>
      <c r="AC52">
        <f t="shared" si="4"/>
        <v>1.0045558086560364</v>
      </c>
    </row>
    <row r="53" spans="1:47" s="55" customFormat="1" ht="18" customHeight="1" x14ac:dyDescent="0.2">
      <c r="A53" s="13">
        <v>2008</v>
      </c>
      <c r="B53" s="13"/>
      <c r="C53" s="13"/>
      <c r="D53" s="13"/>
      <c r="E53" s="13"/>
      <c r="F53" s="13">
        <v>52</v>
      </c>
      <c r="G53" s="13">
        <v>55</v>
      </c>
      <c r="H53" s="13">
        <v>258</v>
      </c>
      <c r="I53" s="13">
        <v>359</v>
      </c>
      <c r="J53" s="13"/>
      <c r="K53" s="13"/>
      <c r="L53" s="13"/>
      <c r="M53" s="13"/>
      <c r="N53" s="366">
        <v>530</v>
      </c>
      <c r="O53" s="13"/>
      <c r="P53" s="13"/>
      <c r="Q53" s="13"/>
      <c r="R53" s="13">
        <v>138</v>
      </c>
      <c r="S53" s="13"/>
      <c r="T53" s="13"/>
      <c r="U53" s="13"/>
      <c r="V53" s="13"/>
      <c r="W53" s="13"/>
      <c r="X53" s="13">
        <v>583</v>
      </c>
      <c r="Y53" s="7" t="s">
        <v>5</v>
      </c>
      <c r="Z53" s="58">
        <v>37.5</v>
      </c>
      <c r="AA53" s="8">
        <f t="shared" si="3"/>
        <v>6</v>
      </c>
      <c r="AB53"/>
      <c r="AC53">
        <f t="shared" si="4"/>
        <v>1.1000000000000001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8" customHeight="1" x14ac:dyDescent="0.2">
      <c r="A54" s="13">
        <v>2009</v>
      </c>
      <c r="B54" s="13"/>
      <c r="C54" s="13"/>
      <c r="D54" s="13"/>
      <c r="E54" s="13"/>
      <c r="F54" s="13"/>
      <c r="G54" s="13"/>
      <c r="H54" s="366">
        <v>576</v>
      </c>
      <c r="I54" s="13">
        <v>156</v>
      </c>
      <c r="J54" s="13"/>
      <c r="K54" s="13">
        <v>474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>
        <v>825</v>
      </c>
      <c r="Y54" s="7" t="s">
        <v>9</v>
      </c>
      <c r="Z54" s="58"/>
      <c r="AA54" s="8">
        <f t="shared" si="3"/>
        <v>3</v>
      </c>
      <c r="AC54">
        <f t="shared" si="4"/>
        <v>1.4322916666666667</v>
      </c>
    </row>
    <row r="55" spans="1:47" ht="18" customHeight="1" x14ac:dyDescent="0.2">
      <c r="A55" s="13">
        <v>2010</v>
      </c>
      <c r="B55" s="13"/>
      <c r="C55" s="13"/>
      <c r="D55" s="13"/>
      <c r="E55" s="13"/>
      <c r="F55" s="13"/>
      <c r="G55" s="13"/>
      <c r="H55" s="13"/>
      <c r="I55" s="13"/>
      <c r="J55" s="13"/>
      <c r="K55" s="13">
        <v>3</v>
      </c>
      <c r="L55" s="13"/>
      <c r="M55" s="13"/>
      <c r="N55" s="13"/>
      <c r="O55" s="13"/>
      <c r="P55" s="13"/>
      <c r="Q55" s="13"/>
      <c r="R55" s="13"/>
      <c r="S55" s="13"/>
      <c r="T55" s="13">
        <v>710</v>
      </c>
      <c r="U55" s="13"/>
      <c r="V55" s="13"/>
      <c r="W55" s="13"/>
      <c r="X55" s="13"/>
      <c r="Y55" s="7"/>
      <c r="Z55" s="58"/>
      <c r="AA55" s="8">
        <f t="shared" si="3"/>
        <v>2</v>
      </c>
      <c r="AC55">
        <f t="shared" si="4"/>
        <v>0</v>
      </c>
    </row>
    <row r="56" spans="1:47" ht="18" customHeight="1" x14ac:dyDescent="0.2">
      <c r="A56" s="13">
        <v>2011</v>
      </c>
      <c r="B56" s="13"/>
      <c r="C56" s="13"/>
      <c r="D56" s="13"/>
      <c r="E56" s="13"/>
      <c r="F56" s="466"/>
      <c r="G56" s="464">
        <v>411</v>
      </c>
      <c r="H56" s="464">
        <v>637</v>
      </c>
      <c r="I56" s="466"/>
      <c r="J56" s="466"/>
      <c r="K56" s="466"/>
      <c r="L56" s="466"/>
      <c r="M56" s="464">
        <v>475</v>
      </c>
      <c r="N56" s="466"/>
      <c r="O56" s="466"/>
      <c r="P56" s="466"/>
      <c r="Q56" s="465">
        <v>1621</v>
      </c>
      <c r="R56" s="466"/>
      <c r="S56" s="13"/>
      <c r="T56" s="13"/>
      <c r="U56" s="13"/>
      <c r="V56" s="13"/>
      <c r="W56" s="13"/>
      <c r="X56" s="13">
        <v>1700</v>
      </c>
      <c r="Y56" s="7" t="s">
        <v>5</v>
      </c>
      <c r="Z56" s="58">
        <v>37.5</v>
      </c>
      <c r="AA56" s="8">
        <f t="shared" si="3"/>
        <v>4</v>
      </c>
      <c r="AC56">
        <f t="shared" si="4"/>
        <v>1.0487353485502775</v>
      </c>
    </row>
    <row r="57" spans="1:47" ht="18" customHeight="1" x14ac:dyDescent="0.2">
      <c r="A57" s="13">
        <v>2012</v>
      </c>
      <c r="B57" s="13"/>
      <c r="C57" s="13"/>
      <c r="D57" s="13"/>
      <c r="E57" s="13"/>
      <c r="F57" s="464">
        <v>709</v>
      </c>
      <c r="G57" s="464">
        <v>830</v>
      </c>
      <c r="H57" s="464">
        <v>1261</v>
      </c>
      <c r="I57" s="466"/>
      <c r="J57" s="464">
        <v>1808</v>
      </c>
      <c r="K57" s="466"/>
      <c r="L57" s="471">
        <v>2552</v>
      </c>
      <c r="M57" s="464">
        <v>53</v>
      </c>
      <c r="N57" s="466"/>
      <c r="O57" s="464">
        <v>6</v>
      </c>
      <c r="P57" s="466"/>
      <c r="Q57" s="466"/>
      <c r="R57" s="464">
        <v>12</v>
      </c>
      <c r="S57" s="13"/>
      <c r="T57" s="13"/>
      <c r="U57" s="13"/>
      <c r="V57" s="13"/>
      <c r="W57" s="13"/>
      <c r="X57" s="13">
        <v>3242</v>
      </c>
      <c r="Y57" s="7" t="s">
        <v>5</v>
      </c>
      <c r="Z57" s="58">
        <v>30</v>
      </c>
      <c r="AA57" s="8">
        <f t="shared" si="3"/>
        <v>8</v>
      </c>
      <c r="AC57">
        <f t="shared" si="4"/>
        <v>1.2703761755485894</v>
      </c>
    </row>
    <row r="58" spans="1:47" s="8" customFormat="1" ht="18" customHeight="1" x14ac:dyDescent="0.2">
      <c r="A58" s="13">
        <v>2013</v>
      </c>
      <c r="B58" s="13"/>
      <c r="C58" s="13"/>
      <c r="D58" s="13"/>
      <c r="E58" s="13"/>
      <c r="F58" s="464">
        <v>113</v>
      </c>
      <c r="G58" s="464">
        <v>633</v>
      </c>
      <c r="H58" s="466"/>
      <c r="I58" s="466"/>
      <c r="J58" s="466"/>
      <c r="K58" s="464">
        <v>394</v>
      </c>
      <c r="L58" s="466"/>
      <c r="M58" s="464">
        <v>570</v>
      </c>
      <c r="N58" s="471">
        <v>1101</v>
      </c>
      <c r="O58" s="464">
        <v>741</v>
      </c>
      <c r="P58" s="466"/>
      <c r="Q58" s="465">
        <f>655+124</f>
        <v>779</v>
      </c>
      <c r="R58" s="466"/>
      <c r="S58" s="13"/>
      <c r="T58" s="13"/>
      <c r="U58" s="13"/>
      <c r="V58" s="13"/>
      <c r="W58" s="13"/>
      <c r="X58" s="13"/>
      <c r="Y58" s="7"/>
      <c r="Z58" s="58"/>
      <c r="AA58" s="8">
        <f t="shared" si="3"/>
        <v>7</v>
      </c>
      <c r="AB58"/>
      <c r="AC58">
        <f t="shared" si="4"/>
        <v>0</v>
      </c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8" customFormat="1" ht="18" customHeight="1" x14ac:dyDescent="0.2">
      <c r="A59" s="13">
        <v>2014</v>
      </c>
      <c r="B59" s="13"/>
      <c r="C59" s="13"/>
      <c r="D59" s="13"/>
      <c r="E59" s="13"/>
      <c r="F59" s="466"/>
      <c r="G59" s="464">
        <v>211</v>
      </c>
      <c r="H59" s="466"/>
      <c r="I59" s="464">
        <v>274</v>
      </c>
      <c r="J59" s="466"/>
      <c r="K59" s="471">
        <v>791</v>
      </c>
      <c r="L59" s="466"/>
      <c r="M59" s="466"/>
      <c r="N59" s="466"/>
      <c r="O59" s="466"/>
      <c r="P59" s="464">
        <v>5</v>
      </c>
      <c r="Q59" s="465">
        <v>611</v>
      </c>
      <c r="R59" s="466"/>
      <c r="S59" s="13"/>
      <c r="T59" s="13"/>
      <c r="U59" s="13"/>
      <c r="V59" s="13"/>
      <c r="W59" s="13"/>
      <c r="X59" s="13">
        <v>989</v>
      </c>
      <c r="Y59" s="7" t="s">
        <v>9</v>
      </c>
      <c r="Z59" s="58"/>
      <c r="AA59" s="8">
        <f t="shared" si="3"/>
        <v>5</v>
      </c>
      <c r="AB59"/>
      <c r="AC59">
        <f t="shared" si="4"/>
        <v>1.2503160556257902</v>
      </c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8" customFormat="1" ht="18" customHeight="1" x14ac:dyDescent="0.2">
      <c r="A60" s="13">
        <v>2015</v>
      </c>
      <c r="B60" s="13"/>
      <c r="C60" s="13"/>
      <c r="D60" s="13"/>
      <c r="E60" s="13"/>
      <c r="F60" s="466"/>
      <c r="G60" s="464">
        <v>134</v>
      </c>
      <c r="H60" s="471">
        <v>202</v>
      </c>
      <c r="I60" s="466"/>
      <c r="J60" s="464">
        <v>25</v>
      </c>
      <c r="K60" s="464">
        <v>36</v>
      </c>
      <c r="L60" s="466"/>
      <c r="M60" s="464">
        <v>2</v>
      </c>
      <c r="N60" s="466"/>
      <c r="O60" s="466"/>
      <c r="P60" s="466"/>
      <c r="Q60" s="466"/>
      <c r="R60" s="466"/>
      <c r="S60" s="13"/>
      <c r="T60" s="13"/>
      <c r="U60" s="13"/>
      <c r="V60" s="13"/>
      <c r="W60" s="13"/>
      <c r="X60" s="13">
        <v>260</v>
      </c>
      <c r="Y60" s="7" t="s">
        <v>5</v>
      </c>
      <c r="Z60" s="58">
        <v>20</v>
      </c>
      <c r="AA60" s="8">
        <f t="shared" si="3"/>
        <v>5</v>
      </c>
      <c r="AB60"/>
      <c r="AC60">
        <f t="shared" si="4"/>
        <v>1.2871287128712872</v>
      </c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8" customFormat="1" ht="18" customHeight="1" x14ac:dyDescent="0.2">
      <c r="A61" s="13">
        <v>2016</v>
      </c>
      <c r="B61" s="13"/>
      <c r="C61" s="13"/>
      <c r="D61" s="13"/>
      <c r="E61" s="13"/>
      <c r="F61" s="466"/>
      <c r="G61" s="466"/>
      <c r="H61" s="471">
        <v>215</v>
      </c>
      <c r="I61" s="466"/>
      <c r="J61" s="464">
        <v>156</v>
      </c>
      <c r="K61" s="466"/>
      <c r="L61" s="466"/>
      <c r="M61" s="466"/>
      <c r="N61" s="466"/>
      <c r="O61" s="466"/>
      <c r="P61" s="466"/>
      <c r="Q61" s="466"/>
      <c r="R61" s="466"/>
      <c r="S61" s="13"/>
      <c r="T61" s="13"/>
      <c r="U61" s="13"/>
      <c r="V61" s="13"/>
      <c r="W61" s="13"/>
      <c r="X61" s="13">
        <v>269</v>
      </c>
      <c r="Y61" s="7"/>
      <c r="Z61" s="58"/>
      <c r="AA61" s="8">
        <f t="shared" si="3"/>
        <v>2</v>
      </c>
      <c r="AB61"/>
      <c r="AC61">
        <f t="shared" si="4"/>
        <v>1.2511627906976743</v>
      </c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s="8" customFormat="1" ht="18" customHeight="1" x14ac:dyDescent="0.2">
      <c r="A62" s="13">
        <v>2017</v>
      </c>
      <c r="B62" s="13"/>
      <c r="C62" s="13"/>
      <c r="D62" s="13"/>
      <c r="E62" s="13"/>
      <c r="F62" s="466"/>
      <c r="G62" s="464">
        <v>721</v>
      </c>
      <c r="H62" s="466"/>
      <c r="I62" s="464">
        <v>357</v>
      </c>
      <c r="J62" s="464">
        <v>761</v>
      </c>
      <c r="K62" s="466"/>
      <c r="L62" s="466"/>
      <c r="M62" s="466"/>
      <c r="N62" s="466"/>
      <c r="O62" s="465">
        <v>678</v>
      </c>
      <c r="P62" s="466"/>
      <c r="Q62" s="466"/>
      <c r="R62" s="466"/>
      <c r="S62" s="13"/>
      <c r="T62" s="13"/>
      <c r="U62" s="13"/>
      <c r="V62" s="13"/>
      <c r="W62" s="13"/>
      <c r="X62" s="13">
        <v>902</v>
      </c>
      <c r="Y62" s="7" t="s">
        <v>9</v>
      </c>
      <c r="Z62" s="58"/>
      <c r="AA62" s="8">
        <f t="shared" si="3"/>
        <v>4</v>
      </c>
      <c r="AB62"/>
      <c r="AC62">
        <f t="shared" si="4"/>
        <v>1.1852825229960577</v>
      </c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s="8" customFormat="1" ht="18" customHeight="1" x14ac:dyDescent="0.2">
      <c r="A63" s="13">
        <v>2018</v>
      </c>
      <c r="B63" s="13"/>
      <c r="C63" s="13"/>
      <c r="D63" s="13"/>
      <c r="E63" s="13"/>
      <c r="F63" s="524"/>
      <c r="G63" s="524"/>
      <c r="H63" s="524"/>
      <c r="I63" s="554">
        <v>20</v>
      </c>
      <c r="J63" s="554">
        <f>81+4</f>
        <v>85</v>
      </c>
      <c r="K63" s="1"/>
      <c r="L63" s="324">
        <v>117</v>
      </c>
      <c r="M63" s="1"/>
      <c r="N63" s="1"/>
      <c r="O63" s="324">
        <v>275</v>
      </c>
      <c r="P63" s="524"/>
      <c r="Q63" s="524"/>
      <c r="R63" s="524"/>
      <c r="S63" s="524"/>
      <c r="T63" s="13"/>
      <c r="U63" s="13"/>
      <c r="V63" s="13"/>
      <c r="W63" s="13"/>
      <c r="X63" s="13">
        <v>330</v>
      </c>
      <c r="Y63" s="7" t="s">
        <v>5</v>
      </c>
      <c r="Z63" s="58">
        <v>40</v>
      </c>
      <c r="AA63" s="8">
        <f t="shared" si="3"/>
        <v>4</v>
      </c>
      <c r="AB63"/>
      <c r="AC63">
        <f t="shared" si="4"/>
        <v>1.2</v>
      </c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s="8" customFormat="1" ht="18" customHeight="1" x14ac:dyDescent="0.2">
      <c r="A64" s="13">
        <v>2019</v>
      </c>
      <c r="B64" s="13"/>
      <c r="C64" s="13"/>
      <c r="D64" s="13"/>
      <c r="E64" s="13"/>
      <c r="F64" s="572"/>
      <c r="G64" s="464">
        <v>255</v>
      </c>
      <c r="H64" s="572"/>
      <c r="I64" s="572"/>
      <c r="J64" s="464">
        <v>9</v>
      </c>
      <c r="K64" s="591">
        <f>121+1</f>
        <v>122</v>
      </c>
      <c r="L64" s="572"/>
      <c r="M64" s="572"/>
      <c r="N64" s="572"/>
      <c r="O64" s="572"/>
      <c r="P64" s="572"/>
      <c r="Q64" s="572"/>
      <c r="R64" s="572"/>
      <c r="S64" s="572"/>
      <c r="T64" s="13"/>
      <c r="U64" s="13"/>
      <c r="V64" s="13"/>
      <c r="W64" s="13"/>
      <c r="X64" s="13">
        <v>319</v>
      </c>
      <c r="Y64" s="7" t="s">
        <v>9</v>
      </c>
      <c r="Z64" s="58"/>
      <c r="AB64"/>
      <c r="AC64">
        <f t="shared" si="4"/>
        <v>1.2509803921568627</v>
      </c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s="8" customFormat="1" ht="18" customHeight="1" x14ac:dyDescent="0.2">
      <c r="A65" s="13">
        <v>2020</v>
      </c>
      <c r="B65" s="13"/>
      <c r="C65" s="13"/>
      <c r="D65" s="13"/>
      <c r="E65" s="13"/>
      <c r="F65" s="689"/>
      <c r="G65" s="689"/>
      <c r="H65" s="689"/>
      <c r="I65" s="464">
        <v>885</v>
      </c>
      <c r="J65" s="689"/>
      <c r="K65" s="689"/>
      <c r="L65" s="689"/>
      <c r="M65" s="465">
        <v>1190</v>
      </c>
      <c r="N65" s="689"/>
      <c r="O65" s="689"/>
      <c r="P65" s="689"/>
      <c r="Q65" s="689"/>
      <c r="R65" s="689"/>
      <c r="S65" s="689"/>
      <c r="T65" s="13"/>
      <c r="U65" s="13"/>
      <c r="V65" s="13"/>
      <c r="W65" s="13"/>
      <c r="X65" s="13">
        <v>1322</v>
      </c>
      <c r="Y65" s="7" t="s">
        <v>9</v>
      </c>
      <c r="Z65" s="58"/>
      <c r="AB65"/>
      <c r="AC65">
        <f t="shared" si="4"/>
        <v>1.1109243697478992</v>
      </c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s="94" customFormat="1" ht="18" customHeight="1" x14ac:dyDescent="0.2">
      <c r="A66" s="89">
        <v>2021</v>
      </c>
      <c r="B66" s="89"/>
      <c r="C66" s="89"/>
      <c r="D66" s="89"/>
      <c r="E66" s="89"/>
      <c r="F66" s="743"/>
      <c r="G66" s="743"/>
      <c r="H66" s="743"/>
      <c r="I66" s="464">
        <v>373</v>
      </c>
      <c r="J66" s="743"/>
      <c r="K66" s="743"/>
      <c r="L66" s="743"/>
      <c r="M66" s="743"/>
      <c r="N66" s="743"/>
      <c r="O66" s="784">
        <v>1079</v>
      </c>
      <c r="P66" s="743"/>
      <c r="Q66" s="743"/>
      <c r="R66" s="743"/>
      <c r="S66" s="743"/>
      <c r="T66" s="89"/>
      <c r="U66" s="89"/>
      <c r="V66" s="89"/>
      <c r="W66" s="89"/>
      <c r="X66" s="89">
        <v>1199</v>
      </c>
      <c r="Y66" s="11"/>
      <c r="Z66" s="92"/>
      <c r="AB66" s="151"/>
      <c r="AC66">
        <f t="shared" si="4"/>
        <v>1.1112140871177016</v>
      </c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</row>
    <row r="67" spans="1:47" s="94" customFormat="1" ht="18" customHeight="1" x14ac:dyDescent="0.2">
      <c r="A67" s="89">
        <v>2022</v>
      </c>
      <c r="B67" s="89"/>
      <c r="C67" s="89"/>
      <c r="D67" s="89"/>
      <c r="E67" s="89"/>
      <c r="F67" s="743"/>
      <c r="G67" s="227"/>
      <c r="H67" s="106">
        <v>1008</v>
      </c>
      <c r="I67" s="227"/>
      <c r="J67" s="227"/>
      <c r="K67" s="106">
        <v>1176</v>
      </c>
      <c r="L67" s="743"/>
      <c r="M67" s="743"/>
      <c r="N67" s="743"/>
      <c r="O67" s="740"/>
      <c r="P67" s="514">
        <v>1763</v>
      </c>
      <c r="Q67" s="743"/>
      <c r="R67" s="743"/>
      <c r="S67" s="743"/>
      <c r="T67" s="89"/>
      <c r="U67" s="89"/>
      <c r="V67" s="89"/>
      <c r="W67" s="89"/>
      <c r="X67" s="89">
        <v>2107</v>
      </c>
      <c r="Y67" s="11"/>
      <c r="Z67" s="92"/>
      <c r="AB67" s="151"/>
      <c r="AC67">
        <f t="shared" si="4"/>
        <v>1.1951219512195121</v>
      </c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</row>
    <row r="68" spans="1:47" s="94" customFormat="1" ht="18" customHeight="1" x14ac:dyDescent="0.2">
      <c r="A68" s="89">
        <v>2023</v>
      </c>
      <c r="B68" s="89"/>
      <c r="C68" s="89"/>
      <c r="D68" s="89"/>
      <c r="E68" s="89"/>
      <c r="F68" s="743"/>
      <c r="G68" s="227"/>
      <c r="H68" s="106">
        <v>774</v>
      </c>
      <c r="I68" s="227"/>
      <c r="J68" s="106">
        <v>257</v>
      </c>
      <c r="K68" s="227"/>
      <c r="L68" s="227"/>
      <c r="M68" s="227"/>
      <c r="N68" s="227"/>
      <c r="O68" s="227"/>
      <c r="P68" s="994">
        <v>579</v>
      </c>
      <c r="Q68" s="227"/>
      <c r="R68" s="227"/>
      <c r="S68" s="743"/>
      <c r="T68" s="89"/>
      <c r="U68" s="89"/>
      <c r="V68" s="89"/>
      <c r="W68" s="89"/>
      <c r="X68" s="89"/>
      <c r="Y68" s="11"/>
      <c r="Z68" s="92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</row>
    <row r="69" spans="1:47" ht="18" customHeight="1" x14ac:dyDescent="0.2">
      <c r="A69" s="64" t="s">
        <v>17</v>
      </c>
      <c r="B69" s="16"/>
      <c r="C69" s="16"/>
      <c r="D69" s="16"/>
      <c r="E69" s="16"/>
      <c r="F69" s="16">
        <f t="shared" ref="F69:U69" si="5">AVERAGE(F40:F54)</f>
        <v>46.333333333333336</v>
      </c>
      <c r="G69" s="16">
        <f t="shared" si="5"/>
        <v>102.5</v>
      </c>
      <c r="H69" s="16">
        <f t="shared" si="5"/>
        <v>341.4</v>
      </c>
      <c r="I69" s="16">
        <f t="shared" si="5"/>
        <v>297.33333333333331</v>
      </c>
      <c r="J69" s="16">
        <f t="shared" si="5"/>
        <v>367.25</v>
      </c>
      <c r="K69" s="16">
        <f t="shared" si="5"/>
        <v>391.2</v>
      </c>
      <c r="L69" s="16">
        <f t="shared" si="5"/>
        <v>130.33333333333334</v>
      </c>
      <c r="M69" s="16">
        <f t="shared" si="5"/>
        <v>477.2</v>
      </c>
      <c r="N69" s="16">
        <f t="shared" si="5"/>
        <v>512.75</v>
      </c>
      <c r="O69" s="16">
        <f>AVERAGE(O40:O54)</f>
        <v>1355</v>
      </c>
      <c r="P69" s="16">
        <f t="shared" si="5"/>
        <v>688.5</v>
      </c>
      <c r="Q69" s="16">
        <f t="shared" si="5"/>
        <v>698.5</v>
      </c>
      <c r="R69" s="16">
        <f t="shared" si="5"/>
        <v>610</v>
      </c>
      <c r="S69" s="16">
        <f t="shared" si="5"/>
        <v>281</v>
      </c>
      <c r="T69" s="16"/>
      <c r="U69" s="16">
        <f t="shared" si="5"/>
        <v>318</v>
      </c>
      <c r="V69" s="16"/>
      <c r="W69" s="16"/>
      <c r="X69" s="16">
        <f>AVERAGE(X40:X54)</f>
        <v>1168.1333333333334</v>
      </c>
      <c r="Y69" s="17"/>
      <c r="Z69" s="16">
        <f>AVERAGE(Z40:Z54)</f>
        <v>36.31818181818182</v>
      </c>
    </row>
    <row r="70" spans="1:47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</row>
    <row r="71" spans="1:47" ht="18" customHeight="1" x14ac:dyDescent="0.2">
      <c r="A71" s="1002" t="s">
        <v>601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47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</row>
    <row r="73" spans="1:47" ht="18" customHeight="1" thickTop="1" x14ac:dyDescent="0.2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</row>
    <row r="74" spans="1:47" ht="18" customHeight="1" x14ac:dyDescent="0.2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</row>
    <row r="75" spans="1:47" ht="18" customHeight="1" x14ac:dyDescent="0.2">
      <c r="A75" s="1">
        <v>1995</v>
      </c>
      <c r="B75" s="6"/>
      <c r="C75" s="6"/>
      <c r="D75" s="6"/>
      <c r="E75" s="6"/>
      <c r="F75" s="6"/>
      <c r="G75" s="6"/>
      <c r="H75" s="6"/>
      <c r="I75" s="6">
        <v>68</v>
      </c>
      <c r="J75" s="6">
        <v>516</v>
      </c>
      <c r="K75" s="6"/>
      <c r="L75" s="6"/>
      <c r="M75" s="6"/>
      <c r="N75" s="6">
        <v>561</v>
      </c>
      <c r="O75" s="6"/>
      <c r="P75" s="6"/>
      <c r="Q75" s="6"/>
      <c r="R75" s="6"/>
      <c r="S75" s="6"/>
      <c r="T75" s="13"/>
      <c r="U75" s="13"/>
      <c r="V75" s="13"/>
      <c r="W75" s="13"/>
      <c r="X75" s="7">
        <v>834</v>
      </c>
      <c r="Y75" s="7" t="s">
        <v>5</v>
      </c>
      <c r="Z75" s="10">
        <v>30</v>
      </c>
      <c r="AA75" s="8">
        <f>COUNT(B75:W75)</f>
        <v>3</v>
      </c>
      <c r="AC75">
        <f t="shared" ref="AC75:AC102" si="6">X75/MAX(B75:W75)</f>
        <v>1.4866310160427807</v>
      </c>
    </row>
    <row r="76" spans="1:47" ht="18" customHeight="1" x14ac:dyDescent="0.2">
      <c r="A76" s="1">
        <v>1996</v>
      </c>
      <c r="B76" s="6"/>
      <c r="C76" s="6"/>
      <c r="D76" s="6"/>
      <c r="E76" s="6"/>
      <c r="F76" s="6">
        <v>6</v>
      </c>
      <c r="G76" s="6">
        <v>2</v>
      </c>
      <c r="H76" s="6">
        <v>126</v>
      </c>
      <c r="I76" s="6">
        <v>50</v>
      </c>
      <c r="J76" s="6"/>
      <c r="K76" s="6">
        <v>806</v>
      </c>
      <c r="L76" s="6"/>
      <c r="M76" s="6"/>
      <c r="N76" s="6">
        <v>459</v>
      </c>
      <c r="O76" s="6"/>
      <c r="P76" s="6"/>
      <c r="Q76" s="6"/>
      <c r="R76" s="6"/>
      <c r="S76" s="6"/>
      <c r="T76" s="13"/>
      <c r="U76" s="13"/>
      <c r="V76" s="13"/>
      <c r="W76" s="13"/>
      <c r="X76" s="7">
        <v>1201</v>
      </c>
      <c r="Y76" s="7" t="s">
        <v>5</v>
      </c>
      <c r="Z76" s="10">
        <v>20</v>
      </c>
      <c r="AA76" s="8">
        <f t="shared" ref="AA76:AA97" si="7">COUNT(B76:W76)</f>
        <v>6</v>
      </c>
      <c r="AC76">
        <f t="shared" si="6"/>
        <v>1.4900744416873448</v>
      </c>
    </row>
    <row r="77" spans="1:47" ht="18" customHeight="1" x14ac:dyDescent="0.2">
      <c r="A77" s="1">
        <v>1997</v>
      </c>
      <c r="B77" s="6"/>
      <c r="C77" s="6"/>
      <c r="D77" s="6"/>
      <c r="E77" s="6"/>
      <c r="F77" s="6">
        <v>0</v>
      </c>
      <c r="G77" s="6">
        <v>0</v>
      </c>
      <c r="H77" s="6"/>
      <c r="I77" s="6">
        <v>25</v>
      </c>
      <c r="J77" s="6"/>
      <c r="K77" s="6">
        <v>0</v>
      </c>
      <c r="L77" s="6"/>
      <c r="M77" s="6">
        <v>2021</v>
      </c>
      <c r="N77" s="6"/>
      <c r="O77" s="6"/>
      <c r="P77" s="6">
        <v>21</v>
      </c>
      <c r="Q77" s="6"/>
      <c r="R77" s="6"/>
      <c r="S77" s="6"/>
      <c r="T77" s="13"/>
      <c r="U77" s="13"/>
      <c r="V77" s="13"/>
      <c r="W77" s="13"/>
      <c r="X77" s="7">
        <v>2673</v>
      </c>
      <c r="Y77" s="7" t="s">
        <v>5</v>
      </c>
      <c r="Z77" s="10">
        <v>20</v>
      </c>
      <c r="AA77" s="8">
        <f t="shared" si="7"/>
        <v>6</v>
      </c>
      <c r="AC77">
        <f t="shared" si="6"/>
        <v>1.322612568035626</v>
      </c>
    </row>
    <row r="78" spans="1:47" ht="18" customHeight="1" x14ac:dyDescent="0.2">
      <c r="A78" s="1">
        <v>1998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>
        <v>6500</v>
      </c>
      <c r="M78" s="197">
        <v>8000</v>
      </c>
      <c r="N78" s="6"/>
      <c r="O78" s="6"/>
      <c r="P78" s="6"/>
      <c r="Q78" s="6"/>
      <c r="R78" s="6"/>
      <c r="S78" s="6"/>
      <c r="T78" s="13"/>
      <c r="U78" s="13"/>
      <c r="V78" s="13"/>
      <c r="W78" s="13"/>
      <c r="X78" s="7">
        <v>12217</v>
      </c>
      <c r="Y78" s="7" t="s">
        <v>5</v>
      </c>
      <c r="Z78" s="10">
        <v>15</v>
      </c>
      <c r="AA78" s="8">
        <f t="shared" si="7"/>
        <v>2</v>
      </c>
      <c r="AC78">
        <f t="shared" si="6"/>
        <v>1.5271250000000001</v>
      </c>
    </row>
    <row r="79" spans="1:47" ht="18" customHeight="1" x14ac:dyDescent="0.2">
      <c r="A79" s="1">
        <v>1999</v>
      </c>
      <c r="B79" s="6"/>
      <c r="C79" s="6"/>
      <c r="D79" s="6"/>
      <c r="E79" s="6"/>
      <c r="F79" s="6"/>
      <c r="G79" s="6"/>
      <c r="H79" s="6"/>
      <c r="I79" s="6">
        <v>265</v>
      </c>
      <c r="J79" s="6"/>
      <c r="K79" s="6">
        <v>118</v>
      </c>
      <c r="L79" s="6"/>
      <c r="M79" s="6">
        <v>2234</v>
      </c>
      <c r="N79" s="6"/>
      <c r="O79" s="6"/>
      <c r="P79" s="6"/>
      <c r="Q79" s="6"/>
      <c r="R79" s="6"/>
      <c r="S79" s="6"/>
      <c r="T79" s="13"/>
      <c r="U79" s="13"/>
      <c r="V79" s="13"/>
      <c r="W79" s="13"/>
      <c r="X79" s="9">
        <v>4383</v>
      </c>
      <c r="Y79" s="7" t="s">
        <v>5</v>
      </c>
      <c r="Z79" s="60">
        <v>12.5</v>
      </c>
      <c r="AA79" s="8">
        <f t="shared" si="7"/>
        <v>3</v>
      </c>
      <c r="AC79">
        <f t="shared" si="6"/>
        <v>1.9619516562220232</v>
      </c>
    </row>
    <row r="80" spans="1:47" ht="18" customHeight="1" x14ac:dyDescent="0.2">
      <c r="A80" s="1">
        <v>2000</v>
      </c>
      <c r="B80" s="6"/>
      <c r="C80" s="6"/>
      <c r="D80" s="6"/>
      <c r="E80" s="6"/>
      <c r="F80" s="6"/>
      <c r="G80" s="6"/>
      <c r="H80" s="6"/>
      <c r="I80" s="6"/>
      <c r="J80" s="6"/>
      <c r="K80" s="6">
        <v>60</v>
      </c>
      <c r="L80" s="6"/>
      <c r="M80" s="6"/>
      <c r="N80" s="6">
        <v>130</v>
      </c>
      <c r="O80" s="6">
        <v>16</v>
      </c>
      <c r="P80" s="6">
        <v>12</v>
      </c>
      <c r="Q80" s="6">
        <v>31</v>
      </c>
      <c r="R80" s="6"/>
      <c r="S80" s="6"/>
      <c r="T80" s="13"/>
      <c r="U80" s="13">
        <v>0</v>
      </c>
      <c r="V80" s="13"/>
      <c r="W80" s="13"/>
      <c r="X80" s="10">
        <v>1642</v>
      </c>
      <c r="Y80" s="7" t="s">
        <v>7</v>
      </c>
      <c r="Z80" s="60"/>
      <c r="AA80" s="8">
        <f t="shared" si="7"/>
        <v>6</v>
      </c>
      <c r="AC80">
        <f t="shared" si="6"/>
        <v>12.63076923076923</v>
      </c>
    </row>
    <row r="81" spans="1:47" ht="18" customHeight="1" x14ac:dyDescent="0.2">
      <c r="A81" s="1">
        <v>2001</v>
      </c>
      <c r="B81" s="6"/>
      <c r="C81" s="6"/>
      <c r="D81" s="6"/>
      <c r="E81" s="6"/>
      <c r="F81" s="6"/>
      <c r="G81" s="6"/>
      <c r="H81" s="6"/>
      <c r="I81" s="6">
        <v>16</v>
      </c>
      <c r="J81" s="6"/>
      <c r="K81" s="6"/>
      <c r="L81" s="6">
        <v>1300</v>
      </c>
      <c r="M81" s="6"/>
      <c r="N81" s="6">
        <v>1522</v>
      </c>
      <c r="O81" s="6"/>
      <c r="P81" s="6"/>
      <c r="Q81" s="6">
        <v>0</v>
      </c>
      <c r="R81" s="6"/>
      <c r="S81" s="6"/>
      <c r="T81" s="13"/>
      <c r="U81" s="13"/>
      <c r="V81" s="13"/>
      <c r="W81" s="13"/>
      <c r="X81" s="7">
        <v>4332</v>
      </c>
      <c r="Y81" s="7" t="s">
        <v>5</v>
      </c>
      <c r="Z81" s="60">
        <v>15</v>
      </c>
      <c r="AA81" s="8">
        <f t="shared" si="7"/>
        <v>4</v>
      </c>
      <c r="AC81">
        <f t="shared" si="6"/>
        <v>2.8462549277266755</v>
      </c>
    </row>
    <row r="82" spans="1:47" ht="18" customHeight="1" x14ac:dyDescent="0.2">
      <c r="A82" s="1">
        <v>2002</v>
      </c>
      <c r="B82" s="6"/>
      <c r="C82" s="6"/>
      <c r="D82" s="6"/>
      <c r="E82" s="6"/>
      <c r="F82" s="6"/>
      <c r="G82" s="6"/>
      <c r="H82" s="466"/>
      <c r="I82" s="464">
        <v>79</v>
      </c>
      <c r="J82" s="466"/>
      <c r="K82" s="464">
        <v>594</v>
      </c>
      <c r="L82" s="466"/>
      <c r="M82" s="466"/>
      <c r="N82" s="469">
        <v>630</v>
      </c>
      <c r="O82" s="466"/>
      <c r="P82" s="466"/>
      <c r="Q82" s="466"/>
      <c r="R82" s="469">
        <v>0</v>
      </c>
      <c r="S82" s="465">
        <v>0</v>
      </c>
      <c r="T82" s="13"/>
      <c r="U82" s="13"/>
      <c r="V82" s="13"/>
      <c r="W82" s="13"/>
      <c r="X82" s="7">
        <v>3346</v>
      </c>
      <c r="Y82" s="7" t="s">
        <v>5</v>
      </c>
      <c r="Z82" s="60">
        <v>10</v>
      </c>
      <c r="AA82" s="8">
        <f t="shared" si="7"/>
        <v>5</v>
      </c>
      <c r="AC82">
        <f t="shared" si="6"/>
        <v>5.3111111111111109</v>
      </c>
    </row>
    <row r="83" spans="1:47" ht="18" customHeight="1" x14ac:dyDescent="0.2">
      <c r="A83" s="1">
        <v>2003</v>
      </c>
      <c r="B83" s="6"/>
      <c r="C83" s="6"/>
      <c r="D83" s="6"/>
      <c r="E83" s="6"/>
      <c r="F83" s="6"/>
      <c r="G83" s="6"/>
      <c r="H83" s="464">
        <v>44</v>
      </c>
      <c r="I83" s="466"/>
      <c r="J83" s="464">
        <v>185</v>
      </c>
      <c r="K83" s="466"/>
      <c r="L83" s="466"/>
      <c r="M83" s="466"/>
      <c r="N83" s="469">
        <v>1949</v>
      </c>
      <c r="O83" s="466"/>
      <c r="P83" s="466"/>
      <c r="Q83" s="466"/>
      <c r="R83" s="466"/>
      <c r="S83" s="465">
        <v>0</v>
      </c>
      <c r="T83" s="13"/>
      <c r="U83" s="13"/>
      <c r="V83" s="13"/>
      <c r="W83" s="13"/>
      <c r="X83" s="7">
        <v>3119</v>
      </c>
      <c r="Y83" s="7" t="s">
        <v>5</v>
      </c>
      <c r="Z83" s="60">
        <v>12</v>
      </c>
      <c r="AA83" s="8">
        <f t="shared" si="7"/>
        <v>4</v>
      </c>
      <c r="AC83">
        <f t="shared" si="6"/>
        <v>1.6003078501795793</v>
      </c>
    </row>
    <row r="84" spans="1:47" ht="18" customHeight="1" x14ac:dyDescent="0.2">
      <c r="A84" s="1">
        <v>2004</v>
      </c>
      <c r="B84" s="6"/>
      <c r="C84" s="6"/>
      <c r="D84" s="6"/>
      <c r="E84" s="6"/>
      <c r="F84" s="6"/>
      <c r="G84" s="6"/>
      <c r="H84" s="466"/>
      <c r="I84" s="466"/>
      <c r="J84" s="464">
        <v>235</v>
      </c>
      <c r="K84" s="466"/>
      <c r="L84" s="466"/>
      <c r="M84" s="464">
        <v>1866</v>
      </c>
      <c r="N84" s="466"/>
      <c r="O84" s="466"/>
      <c r="P84" s="465">
        <v>0</v>
      </c>
      <c r="Q84" s="466"/>
      <c r="R84" s="466"/>
      <c r="S84" s="466"/>
      <c r="T84" s="13"/>
      <c r="U84" s="13"/>
      <c r="V84" s="13"/>
      <c r="W84" s="13"/>
      <c r="X84" s="7">
        <v>3959</v>
      </c>
      <c r="Y84" s="7" t="s">
        <v>9</v>
      </c>
      <c r="Z84" s="60"/>
      <c r="AA84" s="8">
        <f t="shared" si="7"/>
        <v>3</v>
      </c>
      <c r="AC84">
        <f t="shared" si="6"/>
        <v>2.1216505894962485</v>
      </c>
    </row>
    <row r="85" spans="1:47" ht="18" customHeight="1" x14ac:dyDescent="0.2">
      <c r="A85" s="1">
        <v>2005</v>
      </c>
      <c r="B85" s="6"/>
      <c r="C85" s="6"/>
      <c r="D85" s="6"/>
      <c r="E85" s="6"/>
      <c r="F85" s="6"/>
      <c r="G85" s="6"/>
      <c r="H85" s="6"/>
      <c r="I85" s="6">
        <v>68</v>
      </c>
      <c r="J85" s="6"/>
      <c r="K85" s="6"/>
      <c r="L85" s="6"/>
      <c r="M85" s="6"/>
      <c r="N85" s="6"/>
      <c r="O85" s="6"/>
      <c r="P85" s="6"/>
      <c r="Q85" s="6"/>
      <c r="R85" s="6">
        <v>0</v>
      </c>
      <c r="S85" s="6"/>
      <c r="T85" s="13"/>
      <c r="U85" s="13"/>
      <c r="V85" s="13"/>
      <c r="W85" s="13"/>
      <c r="X85" s="11">
        <v>97</v>
      </c>
      <c r="Y85" s="7" t="s">
        <v>9</v>
      </c>
      <c r="Z85" s="60"/>
      <c r="AA85" s="8">
        <f t="shared" si="7"/>
        <v>2</v>
      </c>
      <c r="AC85">
        <f t="shared" si="6"/>
        <v>1.4264705882352942</v>
      </c>
    </row>
    <row r="86" spans="1:47" ht="18" customHeight="1" x14ac:dyDescent="0.2">
      <c r="A86" s="1">
        <v>2006</v>
      </c>
      <c r="B86" s="6"/>
      <c r="C86" s="6"/>
      <c r="D86" s="6"/>
      <c r="E86" s="6"/>
      <c r="F86" s="6"/>
      <c r="G86" s="6"/>
      <c r="H86" s="6">
        <v>394</v>
      </c>
      <c r="I86" s="6"/>
      <c r="J86" s="6">
        <v>498</v>
      </c>
      <c r="K86" s="6"/>
      <c r="L86" s="6"/>
      <c r="M86" s="6">
        <v>3215</v>
      </c>
      <c r="N86" s="6"/>
      <c r="O86" s="6"/>
      <c r="P86" s="6"/>
      <c r="Q86" s="6"/>
      <c r="R86" s="6"/>
      <c r="S86" s="6">
        <v>3</v>
      </c>
      <c r="T86" s="13"/>
      <c r="U86" s="13"/>
      <c r="V86" s="13"/>
      <c r="W86" s="13"/>
      <c r="X86" s="12">
        <v>9036</v>
      </c>
      <c r="Y86" s="7" t="s">
        <v>5</v>
      </c>
      <c r="Z86" s="53">
        <v>12</v>
      </c>
      <c r="AA86" s="8">
        <f t="shared" si="7"/>
        <v>4</v>
      </c>
      <c r="AC86">
        <f t="shared" si="6"/>
        <v>2.8105754276827373</v>
      </c>
    </row>
    <row r="87" spans="1:47" ht="18" customHeight="1" x14ac:dyDescent="0.2">
      <c r="A87" s="1">
        <v>2007</v>
      </c>
      <c r="B87" s="6"/>
      <c r="C87" s="6"/>
      <c r="D87" s="6"/>
      <c r="E87" s="6"/>
      <c r="F87" s="6"/>
      <c r="G87" s="6">
        <v>2</v>
      </c>
      <c r="H87" s="6"/>
      <c r="I87" s="6"/>
      <c r="J87" s="6"/>
      <c r="K87" s="6"/>
      <c r="L87" s="6"/>
      <c r="M87" s="6"/>
      <c r="N87" s="6">
        <v>112</v>
      </c>
      <c r="O87" s="6"/>
      <c r="P87" s="6"/>
      <c r="Q87" s="6">
        <v>1</v>
      </c>
      <c r="R87" s="6"/>
      <c r="S87" s="6"/>
      <c r="T87" s="13"/>
      <c r="U87" s="13"/>
      <c r="V87" s="13"/>
      <c r="W87" s="13"/>
      <c r="X87" s="12">
        <v>323</v>
      </c>
      <c r="Y87" s="7" t="s">
        <v>5</v>
      </c>
      <c r="Z87" s="60">
        <v>12</v>
      </c>
      <c r="AA87" s="8">
        <f t="shared" si="7"/>
        <v>3</v>
      </c>
      <c r="AC87">
        <f t="shared" si="6"/>
        <v>2.8839285714285716</v>
      </c>
    </row>
    <row r="88" spans="1:47" s="55" customFormat="1" ht="18" customHeight="1" x14ac:dyDescent="0.2">
      <c r="A88" s="13">
        <v>2008</v>
      </c>
      <c r="B88" s="13"/>
      <c r="C88" s="13"/>
      <c r="D88" s="13"/>
      <c r="E88" s="13"/>
      <c r="F88" s="13">
        <v>0</v>
      </c>
      <c r="G88" s="13">
        <v>0</v>
      </c>
      <c r="H88" s="13">
        <v>3</v>
      </c>
      <c r="I88" s="13">
        <v>29</v>
      </c>
      <c r="J88" s="13"/>
      <c r="K88" s="13"/>
      <c r="L88" s="13"/>
      <c r="M88" s="13"/>
      <c r="N88" s="13">
        <v>309</v>
      </c>
      <c r="O88" s="13"/>
      <c r="P88" s="13"/>
      <c r="Q88" s="13"/>
      <c r="R88" s="13">
        <v>10</v>
      </c>
      <c r="S88" s="13"/>
      <c r="T88" s="13"/>
      <c r="U88" s="13"/>
      <c r="V88" s="13"/>
      <c r="W88" s="13"/>
      <c r="X88" s="13">
        <v>525</v>
      </c>
      <c r="Y88" s="7" t="s">
        <v>5</v>
      </c>
      <c r="Z88" s="58">
        <v>20</v>
      </c>
      <c r="AA88" s="8">
        <f t="shared" si="7"/>
        <v>6</v>
      </c>
      <c r="AB88"/>
      <c r="AC88">
        <f t="shared" si="6"/>
        <v>1.6990291262135921</v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ht="18" customHeight="1" x14ac:dyDescent="0.2">
      <c r="A89" s="13">
        <v>2009</v>
      </c>
      <c r="B89" s="13"/>
      <c r="C89" s="13"/>
      <c r="D89" s="13"/>
      <c r="E89" s="13"/>
      <c r="F89" s="13"/>
      <c r="G89" s="13"/>
      <c r="H89" s="13">
        <v>3</v>
      </c>
      <c r="I89" s="13">
        <v>31</v>
      </c>
      <c r="J89" s="13"/>
      <c r="K89" s="13">
        <v>174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>
        <v>205</v>
      </c>
      <c r="Y89" s="7" t="s">
        <v>9</v>
      </c>
      <c r="Z89" s="58"/>
      <c r="AA89" s="8">
        <f t="shared" si="7"/>
        <v>3</v>
      </c>
      <c r="AC89">
        <f t="shared" si="6"/>
        <v>1.1781609195402298</v>
      </c>
    </row>
    <row r="90" spans="1:47" ht="18" customHeight="1" x14ac:dyDescent="0.2">
      <c r="A90" s="13">
        <v>2010</v>
      </c>
      <c r="B90" s="13"/>
      <c r="C90" s="13"/>
      <c r="D90" s="13"/>
      <c r="E90" s="13"/>
      <c r="F90" s="13"/>
      <c r="G90" s="13"/>
      <c r="H90" s="13"/>
      <c r="I90" s="13"/>
      <c r="J90" s="13"/>
      <c r="K90" s="13">
        <v>410</v>
      </c>
      <c r="L90" s="13"/>
      <c r="M90" s="13"/>
      <c r="N90" s="13"/>
      <c r="O90" s="13"/>
      <c r="P90" s="13"/>
      <c r="Q90" s="13"/>
      <c r="R90" s="13"/>
      <c r="S90" s="13"/>
      <c r="T90" s="13">
        <v>0</v>
      </c>
      <c r="U90" s="13"/>
      <c r="V90" s="13"/>
      <c r="W90" s="13"/>
      <c r="X90" s="13"/>
      <c r="Y90" s="7"/>
      <c r="Z90" s="58"/>
      <c r="AA90" s="8">
        <f t="shared" si="7"/>
        <v>2</v>
      </c>
      <c r="AC90">
        <f t="shared" si="6"/>
        <v>0</v>
      </c>
    </row>
    <row r="91" spans="1:47" ht="18" customHeight="1" x14ac:dyDescent="0.2">
      <c r="A91" s="13">
        <v>2011</v>
      </c>
      <c r="B91" s="13"/>
      <c r="C91" s="13"/>
      <c r="D91" s="13"/>
      <c r="E91" s="13"/>
      <c r="F91" s="466"/>
      <c r="G91" s="464">
        <v>9</v>
      </c>
      <c r="H91" s="464">
        <v>152</v>
      </c>
      <c r="I91" s="466"/>
      <c r="J91" s="466"/>
      <c r="K91" s="466"/>
      <c r="L91" s="466"/>
      <c r="M91" s="464">
        <v>4424</v>
      </c>
      <c r="N91" s="466"/>
      <c r="O91" s="466"/>
      <c r="P91" s="466"/>
      <c r="Q91" s="465">
        <v>0</v>
      </c>
      <c r="R91" s="466"/>
      <c r="S91" s="13"/>
      <c r="T91" s="13"/>
      <c r="U91" s="13"/>
      <c r="V91" s="13"/>
      <c r="W91" s="13"/>
      <c r="X91" s="13">
        <v>4700</v>
      </c>
      <c r="Y91" s="7" t="s">
        <v>9</v>
      </c>
      <c r="Z91" s="58"/>
      <c r="AA91" s="8">
        <f t="shared" si="7"/>
        <v>4</v>
      </c>
      <c r="AC91">
        <f t="shared" si="6"/>
        <v>1.0623869801084991</v>
      </c>
    </row>
    <row r="92" spans="1:47" ht="18" customHeight="1" x14ac:dyDescent="0.2">
      <c r="A92" s="13">
        <v>2012</v>
      </c>
      <c r="B92" s="13"/>
      <c r="C92" s="13"/>
      <c r="D92" s="13"/>
      <c r="E92" s="13"/>
      <c r="F92" s="464">
        <v>7</v>
      </c>
      <c r="G92" s="464">
        <v>13</v>
      </c>
      <c r="H92" s="464">
        <v>109</v>
      </c>
      <c r="I92" s="466"/>
      <c r="J92" s="464">
        <v>508</v>
      </c>
      <c r="K92" s="466"/>
      <c r="L92" s="471">
        <v>828</v>
      </c>
      <c r="M92" s="464">
        <v>148</v>
      </c>
      <c r="N92" s="466"/>
      <c r="O92" s="464">
        <v>1</v>
      </c>
      <c r="P92" s="466"/>
      <c r="Q92" s="466"/>
      <c r="R92" s="464">
        <v>0</v>
      </c>
      <c r="S92" s="13"/>
      <c r="T92" s="13"/>
      <c r="U92" s="13"/>
      <c r="V92" s="13"/>
      <c r="W92" s="13"/>
      <c r="X92" s="13">
        <v>1558</v>
      </c>
      <c r="Y92" s="7" t="s">
        <v>5</v>
      </c>
      <c r="Z92" s="58">
        <v>15</v>
      </c>
      <c r="AA92" s="8">
        <f t="shared" si="7"/>
        <v>8</v>
      </c>
      <c r="AC92">
        <f t="shared" si="6"/>
        <v>1.8816425120772946</v>
      </c>
    </row>
    <row r="93" spans="1:47" ht="18" customHeight="1" x14ac:dyDescent="0.2">
      <c r="A93" s="13">
        <v>2013</v>
      </c>
      <c r="B93" s="13"/>
      <c r="C93" s="13"/>
      <c r="D93" s="13"/>
      <c r="E93" s="13"/>
      <c r="F93" s="464">
        <v>2</v>
      </c>
      <c r="G93" s="464">
        <v>8</v>
      </c>
      <c r="H93" s="466"/>
      <c r="I93" s="466"/>
      <c r="J93" s="466"/>
      <c r="K93" s="464">
        <v>87</v>
      </c>
      <c r="L93" s="466"/>
      <c r="M93" s="464">
        <v>458</v>
      </c>
      <c r="N93" s="464">
        <v>440</v>
      </c>
      <c r="O93" s="464">
        <v>561</v>
      </c>
      <c r="P93" s="466"/>
      <c r="Q93" s="465">
        <v>5</v>
      </c>
      <c r="R93" s="466"/>
      <c r="S93" s="13"/>
      <c r="T93" s="13"/>
      <c r="U93" s="13"/>
      <c r="V93" s="13"/>
      <c r="W93" s="13"/>
      <c r="X93" s="13">
        <v>1065</v>
      </c>
      <c r="Y93" s="7" t="s">
        <v>5</v>
      </c>
      <c r="Z93" s="58">
        <v>20</v>
      </c>
      <c r="AA93" s="8">
        <f t="shared" si="7"/>
        <v>7</v>
      </c>
      <c r="AC93">
        <f t="shared" si="6"/>
        <v>1.8983957219251337</v>
      </c>
    </row>
    <row r="94" spans="1:47" ht="18" customHeight="1" x14ac:dyDescent="0.2">
      <c r="A94" s="13">
        <v>2014</v>
      </c>
      <c r="B94" s="13"/>
      <c r="C94" s="13"/>
      <c r="D94" s="13"/>
      <c r="E94" s="13"/>
      <c r="F94" s="466"/>
      <c r="G94" s="464">
        <v>0</v>
      </c>
      <c r="H94" s="466"/>
      <c r="I94" s="464">
        <v>309</v>
      </c>
      <c r="J94" s="466"/>
      <c r="K94" s="471">
        <v>948</v>
      </c>
      <c r="L94" s="466"/>
      <c r="M94" s="466"/>
      <c r="N94" s="466"/>
      <c r="O94" s="466"/>
      <c r="P94" s="464">
        <v>0</v>
      </c>
      <c r="Q94" s="465">
        <v>1</v>
      </c>
      <c r="R94" s="466"/>
      <c r="S94" s="13"/>
      <c r="T94" s="13"/>
      <c r="U94" s="13"/>
      <c r="V94" s="13"/>
      <c r="W94" s="13"/>
      <c r="X94" s="13">
        <v>1061</v>
      </c>
      <c r="Y94" s="7" t="s">
        <v>9</v>
      </c>
      <c r="Z94" s="58"/>
      <c r="AA94" s="8">
        <f t="shared" si="7"/>
        <v>5</v>
      </c>
      <c r="AC94">
        <f t="shared" si="6"/>
        <v>1.119198312236287</v>
      </c>
    </row>
    <row r="95" spans="1:47" ht="18" customHeight="1" x14ac:dyDescent="0.2">
      <c r="A95" s="13">
        <v>2015</v>
      </c>
      <c r="B95" s="13"/>
      <c r="C95" s="13"/>
      <c r="D95" s="13"/>
      <c r="E95" s="13"/>
      <c r="F95" s="466"/>
      <c r="G95" s="464">
        <v>5</v>
      </c>
      <c r="H95" s="464">
        <v>86</v>
      </c>
      <c r="I95" s="466"/>
      <c r="J95" s="464">
        <v>113</v>
      </c>
      <c r="K95" s="464">
        <v>378</v>
      </c>
      <c r="L95" s="466"/>
      <c r="M95" s="464">
        <v>161</v>
      </c>
      <c r="N95" s="466"/>
      <c r="O95" s="466"/>
      <c r="P95" s="466"/>
      <c r="Q95" s="466"/>
      <c r="R95" s="466"/>
      <c r="S95" s="13"/>
      <c r="T95" s="13"/>
      <c r="U95" s="13"/>
      <c r="V95" s="13"/>
      <c r="W95" s="13"/>
      <c r="X95" s="13">
        <v>619</v>
      </c>
      <c r="Y95" s="7" t="s">
        <v>5</v>
      </c>
      <c r="Z95" s="58">
        <v>15</v>
      </c>
      <c r="AA95" s="8">
        <f t="shared" si="7"/>
        <v>5</v>
      </c>
      <c r="AC95">
        <f t="shared" si="6"/>
        <v>1.6375661375661377</v>
      </c>
    </row>
    <row r="96" spans="1:47" ht="18" customHeight="1" x14ac:dyDescent="0.2">
      <c r="A96" s="13">
        <v>2016</v>
      </c>
      <c r="B96" s="13"/>
      <c r="C96" s="13"/>
      <c r="D96" s="13"/>
      <c r="E96" s="13"/>
      <c r="F96" s="466"/>
      <c r="G96" s="466"/>
      <c r="H96" s="464">
        <v>26</v>
      </c>
      <c r="I96" s="466"/>
      <c r="J96" s="464">
        <v>341</v>
      </c>
      <c r="K96" s="466"/>
      <c r="L96" s="466"/>
      <c r="M96" s="466"/>
      <c r="N96" s="466"/>
      <c r="O96" s="466"/>
      <c r="P96" s="466"/>
      <c r="Q96" s="466"/>
      <c r="R96" s="466"/>
      <c r="S96" s="13"/>
      <c r="T96" s="13"/>
      <c r="U96" s="13"/>
      <c r="V96" s="13"/>
      <c r="W96" s="13"/>
      <c r="X96" s="13">
        <v>383</v>
      </c>
      <c r="Y96" s="7"/>
      <c r="Z96" s="58"/>
      <c r="AA96" s="8">
        <f t="shared" si="7"/>
        <v>2</v>
      </c>
      <c r="AC96">
        <f t="shared" si="6"/>
        <v>1.1231671554252198</v>
      </c>
    </row>
    <row r="97" spans="1:47" ht="18" customHeight="1" x14ac:dyDescent="0.2">
      <c r="A97" s="13">
        <v>2017</v>
      </c>
      <c r="B97" s="13"/>
      <c r="C97" s="13"/>
      <c r="D97" s="13"/>
      <c r="E97" s="13"/>
      <c r="F97" s="466"/>
      <c r="G97" s="464">
        <v>36</v>
      </c>
      <c r="H97" s="466"/>
      <c r="I97" s="464">
        <v>156</v>
      </c>
      <c r="J97" s="464">
        <v>308</v>
      </c>
      <c r="K97" s="466"/>
      <c r="L97" s="466"/>
      <c r="M97" s="466"/>
      <c r="N97" s="466"/>
      <c r="O97" s="465">
        <v>0</v>
      </c>
      <c r="P97" s="466"/>
      <c r="Q97" s="466"/>
      <c r="R97" s="466"/>
      <c r="S97" s="13"/>
      <c r="T97" s="13"/>
      <c r="U97" s="13"/>
      <c r="V97" s="13"/>
      <c r="W97" s="13"/>
      <c r="X97" s="13">
        <v>412</v>
      </c>
      <c r="Y97" s="7" t="s">
        <v>9</v>
      </c>
      <c r="Z97" s="58"/>
      <c r="AA97" s="8">
        <f t="shared" si="7"/>
        <v>4</v>
      </c>
      <c r="AC97">
        <f t="shared" si="6"/>
        <v>1.3376623376623376</v>
      </c>
    </row>
    <row r="98" spans="1:47" ht="18" customHeight="1" x14ac:dyDescent="0.2">
      <c r="A98" s="13">
        <v>2018</v>
      </c>
      <c r="B98" s="13"/>
      <c r="C98" s="13"/>
      <c r="D98" s="13"/>
      <c r="E98" s="13"/>
      <c r="F98" s="13"/>
      <c r="G98" s="13"/>
      <c r="H98" s="13"/>
      <c r="I98" s="554">
        <v>1</v>
      </c>
      <c r="J98" s="537">
        <f>21</f>
        <v>21</v>
      </c>
      <c r="K98" s="1"/>
      <c r="L98" s="324">
        <v>0</v>
      </c>
      <c r="M98" s="1"/>
      <c r="N98" s="1"/>
      <c r="O98" s="324">
        <v>0</v>
      </c>
      <c r="P98" s="524"/>
      <c r="Q98" s="524"/>
      <c r="R98" s="524"/>
      <c r="S98" s="13"/>
      <c r="T98" s="13"/>
      <c r="U98" s="13"/>
      <c r="V98" s="13"/>
      <c r="W98" s="13"/>
      <c r="X98" s="13">
        <v>26</v>
      </c>
      <c r="Y98" s="7" t="s">
        <v>9</v>
      </c>
      <c r="Z98" s="58"/>
      <c r="AA98" s="8"/>
      <c r="AC98">
        <f t="shared" si="6"/>
        <v>1.2380952380952381</v>
      </c>
    </row>
    <row r="99" spans="1:47" ht="18" customHeight="1" x14ac:dyDescent="0.2">
      <c r="A99" s="13">
        <v>2019</v>
      </c>
      <c r="B99" s="13"/>
      <c r="C99" s="13"/>
      <c r="D99" s="13"/>
      <c r="E99" s="13"/>
      <c r="F99" s="13"/>
      <c r="G99" s="464">
        <v>0</v>
      </c>
      <c r="H99" s="13"/>
      <c r="I99" s="13"/>
      <c r="J99" s="590">
        <v>44</v>
      </c>
      <c r="K99" s="591">
        <v>29</v>
      </c>
      <c r="L99" s="13"/>
      <c r="M99" s="13"/>
      <c r="N99" s="13"/>
      <c r="O99" s="13"/>
      <c r="P99" s="13"/>
      <c r="Q99" s="572"/>
      <c r="R99" s="572"/>
      <c r="S99" s="13"/>
      <c r="T99" s="13"/>
      <c r="U99" s="13"/>
      <c r="V99" s="13"/>
      <c r="W99" s="13"/>
      <c r="X99" s="13">
        <v>55</v>
      </c>
      <c r="Y99" s="7" t="s">
        <v>9</v>
      </c>
      <c r="Z99" s="58"/>
      <c r="AA99" s="8"/>
      <c r="AC99">
        <f t="shared" si="6"/>
        <v>1.25</v>
      </c>
    </row>
    <row r="100" spans="1:47" ht="18" customHeight="1" x14ac:dyDescent="0.2">
      <c r="A100" s="13">
        <v>2020</v>
      </c>
      <c r="B100" s="13"/>
      <c r="C100" s="13"/>
      <c r="D100" s="13"/>
      <c r="E100" s="13"/>
      <c r="F100" s="13"/>
      <c r="G100" s="13"/>
      <c r="H100" s="13"/>
      <c r="I100" s="109">
        <v>9</v>
      </c>
      <c r="J100" s="13"/>
      <c r="K100" s="13"/>
      <c r="L100" s="13"/>
      <c r="M100" s="728">
        <v>0</v>
      </c>
      <c r="N100" s="13"/>
      <c r="O100" s="13"/>
      <c r="P100" s="13"/>
      <c r="Q100" s="689"/>
      <c r="R100" s="689"/>
      <c r="S100" s="13"/>
      <c r="T100" s="13"/>
      <c r="U100" s="13"/>
      <c r="V100" s="13"/>
      <c r="W100" s="13"/>
      <c r="X100" s="13">
        <v>10</v>
      </c>
      <c r="Y100" s="7"/>
      <c r="Z100" s="58"/>
      <c r="AA100" s="8"/>
      <c r="AC100">
        <f t="shared" si="6"/>
        <v>1.1111111111111112</v>
      </c>
    </row>
    <row r="101" spans="1:47" s="150" customFormat="1" ht="18" customHeight="1" x14ac:dyDescent="0.2">
      <c r="A101" s="89">
        <v>2021</v>
      </c>
      <c r="B101" s="89"/>
      <c r="C101" s="89"/>
      <c r="D101" s="89"/>
      <c r="E101" s="89"/>
      <c r="F101" s="89"/>
      <c r="G101" s="89"/>
      <c r="H101" s="89"/>
      <c r="I101" s="109">
        <v>47</v>
      </c>
      <c r="J101" s="89"/>
      <c r="K101" s="89"/>
      <c r="L101" s="89"/>
      <c r="M101" s="89"/>
      <c r="N101" s="89"/>
      <c r="O101" s="514">
        <v>0</v>
      </c>
      <c r="P101" s="89"/>
      <c r="Q101" s="743"/>
      <c r="R101" s="743"/>
      <c r="S101" s="89"/>
      <c r="T101" s="89"/>
      <c r="U101" s="89"/>
      <c r="V101" s="89"/>
      <c r="W101" s="89"/>
      <c r="X101" s="89">
        <v>52</v>
      </c>
      <c r="Y101" s="11"/>
      <c r="Z101" s="92"/>
      <c r="AA101" s="94"/>
      <c r="AB101" s="151"/>
      <c r="AC101">
        <f t="shared" si="6"/>
        <v>1.1063829787234043</v>
      </c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</row>
    <row r="102" spans="1:47" s="150" customFormat="1" ht="18" customHeight="1" x14ac:dyDescent="0.2">
      <c r="A102" s="89">
        <v>2022</v>
      </c>
      <c r="B102" s="89"/>
      <c r="C102" s="89"/>
      <c r="D102" s="89"/>
      <c r="E102" s="89"/>
      <c r="F102" s="89"/>
      <c r="G102" s="89"/>
      <c r="H102" s="109">
        <v>1</v>
      </c>
      <c r="I102" s="89"/>
      <c r="J102" s="89"/>
      <c r="K102" s="109">
        <v>104</v>
      </c>
      <c r="L102" s="89"/>
      <c r="M102" s="89"/>
      <c r="N102" s="89"/>
      <c r="O102" s="227"/>
      <c r="P102" s="728">
        <v>0</v>
      </c>
      <c r="Q102" s="743"/>
      <c r="R102" s="743"/>
      <c r="S102" s="89"/>
      <c r="T102" s="89"/>
      <c r="U102" s="89"/>
      <c r="V102" s="89"/>
      <c r="W102" s="89"/>
      <c r="X102" s="89">
        <v>118</v>
      </c>
      <c r="Y102" s="11"/>
      <c r="Z102" s="92"/>
      <c r="AA102" s="94"/>
      <c r="AB102" s="151"/>
      <c r="AC102">
        <f t="shared" si="6"/>
        <v>1.1346153846153846</v>
      </c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</row>
    <row r="103" spans="1:47" s="150" customFormat="1" ht="18" customHeight="1" x14ac:dyDescent="0.2">
      <c r="A103" s="89">
        <v>2023</v>
      </c>
      <c r="B103" s="89"/>
      <c r="C103" s="89"/>
      <c r="D103" s="89"/>
      <c r="E103" s="89"/>
      <c r="F103" s="89"/>
      <c r="G103" s="89"/>
      <c r="H103" s="109">
        <v>10</v>
      </c>
      <c r="I103" s="89"/>
      <c r="J103" s="590">
        <v>182</v>
      </c>
      <c r="K103" s="89"/>
      <c r="L103" s="89"/>
      <c r="M103" s="89"/>
      <c r="N103" s="89"/>
      <c r="O103" s="89"/>
      <c r="P103" s="728">
        <v>0</v>
      </c>
      <c r="Q103" s="743"/>
      <c r="R103" s="743"/>
      <c r="S103" s="89"/>
      <c r="T103" s="89"/>
      <c r="U103" s="89"/>
      <c r="V103" s="89"/>
      <c r="W103" s="89"/>
      <c r="X103" s="89"/>
      <c r="Y103" s="11"/>
      <c r="Z103" s="92"/>
      <c r="AA103" s="94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</row>
    <row r="104" spans="1:47" ht="18" customHeight="1" x14ac:dyDescent="0.2">
      <c r="A104" s="64" t="s">
        <v>17</v>
      </c>
      <c r="B104" s="16"/>
      <c r="C104" s="16"/>
      <c r="D104" s="16"/>
      <c r="E104" s="16"/>
      <c r="F104" s="16">
        <f t="shared" ref="F104:U104" si="8">AVERAGE(F75:F89)</f>
        <v>2</v>
      </c>
      <c r="G104" s="16">
        <f t="shared" si="8"/>
        <v>1</v>
      </c>
      <c r="H104" s="16">
        <f t="shared" si="8"/>
        <v>114</v>
      </c>
      <c r="I104" s="16">
        <f t="shared" si="8"/>
        <v>70.111111111111114</v>
      </c>
      <c r="J104" s="16">
        <f t="shared" si="8"/>
        <v>358.5</v>
      </c>
      <c r="K104" s="16">
        <f t="shared" si="8"/>
        <v>292</v>
      </c>
      <c r="L104" s="16">
        <f t="shared" si="8"/>
        <v>3900</v>
      </c>
      <c r="M104" s="16">
        <f t="shared" si="8"/>
        <v>3467.2</v>
      </c>
      <c r="N104" s="16">
        <f t="shared" si="8"/>
        <v>709</v>
      </c>
      <c r="O104" s="16">
        <f t="shared" si="8"/>
        <v>16</v>
      </c>
      <c r="P104" s="16">
        <f t="shared" si="8"/>
        <v>11</v>
      </c>
      <c r="Q104" s="16">
        <f t="shared" si="8"/>
        <v>10.666666666666666</v>
      </c>
      <c r="R104" s="16">
        <f t="shared" si="8"/>
        <v>3.3333333333333335</v>
      </c>
      <c r="S104" s="16">
        <f t="shared" si="8"/>
        <v>1</v>
      </c>
      <c r="T104" s="16"/>
      <c r="U104" s="16">
        <f t="shared" si="8"/>
        <v>0</v>
      </c>
      <c r="V104" s="16"/>
      <c r="W104" s="16"/>
      <c r="X104" s="16">
        <f>AVERAGE(X75:X89)</f>
        <v>3192.8</v>
      </c>
      <c r="Y104" s="17"/>
      <c r="Z104" s="16">
        <f>AVERAGE(Z75:Z89)</f>
        <v>16.227272727272727</v>
      </c>
    </row>
    <row r="106" spans="1:47" ht="13.5" thickBot="1" x14ac:dyDescent="0.25">
      <c r="A106" s="2" t="s">
        <v>238</v>
      </c>
      <c r="I106" s="467"/>
    </row>
    <row r="107" spans="1:47" ht="13.5" customHeight="1" thickTop="1" x14ac:dyDescent="0.2">
      <c r="A107" s="1004" t="s">
        <v>0</v>
      </c>
      <c r="B107" s="1006" t="s">
        <v>1</v>
      </c>
      <c r="C107" s="1006"/>
      <c r="D107" s="1006"/>
      <c r="E107" s="1006"/>
      <c r="F107" s="1006"/>
      <c r="G107" s="1006"/>
      <c r="H107" s="1006"/>
      <c r="I107" s="1006"/>
      <c r="J107" s="1006"/>
      <c r="K107" s="1006"/>
      <c r="L107" s="1006"/>
      <c r="M107" s="1006"/>
      <c r="N107" s="1006"/>
      <c r="O107" s="1006"/>
      <c r="P107" s="1006"/>
      <c r="Q107" s="1006"/>
      <c r="R107" s="1006"/>
      <c r="S107" s="1006"/>
      <c r="T107" s="1006"/>
      <c r="U107" s="1006"/>
      <c r="V107" s="1006"/>
      <c r="W107" s="1006"/>
      <c r="X107" s="1004" t="s">
        <v>2</v>
      </c>
      <c r="Y107" s="1010" t="s">
        <v>3</v>
      </c>
      <c r="Z107" s="1008" t="s">
        <v>4</v>
      </c>
      <c r="AB107" s="469" t="s">
        <v>404</v>
      </c>
    </row>
    <row r="108" spans="1:47" x14ac:dyDescent="0.2">
      <c r="A108" s="1005"/>
      <c r="B108" s="18">
        <v>81</v>
      </c>
      <c r="C108" s="18">
        <v>82</v>
      </c>
      <c r="D108" s="18">
        <v>83</v>
      </c>
      <c r="E108" s="18">
        <v>84</v>
      </c>
      <c r="F108" s="18">
        <v>91</v>
      </c>
      <c r="G108" s="18">
        <v>92</v>
      </c>
      <c r="H108" s="18">
        <v>93</v>
      </c>
      <c r="I108" s="18">
        <v>94</v>
      </c>
      <c r="J108" s="18">
        <v>101</v>
      </c>
      <c r="K108" s="18">
        <v>102</v>
      </c>
      <c r="L108" s="18">
        <v>103</v>
      </c>
      <c r="M108" s="18">
        <v>104</v>
      </c>
      <c r="N108" s="18">
        <v>105</v>
      </c>
      <c r="O108" s="18">
        <v>111</v>
      </c>
      <c r="P108" s="18">
        <v>112</v>
      </c>
      <c r="Q108" s="18">
        <v>113</v>
      </c>
      <c r="R108" s="18">
        <v>114</v>
      </c>
      <c r="S108" s="18">
        <v>115</v>
      </c>
      <c r="T108" s="18">
        <v>121</v>
      </c>
      <c r="U108" s="18">
        <v>122</v>
      </c>
      <c r="V108" s="18">
        <v>123</v>
      </c>
      <c r="W108" s="18">
        <v>124</v>
      </c>
      <c r="X108" s="1005"/>
      <c r="Y108" s="1011"/>
      <c r="Z108" s="1009"/>
      <c r="AB108" s="212" t="s">
        <v>405</v>
      </c>
    </row>
    <row r="109" spans="1:47" x14ac:dyDescent="0.2">
      <c r="A109" s="1">
        <v>1995</v>
      </c>
      <c r="B109" s="449"/>
      <c r="C109" s="449"/>
      <c r="D109" s="449"/>
      <c r="E109" s="449"/>
      <c r="F109" s="449"/>
      <c r="G109" s="449"/>
      <c r="H109" s="449"/>
      <c r="I109" s="468">
        <v>9</v>
      </c>
      <c r="J109" s="468">
        <v>2</v>
      </c>
      <c r="K109" s="449"/>
      <c r="L109" s="449"/>
      <c r="M109" s="449"/>
      <c r="N109" s="468">
        <v>0</v>
      </c>
      <c r="O109" s="449"/>
      <c r="P109" s="449"/>
      <c r="Q109" s="449"/>
      <c r="R109" s="449"/>
      <c r="S109" s="449"/>
      <c r="T109" s="449"/>
      <c r="U109" s="449"/>
      <c r="V109" s="449"/>
      <c r="W109" s="449"/>
      <c r="X109" s="2">
        <v>9</v>
      </c>
      <c r="Y109" s="2" t="s">
        <v>9</v>
      </c>
      <c r="Z109" s="2" t="s">
        <v>348</v>
      </c>
      <c r="AB109" s="303" t="s">
        <v>406</v>
      </c>
    </row>
    <row r="110" spans="1:47" x14ac:dyDescent="0.2">
      <c r="A110" s="1">
        <v>1996</v>
      </c>
      <c r="B110" s="449"/>
      <c r="C110" s="449"/>
      <c r="D110" s="449"/>
      <c r="E110" s="449"/>
      <c r="F110" s="468">
        <v>34</v>
      </c>
      <c r="G110" s="468">
        <v>48</v>
      </c>
      <c r="H110" s="468">
        <v>12</v>
      </c>
      <c r="I110" s="468">
        <v>0</v>
      </c>
      <c r="J110" s="449"/>
      <c r="K110" s="468">
        <v>415</v>
      </c>
      <c r="L110" s="449"/>
      <c r="M110" s="449"/>
      <c r="N110" s="468">
        <v>1</v>
      </c>
      <c r="O110" s="449"/>
      <c r="P110" s="449"/>
      <c r="Q110" s="449"/>
      <c r="R110" s="449"/>
      <c r="S110" s="449"/>
      <c r="T110" s="449"/>
      <c r="U110" s="449"/>
      <c r="V110" s="449"/>
      <c r="W110" s="449"/>
      <c r="X110" s="2">
        <v>415</v>
      </c>
      <c r="Y110" s="2" t="s">
        <v>6</v>
      </c>
      <c r="Z110" s="2" t="s">
        <v>388</v>
      </c>
    </row>
    <row r="111" spans="1:47" x14ac:dyDescent="0.2">
      <c r="A111" s="1">
        <v>1997</v>
      </c>
      <c r="B111" s="449"/>
      <c r="C111" s="449"/>
      <c r="D111" s="449"/>
      <c r="E111" s="449"/>
      <c r="F111" s="468">
        <v>6</v>
      </c>
      <c r="G111" s="468">
        <v>22</v>
      </c>
      <c r="H111" s="449"/>
      <c r="I111" s="468">
        <v>523</v>
      </c>
      <c r="J111" s="449"/>
      <c r="K111" s="468">
        <v>1230</v>
      </c>
      <c r="L111" s="449"/>
      <c r="M111" s="468">
        <v>194</v>
      </c>
      <c r="N111" s="449"/>
      <c r="O111" s="449"/>
      <c r="P111" s="468">
        <v>266</v>
      </c>
      <c r="Q111" s="449"/>
      <c r="R111" s="449"/>
      <c r="S111" s="449"/>
      <c r="T111" s="449"/>
      <c r="U111" s="449"/>
      <c r="V111" s="449"/>
      <c r="W111" s="449"/>
      <c r="X111" s="2">
        <v>1607</v>
      </c>
      <c r="Y111" s="2" t="s">
        <v>403</v>
      </c>
      <c r="Z111" s="2" t="s">
        <v>382</v>
      </c>
    </row>
    <row r="112" spans="1:47" x14ac:dyDescent="0.2">
      <c r="A112" s="1">
        <v>1998</v>
      </c>
      <c r="B112" s="449"/>
      <c r="C112" s="449"/>
      <c r="D112" s="449"/>
      <c r="E112" s="449"/>
      <c r="F112" s="449"/>
      <c r="G112" s="449"/>
      <c r="H112" s="449"/>
      <c r="I112" s="449"/>
      <c r="J112" s="449"/>
      <c r="K112" s="449"/>
      <c r="L112" s="449"/>
      <c r="M112" s="468">
        <v>494</v>
      </c>
      <c r="N112" s="449"/>
      <c r="O112" s="468">
        <v>262</v>
      </c>
      <c r="P112" s="449"/>
      <c r="Q112" s="449"/>
      <c r="R112" s="449"/>
      <c r="S112" s="449"/>
      <c r="T112" s="449"/>
      <c r="U112" s="449"/>
      <c r="V112" s="449"/>
      <c r="W112" s="449"/>
      <c r="X112" s="2">
        <v>677</v>
      </c>
      <c r="Y112" s="2" t="s">
        <v>403</v>
      </c>
      <c r="Z112" s="2" t="s">
        <v>402</v>
      </c>
    </row>
    <row r="113" spans="1:27" x14ac:dyDescent="0.2">
      <c r="A113" s="1">
        <v>1999</v>
      </c>
      <c r="B113" s="449"/>
      <c r="C113" s="449"/>
      <c r="D113" s="449"/>
      <c r="E113" s="449"/>
      <c r="F113" s="449"/>
      <c r="G113" s="449"/>
      <c r="H113" s="449"/>
      <c r="I113" s="449"/>
      <c r="J113" s="449"/>
      <c r="K113" s="449"/>
      <c r="L113" s="468">
        <v>225</v>
      </c>
      <c r="M113" s="468">
        <v>566</v>
      </c>
      <c r="N113" s="449"/>
      <c r="O113" s="449"/>
      <c r="P113" s="449"/>
      <c r="Q113" s="468">
        <v>193</v>
      </c>
      <c r="R113" s="449"/>
      <c r="S113" s="449"/>
      <c r="T113" s="449"/>
      <c r="U113" s="449"/>
      <c r="V113" s="449"/>
      <c r="W113" s="449"/>
      <c r="X113" s="2">
        <v>597</v>
      </c>
      <c r="Y113" s="2" t="s">
        <v>9</v>
      </c>
      <c r="Z113" s="2" t="s">
        <v>402</v>
      </c>
    </row>
    <row r="114" spans="1:27" x14ac:dyDescent="0.2">
      <c r="A114" s="1">
        <v>2000</v>
      </c>
      <c r="B114" s="449"/>
      <c r="C114" s="449"/>
      <c r="D114" s="449"/>
      <c r="E114" s="449"/>
      <c r="F114" s="449"/>
      <c r="G114" s="449"/>
      <c r="H114" s="449"/>
      <c r="I114" s="449"/>
      <c r="J114" s="449"/>
      <c r="K114" s="449"/>
      <c r="L114" s="449"/>
      <c r="M114" s="449"/>
      <c r="N114" s="468">
        <v>555</v>
      </c>
      <c r="O114" s="449"/>
      <c r="P114" s="449"/>
      <c r="Q114" s="468">
        <v>89</v>
      </c>
      <c r="R114" s="449"/>
      <c r="S114" s="449"/>
      <c r="T114" s="449"/>
      <c r="U114" s="468">
        <v>19</v>
      </c>
      <c r="V114" s="449"/>
      <c r="W114" s="449"/>
      <c r="X114" s="2">
        <v>872</v>
      </c>
      <c r="Y114" s="2" t="s">
        <v>403</v>
      </c>
      <c r="Z114" s="2" t="s">
        <v>402</v>
      </c>
    </row>
    <row r="115" spans="1:27" x14ac:dyDescent="0.2">
      <c r="A115" s="1">
        <v>2001</v>
      </c>
      <c r="B115" s="449"/>
      <c r="C115" s="449"/>
      <c r="D115" s="449"/>
      <c r="E115" s="449"/>
      <c r="F115" s="449"/>
      <c r="G115" s="449"/>
      <c r="H115" s="449"/>
      <c r="I115" s="449"/>
      <c r="J115" s="449"/>
      <c r="K115" s="449"/>
      <c r="L115" s="449"/>
      <c r="M115" s="449"/>
      <c r="N115" s="449"/>
      <c r="O115" s="449"/>
      <c r="P115" s="449"/>
      <c r="Q115" s="449"/>
      <c r="R115" s="449"/>
      <c r="S115" s="449"/>
      <c r="T115" s="449"/>
      <c r="U115" s="449"/>
      <c r="V115" s="449"/>
      <c r="W115" s="449"/>
      <c r="X115" s="2">
        <v>400</v>
      </c>
      <c r="Z115" s="2" t="s">
        <v>348</v>
      </c>
    </row>
    <row r="116" spans="1:27" x14ac:dyDescent="0.2">
      <c r="A116" s="1">
        <v>2002</v>
      </c>
      <c r="B116" s="449"/>
      <c r="C116" s="449"/>
      <c r="D116" s="449"/>
      <c r="E116" s="449"/>
      <c r="F116" s="449"/>
      <c r="G116" s="449"/>
      <c r="H116" s="449"/>
      <c r="I116" s="464">
        <v>0</v>
      </c>
      <c r="J116" s="449"/>
      <c r="K116" s="464">
        <v>0</v>
      </c>
      <c r="L116" s="449"/>
      <c r="M116" s="449"/>
      <c r="N116" s="469">
        <v>1225</v>
      </c>
      <c r="O116" s="449"/>
      <c r="P116" s="449"/>
      <c r="Q116" s="449"/>
      <c r="R116" s="469">
        <v>609</v>
      </c>
      <c r="S116" s="465">
        <v>363</v>
      </c>
      <c r="T116" s="449"/>
      <c r="U116" s="449"/>
      <c r="V116" s="449"/>
      <c r="W116" s="449"/>
      <c r="X116" s="2">
        <v>1297</v>
      </c>
      <c r="Y116" s="2" t="s">
        <v>9</v>
      </c>
      <c r="Z116" s="2" t="s">
        <v>385</v>
      </c>
    </row>
    <row r="117" spans="1:27" x14ac:dyDescent="0.2">
      <c r="A117" s="1">
        <v>2003</v>
      </c>
      <c r="B117" s="449"/>
      <c r="C117" s="449"/>
      <c r="D117" s="449"/>
      <c r="E117" s="449"/>
      <c r="F117" s="449"/>
      <c r="G117" s="449"/>
      <c r="H117" s="464">
        <v>7</v>
      </c>
      <c r="I117" s="449"/>
      <c r="J117" s="464">
        <v>0</v>
      </c>
      <c r="K117" s="449"/>
      <c r="L117" s="449"/>
      <c r="M117" s="449"/>
      <c r="N117" s="469">
        <v>1508</v>
      </c>
      <c r="O117" s="449"/>
      <c r="P117" s="449"/>
      <c r="Q117" s="449"/>
      <c r="R117" s="449"/>
      <c r="S117" s="465">
        <v>340</v>
      </c>
      <c r="T117" s="449"/>
      <c r="U117" s="449"/>
      <c r="V117" s="449"/>
      <c r="W117" s="449"/>
      <c r="X117" s="2">
        <v>1561</v>
      </c>
      <c r="Z117" s="2" t="s">
        <v>374</v>
      </c>
    </row>
    <row r="118" spans="1:27" x14ac:dyDescent="0.2">
      <c r="A118" s="1">
        <v>2004</v>
      </c>
      <c r="B118" s="449"/>
      <c r="C118" s="449"/>
      <c r="D118" s="449"/>
      <c r="E118" s="449"/>
      <c r="F118" s="449"/>
      <c r="G118" s="449"/>
      <c r="H118" s="449"/>
      <c r="I118" s="449"/>
      <c r="J118" s="464">
        <v>0</v>
      </c>
      <c r="K118" s="449"/>
      <c r="L118" s="449"/>
      <c r="M118" s="464">
        <v>1</v>
      </c>
      <c r="N118" s="449"/>
      <c r="O118" s="449"/>
      <c r="P118" s="465">
        <v>419</v>
      </c>
      <c r="Q118" s="449"/>
      <c r="R118" s="449"/>
      <c r="S118" s="449"/>
      <c r="T118" s="449"/>
      <c r="U118" s="449"/>
      <c r="V118" s="449"/>
      <c r="W118" s="449"/>
      <c r="X118" s="2">
        <v>552</v>
      </c>
      <c r="Z118" s="2" t="s">
        <v>375</v>
      </c>
    </row>
    <row r="119" spans="1:27" x14ac:dyDescent="0.2">
      <c r="A119" s="1">
        <v>2005</v>
      </c>
      <c r="B119" s="449"/>
      <c r="C119" s="449"/>
      <c r="D119" s="449"/>
      <c r="E119" s="449"/>
      <c r="F119" s="449"/>
      <c r="G119" s="449"/>
      <c r="H119" s="449"/>
      <c r="I119" s="449"/>
      <c r="J119" s="449"/>
      <c r="K119" s="449"/>
      <c r="L119" s="449"/>
      <c r="M119" s="449"/>
      <c r="N119" s="449"/>
      <c r="O119" s="449"/>
      <c r="P119" s="449"/>
      <c r="Q119" s="449"/>
      <c r="R119" s="449"/>
      <c r="S119" s="449"/>
      <c r="T119" s="449"/>
      <c r="U119" s="449"/>
      <c r="V119" s="449"/>
      <c r="W119" s="449"/>
      <c r="X119" s="2">
        <v>212</v>
      </c>
      <c r="Z119" s="2" t="s">
        <v>376</v>
      </c>
      <c r="AA119" s="2" t="s">
        <v>407</v>
      </c>
    </row>
    <row r="120" spans="1:27" x14ac:dyDescent="0.2">
      <c r="A120" s="1">
        <v>2006</v>
      </c>
      <c r="B120" s="449"/>
      <c r="C120" s="449"/>
      <c r="D120" s="449"/>
      <c r="E120" s="449"/>
      <c r="F120" s="449"/>
      <c r="G120" s="449"/>
      <c r="H120" s="449"/>
      <c r="I120" s="449"/>
      <c r="J120" s="449"/>
      <c r="K120" s="449"/>
      <c r="L120" s="449"/>
      <c r="M120" s="449"/>
      <c r="N120" s="449"/>
      <c r="O120" s="449"/>
      <c r="P120" s="449"/>
      <c r="Q120" s="449"/>
      <c r="R120" s="449"/>
      <c r="S120" s="449"/>
      <c r="T120" s="449"/>
      <c r="U120" s="449"/>
      <c r="V120" s="449"/>
      <c r="W120" s="449"/>
      <c r="X120" s="2">
        <v>82</v>
      </c>
      <c r="Z120" s="2" t="s">
        <v>376</v>
      </c>
    </row>
    <row r="121" spans="1:27" x14ac:dyDescent="0.2">
      <c r="A121" s="1">
        <v>2007</v>
      </c>
      <c r="B121" s="449"/>
      <c r="C121" s="449"/>
      <c r="D121" s="449"/>
      <c r="E121" s="449"/>
      <c r="F121" s="449"/>
      <c r="G121" s="449"/>
      <c r="H121" s="449"/>
      <c r="I121" s="449"/>
      <c r="J121" s="449"/>
      <c r="K121" s="449"/>
      <c r="L121" s="449"/>
      <c r="M121" s="449"/>
      <c r="N121" s="449"/>
      <c r="O121" s="449"/>
      <c r="P121" s="449"/>
      <c r="Q121" s="449"/>
      <c r="R121" s="449"/>
      <c r="S121" s="449"/>
      <c r="T121" s="449"/>
      <c r="U121" s="449"/>
      <c r="V121" s="449"/>
      <c r="W121" s="449"/>
      <c r="X121" s="2">
        <v>355</v>
      </c>
      <c r="Z121" s="2" t="s">
        <v>376</v>
      </c>
    </row>
    <row r="122" spans="1:27" x14ac:dyDescent="0.2">
      <c r="A122" s="13">
        <v>2008</v>
      </c>
      <c r="B122" s="449"/>
      <c r="C122" s="449"/>
      <c r="D122" s="449"/>
      <c r="E122" s="449"/>
      <c r="F122" s="449"/>
      <c r="G122" s="449"/>
      <c r="H122" s="449"/>
      <c r="I122" s="449"/>
      <c r="J122" s="449"/>
      <c r="K122" s="449"/>
      <c r="L122" s="449"/>
      <c r="M122" s="449"/>
      <c r="N122" s="449"/>
      <c r="O122" s="449"/>
      <c r="P122" s="449"/>
      <c r="Q122" s="449"/>
      <c r="R122" s="449"/>
      <c r="S122" s="449"/>
      <c r="T122" s="449"/>
      <c r="U122" s="449"/>
      <c r="V122" s="449"/>
      <c r="W122" s="449"/>
      <c r="X122" s="2">
        <v>296</v>
      </c>
      <c r="Z122" s="2" t="s">
        <v>376</v>
      </c>
      <c r="AA122" s="2" t="s">
        <v>408</v>
      </c>
    </row>
    <row r="123" spans="1:27" x14ac:dyDescent="0.2">
      <c r="A123" s="13">
        <v>2009</v>
      </c>
      <c r="B123" s="449"/>
      <c r="C123" s="449"/>
      <c r="D123" s="449"/>
      <c r="E123" s="449"/>
      <c r="F123" s="449"/>
      <c r="G123" s="449"/>
      <c r="H123" s="449"/>
      <c r="I123" s="449"/>
      <c r="J123" s="449"/>
      <c r="K123" s="449"/>
      <c r="L123" s="449"/>
      <c r="M123" s="449"/>
      <c r="N123" s="449"/>
      <c r="O123" s="449"/>
      <c r="P123" s="449"/>
      <c r="Q123" s="449"/>
      <c r="R123" s="449"/>
      <c r="S123" s="449"/>
      <c r="T123" s="449"/>
      <c r="U123" s="449"/>
      <c r="V123" s="449"/>
      <c r="W123" s="449"/>
      <c r="Z123" s="2"/>
    </row>
    <row r="124" spans="1:27" x14ac:dyDescent="0.2">
      <c r="A124" s="13">
        <v>2010</v>
      </c>
      <c r="B124" s="449"/>
      <c r="C124" s="449"/>
      <c r="D124" s="449"/>
      <c r="E124" s="449"/>
      <c r="F124" s="449"/>
      <c r="G124" s="449"/>
      <c r="H124" s="449"/>
      <c r="I124" s="449"/>
      <c r="J124" s="449"/>
      <c r="K124" s="449"/>
      <c r="L124" s="449"/>
      <c r="M124" s="449"/>
      <c r="N124" s="449"/>
      <c r="O124" s="449"/>
      <c r="P124" s="449"/>
      <c r="Q124" s="449"/>
      <c r="R124" s="449"/>
      <c r="S124" s="449"/>
      <c r="T124" s="449"/>
      <c r="U124" s="449"/>
      <c r="V124" s="449"/>
      <c r="W124" s="449"/>
      <c r="X124" s="2">
        <v>525</v>
      </c>
      <c r="Z124" s="2" t="s">
        <v>376</v>
      </c>
    </row>
    <row r="125" spans="1:27" x14ac:dyDescent="0.2">
      <c r="A125" s="13">
        <v>2011</v>
      </c>
      <c r="B125" s="449"/>
      <c r="C125" s="449"/>
      <c r="D125" s="449"/>
      <c r="E125" s="449"/>
      <c r="F125" s="449"/>
      <c r="G125" s="464">
        <v>0</v>
      </c>
      <c r="H125" s="464">
        <v>0</v>
      </c>
      <c r="I125" s="449"/>
      <c r="J125" s="449"/>
      <c r="K125" s="449"/>
      <c r="L125" s="449"/>
      <c r="M125" s="464">
        <v>1</v>
      </c>
      <c r="N125" s="449"/>
      <c r="O125" s="449"/>
      <c r="P125" s="449"/>
      <c r="Q125" s="465">
        <v>2045</v>
      </c>
      <c r="R125" s="449"/>
      <c r="S125" s="449"/>
      <c r="T125" s="449"/>
      <c r="U125" s="449"/>
      <c r="V125" s="449"/>
      <c r="W125" s="449"/>
      <c r="X125" s="2">
        <v>2263</v>
      </c>
      <c r="Z125" s="2" t="s">
        <v>376</v>
      </c>
    </row>
    <row r="126" spans="1:27" x14ac:dyDescent="0.2">
      <c r="A126" s="13">
        <v>2012</v>
      </c>
      <c r="B126" s="449"/>
      <c r="C126" s="449"/>
      <c r="D126" s="449"/>
      <c r="E126" s="449"/>
      <c r="F126" s="464">
        <v>0</v>
      </c>
      <c r="G126" s="464">
        <v>0</v>
      </c>
      <c r="H126" s="464">
        <v>0</v>
      </c>
      <c r="I126" s="449"/>
      <c r="J126" s="464">
        <v>0</v>
      </c>
      <c r="K126" s="449"/>
      <c r="L126" s="464">
        <v>0</v>
      </c>
      <c r="M126" s="464">
        <v>0</v>
      </c>
      <c r="N126" s="449"/>
      <c r="O126" s="464">
        <v>0</v>
      </c>
      <c r="P126" s="449"/>
      <c r="Q126" s="449"/>
      <c r="R126" s="464">
        <v>0</v>
      </c>
      <c r="S126" s="449"/>
      <c r="T126" s="449"/>
      <c r="U126" s="449"/>
      <c r="V126" s="449"/>
      <c r="W126" s="449"/>
      <c r="X126" s="2" t="s">
        <v>16</v>
      </c>
      <c r="Z126" s="2"/>
    </row>
    <row r="127" spans="1:27" x14ac:dyDescent="0.2">
      <c r="A127" s="13">
        <v>2013</v>
      </c>
      <c r="B127" s="449"/>
      <c r="C127" s="449"/>
      <c r="D127" s="449"/>
      <c r="E127" s="449"/>
      <c r="F127" s="464">
        <v>0</v>
      </c>
      <c r="G127" s="464">
        <v>0</v>
      </c>
      <c r="H127" s="449"/>
      <c r="I127" s="449"/>
      <c r="J127" s="449"/>
      <c r="K127" s="464">
        <v>0</v>
      </c>
      <c r="L127" s="449"/>
      <c r="M127" s="464">
        <v>0</v>
      </c>
      <c r="N127" s="464">
        <v>0</v>
      </c>
      <c r="O127" s="464">
        <v>0</v>
      </c>
      <c r="P127" s="449"/>
      <c r="Q127" s="465">
        <v>444</v>
      </c>
      <c r="R127" s="449"/>
      <c r="S127" s="449"/>
      <c r="T127" s="449"/>
      <c r="U127" s="449"/>
      <c r="V127" s="449"/>
      <c r="W127" s="449"/>
      <c r="X127" s="2">
        <v>464</v>
      </c>
      <c r="Z127" s="2" t="s">
        <v>376</v>
      </c>
    </row>
    <row r="128" spans="1:27" x14ac:dyDescent="0.2">
      <c r="A128" s="13">
        <v>2014</v>
      </c>
      <c r="B128" s="449"/>
      <c r="C128" s="449"/>
      <c r="D128" s="449"/>
      <c r="E128" s="449"/>
      <c r="F128" s="449"/>
      <c r="G128" s="464">
        <v>17</v>
      </c>
      <c r="H128" s="449"/>
      <c r="I128" s="464">
        <v>0</v>
      </c>
      <c r="J128" s="449"/>
      <c r="K128" s="464">
        <v>0</v>
      </c>
      <c r="L128" s="449"/>
      <c r="M128" s="449"/>
      <c r="N128" s="449"/>
      <c r="O128" s="449"/>
      <c r="P128" s="464">
        <v>0</v>
      </c>
      <c r="Q128" s="465">
        <v>1264</v>
      </c>
      <c r="R128" s="449"/>
      <c r="S128" s="449"/>
      <c r="T128" s="449"/>
      <c r="U128" s="449"/>
      <c r="V128" s="449"/>
      <c r="W128" s="449"/>
      <c r="X128" s="2">
        <v>1379</v>
      </c>
      <c r="Z128" s="2" t="s">
        <v>374</v>
      </c>
    </row>
    <row r="129" spans="1:47" x14ac:dyDescent="0.2">
      <c r="A129" s="13">
        <v>2015</v>
      </c>
      <c r="B129" s="449"/>
      <c r="C129" s="449"/>
      <c r="D129" s="449"/>
      <c r="E129" s="449"/>
      <c r="F129" s="449"/>
      <c r="G129" s="464">
        <v>4</v>
      </c>
      <c r="H129" s="464">
        <v>23</v>
      </c>
      <c r="I129" s="449"/>
      <c r="J129" s="464">
        <v>0</v>
      </c>
      <c r="K129" s="464">
        <v>0</v>
      </c>
      <c r="L129" s="449"/>
      <c r="M129" s="464">
        <v>0</v>
      </c>
      <c r="N129" s="449"/>
      <c r="O129" s="449"/>
      <c r="P129" s="449"/>
      <c r="Q129" s="449"/>
      <c r="R129" s="449"/>
      <c r="S129" s="449"/>
      <c r="T129" s="449"/>
      <c r="U129" s="449"/>
      <c r="V129" s="449"/>
      <c r="W129" s="449"/>
      <c r="X129" s="2">
        <v>29</v>
      </c>
      <c r="Z129" s="2" t="s">
        <v>376</v>
      </c>
    </row>
    <row r="130" spans="1:47" x14ac:dyDescent="0.2">
      <c r="A130" s="13">
        <v>2016</v>
      </c>
      <c r="B130" s="449"/>
      <c r="C130" s="449"/>
      <c r="D130" s="449"/>
      <c r="E130" s="449"/>
      <c r="F130" s="449"/>
      <c r="G130" s="449"/>
      <c r="H130" s="464">
        <v>1</v>
      </c>
      <c r="I130" s="449"/>
      <c r="J130" s="464">
        <v>0</v>
      </c>
      <c r="K130" s="449"/>
      <c r="L130" s="449"/>
      <c r="M130" s="449"/>
      <c r="N130" s="449"/>
      <c r="O130" s="449"/>
      <c r="P130" s="449"/>
      <c r="Q130" s="449"/>
      <c r="R130" s="449"/>
      <c r="S130" s="449"/>
      <c r="T130" s="449"/>
      <c r="U130" s="449"/>
      <c r="V130" s="449"/>
      <c r="W130" s="449"/>
      <c r="X130" s="2" t="s">
        <v>336</v>
      </c>
      <c r="Z130" s="2"/>
    </row>
    <row r="131" spans="1:47" x14ac:dyDescent="0.2">
      <c r="A131" s="13">
        <v>2017</v>
      </c>
      <c r="B131" s="449"/>
      <c r="C131" s="449"/>
      <c r="D131" s="449"/>
      <c r="E131" s="449"/>
      <c r="F131" s="449"/>
      <c r="G131" s="464">
        <v>3</v>
      </c>
      <c r="H131" s="449"/>
      <c r="I131" s="464">
        <v>0</v>
      </c>
      <c r="J131" s="464">
        <v>31</v>
      </c>
      <c r="K131" s="449"/>
      <c r="L131" s="449"/>
      <c r="M131" s="449"/>
      <c r="N131" s="449"/>
      <c r="O131" s="465">
        <v>1973</v>
      </c>
      <c r="P131" s="449"/>
      <c r="Q131" s="449"/>
      <c r="R131" s="449"/>
      <c r="S131" s="449"/>
      <c r="T131" s="449"/>
      <c r="U131" s="449"/>
      <c r="V131" s="449"/>
      <c r="W131" s="449"/>
      <c r="X131" s="2">
        <v>2489</v>
      </c>
      <c r="Y131" s="2" t="s">
        <v>9</v>
      </c>
      <c r="Z131" s="56" t="s">
        <v>421</v>
      </c>
    </row>
    <row r="132" spans="1:47" x14ac:dyDescent="0.2">
      <c r="A132" s="13">
        <v>2018</v>
      </c>
      <c r="B132" s="524"/>
      <c r="C132" s="524"/>
      <c r="D132" s="524"/>
      <c r="E132" s="524"/>
      <c r="F132" s="524"/>
      <c r="G132" s="524"/>
      <c r="H132" s="524"/>
      <c r="I132" s="554">
        <v>108</v>
      </c>
      <c r="J132" s="537">
        <v>512</v>
      </c>
      <c r="K132" s="1"/>
      <c r="L132" s="324">
        <v>530</v>
      </c>
      <c r="M132" s="1"/>
      <c r="N132" s="1"/>
      <c r="O132" s="324">
        <v>1016</v>
      </c>
      <c r="P132" s="524"/>
      <c r="Q132" s="524"/>
      <c r="R132" s="524"/>
      <c r="S132" s="524"/>
      <c r="T132" s="524"/>
      <c r="U132" s="524"/>
      <c r="V132" s="524"/>
      <c r="W132" s="524"/>
      <c r="X132" s="2">
        <v>1140</v>
      </c>
      <c r="Y132" s="2" t="s">
        <v>9</v>
      </c>
    </row>
    <row r="133" spans="1:47" x14ac:dyDescent="0.2">
      <c r="A133" s="13">
        <v>2019</v>
      </c>
      <c r="B133" s="572"/>
      <c r="C133" s="572"/>
      <c r="D133" s="572"/>
      <c r="E133" s="572"/>
      <c r="F133" s="572"/>
      <c r="G133" s="464">
        <v>0</v>
      </c>
      <c r="H133" s="572"/>
      <c r="I133" s="572"/>
      <c r="J133" s="464">
        <v>0</v>
      </c>
      <c r="K133" s="594">
        <v>291</v>
      </c>
      <c r="L133" s="572"/>
      <c r="M133" s="572"/>
      <c r="N133" s="572"/>
      <c r="O133" s="572"/>
      <c r="P133" s="572"/>
      <c r="Q133" s="572"/>
      <c r="R133" s="572"/>
      <c r="S133" s="572"/>
      <c r="T133" s="572"/>
      <c r="U133" s="572"/>
      <c r="V133" s="572"/>
      <c r="W133" s="572"/>
      <c r="X133" s="2">
        <v>323</v>
      </c>
      <c r="Y133" s="2" t="s">
        <v>9</v>
      </c>
      <c r="Z133" s="2" t="s">
        <v>374</v>
      </c>
    </row>
    <row r="134" spans="1:47" x14ac:dyDescent="0.2">
      <c r="A134" s="13">
        <v>2020</v>
      </c>
      <c r="B134" s="689"/>
      <c r="C134" s="689"/>
      <c r="D134" s="689"/>
      <c r="E134" s="689"/>
      <c r="F134" s="689"/>
      <c r="G134" s="689"/>
      <c r="H134" s="689"/>
      <c r="I134" s="464">
        <v>0</v>
      </c>
      <c r="J134" s="689"/>
      <c r="K134" s="689"/>
      <c r="L134" s="689"/>
      <c r="M134" s="465">
        <v>563</v>
      </c>
      <c r="N134" s="689"/>
      <c r="O134" s="689"/>
      <c r="P134" s="689"/>
      <c r="Q134" s="689"/>
      <c r="R134" s="689"/>
      <c r="S134" s="689"/>
      <c r="T134" s="689"/>
      <c r="U134" s="689"/>
      <c r="V134" s="689"/>
      <c r="W134" s="689"/>
      <c r="X134" s="2">
        <v>626</v>
      </c>
      <c r="Z134" s="2"/>
    </row>
    <row r="135" spans="1:47" s="150" customFormat="1" x14ac:dyDescent="0.2">
      <c r="A135" s="89">
        <v>2021</v>
      </c>
      <c r="B135" s="743"/>
      <c r="C135" s="743"/>
      <c r="D135" s="743"/>
      <c r="E135" s="743"/>
      <c r="F135" s="743"/>
      <c r="G135" s="743"/>
      <c r="H135" s="743"/>
      <c r="I135" s="464">
        <v>0</v>
      </c>
      <c r="J135" s="743"/>
      <c r="K135" s="743"/>
      <c r="L135" s="743"/>
      <c r="M135" s="743"/>
      <c r="N135" s="743"/>
      <c r="O135" s="785">
        <v>1151</v>
      </c>
      <c r="P135" s="743"/>
      <c r="Q135" s="743"/>
      <c r="R135" s="743"/>
      <c r="S135" s="743"/>
      <c r="T135" s="743"/>
      <c r="U135" s="743"/>
      <c r="V135" s="743"/>
      <c r="W135" s="743"/>
      <c r="X135" s="150">
        <v>1293</v>
      </c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  <c r="AU135" s="151"/>
    </row>
    <row r="136" spans="1:47" s="150" customFormat="1" x14ac:dyDescent="0.2">
      <c r="A136" s="89">
        <v>2022</v>
      </c>
      <c r="B136" s="743"/>
      <c r="C136" s="743"/>
      <c r="D136" s="743"/>
      <c r="E136" s="743"/>
      <c r="F136" s="743"/>
      <c r="G136" s="743"/>
      <c r="H136" s="464">
        <v>0</v>
      </c>
      <c r="I136" s="743"/>
      <c r="J136" s="743"/>
      <c r="K136" s="464">
        <v>0</v>
      </c>
      <c r="L136" s="743"/>
      <c r="M136" s="743"/>
      <c r="N136" s="743"/>
      <c r="O136" s="558"/>
      <c r="P136" s="909">
        <v>2820</v>
      </c>
      <c r="Q136" s="743"/>
      <c r="R136" s="743"/>
      <c r="S136" s="743"/>
      <c r="T136" s="743"/>
      <c r="U136" s="743"/>
      <c r="V136" s="743"/>
      <c r="W136" s="743"/>
      <c r="X136" s="150">
        <v>3214</v>
      </c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  <c r="AU136" s="151"/>
    </row>
    <row r="137" spans="1:47" s="150" customFormat="1" x14ac:dyDescent="0.2">
      <c r="A137" s="89">
        <v>2023</v>
      </c>
      <c r="B137" s="743"/>
      <c r="C137" s="743"/>
      <c r="D137" s="743"/>
      <c r="E137" s="743"/>
      <c r="F137" s="743"/>
      <c r="G137" s="743"/>
      <c r="H137" s="464">
        <v>101</v>
      </c>
      <c r="I137" s="743"/>
      <c r="J137" s="464">
        <v>0</v>
      </c>
      <c r="K137" s="743"/>
      <c r="L137" s="743"/>
      <c r="M137" s="743"/>
      <c r="N137" s="743"/>
      <c r="O137" s="743"/>
      <c r="P137" s="909">
        <v>666</v>
      </c>
      <c r="Q137" s="743"/>
      <c r="R137" s="743"/>
      <c r="S137" s="743"/>
      <c r="T137" s="743"/>
      <c r="U137" s="743"/>
      <c r="V137" s="743"/>
      <c r="W137" s="743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  <c r="AU137" s="151"/>
    </row>
    <row r="138" spans="1:47" x14ac:dyDescent="0.2">
      <c r="A138" s="64" t="s">
        <v>17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</sheetData>
  <mergeCells count="23">
    <mergeCell ref="Z73:Z74"/>
    <mergeCell ref="Y3:Y4"/>
    <mergeCell ref="Z3:Z4"/>
    <mergeCell ref="Y38:Y39"/>
    <mergeCell ref="Z38:Z39"/>
    <mergeCell ref="Y73:Y74"/>
    <mergeCell ref="A1:I1"/>
    <mergeCell ref="B3:W3"/>
    <mergeCell ref="X3:X4"/>
    <mergeCell ref="A36:I36"/>
    <mergeCell ref="A3:A4"/>
    <mergeCell ref="B73:W73"/>
    <mergeCell ref="X73:X74"/>
    <mergeCell ref="A38:A39"/>
    <mergeCell ref="B38:W38"/>
    <mergeCell ref="X38:X39"/>
    <mergeCell ref="A71:I71"/>
    <mergeCell ref="A73:A74"/>
    <mergeCell ref="A107:A108"/>
    <mergeCell ref="B107:W107"/>
    <mergeCell ref="X107:X108"/>
    <mergeCell ref="Y107:Y108"/>
    <mergeCell ref="Z107:Z108"/>
  </mergeCells>
  <phoneticPr fontId="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C127"/>
  <sheetViews>
    <sheetView topLeftCell="A72" zoomScale="85" zoomScaleNormal="85" workbookViewId="0">
      <selection activeCell="A118" sqref="A118:XFD118"/>
    </sheetView>
  </sheetViews>
  <sheetFormatPr defaultColWidth="9.140625" defaultRowHeight="12.75" x14ac:dyDescent="0.2"/>
  <cols>
    <col min="1" max="1" width="10.28515625" style="2" customWidth="1"/>
    <col min="2" max="11" width="6.5703125" style="2" customWidth="1"/>
    <col min="12" max="12" width="7.5703125" style="2" customWidth="1"/>
    <col min="13" max="23" width="6.5703125" style="2" customWidth="1"/>
    <col min="24" max="25" width="9.140625" style="2"/>
    <col min="26" max="26" width="11.7109375" style="56" customWidth="1"/>
    <col min="27" max="27" width="9.140625" style="2"/>
    <col min="28" max="38" width="8.7109375"/>
    <col min="39" max="39" width="10.85546875" customWidth="1"/>
    <col min="40" max="49" width="8.7109375" customWidth="1"/>
    <col min="50" max="16384" width="9.140625" style="2"/>
  </cols>
  <sheetData>
    <row r="1" spans="1:55" ht="18" customHeight="1" x14ac:dyDescent="0.2">
      <c r="A1" s="1002" t="s">
        <v>602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55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AB2">
        <f>1108*7</f>
        <v>7756</v>
      </c>
    </row>
    <row r="3" spans="1:55" ht="18" customHeight="1" thickTop="1" thickBot="1" x14ac:dyDescent="0.25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  <c r="AB3">
        <f>1108*8</f>
        <v>8864</v>
      </c>
      <c r="AH3" s="1006" t="s">
        <v>1</v>
      </c>
      <c r="AI3" s="1006"/>
      <c r="AJ3" s="1006"/>
      <c r="AK3" s="1006"/>
      <c r="AL3" s="1006"/>
      <c r="AM3" s="1006"/>
      <c r="AN3" s="1006"/>
      <c r="AO3" s="1006"/>
      <c r="AP3" s="1006"/>
      <c r="AQ3" s="1006"/>
      <c r="AR3" s="1006"/>
      <c r="AS3" s="1006"/>
      <c r="AT3" s="1006"/>
      <c r="AU3" s="1006"/>
      <c r="AV3" s="1006"/>
      <c r="AW3" s="1006"/>
      <c r="AX3" s="1006"/>
      <c r="AY3" s="1006"/>
      <c r="AZ3" s="1006"/>
      <c r="BA3" s="1006"/>
      <c r="BB3" s="1006"/>
      <c r="BC3" s="1006"/>
    </row>
    <row r="4" spans="1:55" ht="18" customHeight="1" thickTop="1" x14ac:dyDescent="0.2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2" t="s">
        <v>101</v>
      </c>
      <c r="AB4" s="68" t="s">
        <v>50</v>
      </c>
      <c r="AC4" t="s">
        <v>51</v>
      </c>
      <c r="AG4" s="70"/>
      <c r="AH4" s="5">
        <v>81</v>
      </c>
      <c r="AI4" s="5">
        <v>82</v>
      </c>
      <c r="AJ4" s="5">
        <v>83</v>
      </c>
      <c r="AK4" s="5">
        <v>84</v>
      </c>
      <c r="AL4" s="5">
        <v>91</v>
      </c>
      <c r="AM4" s="5">
        <v>92</v>
      </c>
      <c r="AN4" s="5">
        <v>93</v>
      </c>
      <c r="AO4" s="5">
        <v>94</v>
      </c>
      <c r="AP4" s="5">
        <v>101</v>
      </c>
      <c r="AQ4" s="5">
        <v>102</v>
      </c>
      <c r="AR4" s="5">
        <v>103</v>
      </c>
      <c r="AS4" s="5">
        <v>104</v>
      </c>
      <c r="AT4" s="5">
        <v>105</v>
      </c>
      <c r="AU4" s="5">
        <v>111</v>
      </c>
      <c r="AV4" s="5">
        <v>112</v>
      </c>
      <c r="AW4" s="5">
        <v>113</v>
      </c>
      <c r="AX4" s="5">
        <v>114</v>
      </c>
      <c r="AY4" s="5">
        <v>115</v>
      </c>
      <c r="AZ4" s="5">
        <v>121</v>
      </c>
      <c r="BA4" s="5">
        <v>122</v>
      </c>
      <c r="BB4" s="5">
        <v>123</v>
      </c>
      <c r="BC4" s="5">
        <v>124</v>
      </c>
    </row>
    <row r="5" spans="1:55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"/>
      <c r="U5" s="1"/>
      <c r="V5" s="1"/>
      <c r="W5" s="1"/>
      <c r="X5" s="7">
        <v>450</v>
      </c>
      <c r="Y5" s="7" t="s">
        <v>7</v>
      </c>
      <c r="Z5" s="10"/>
      <c r="AA5" s="8">
        <f>COUNT(B5:W5)</f>
        <v>0</v>
      </c>
      <c r="AB5" s="2"/>
      <c r="AC5"/>
      <c r="AD5"/>
      <c r="AE5"/>
      <c r="AF5"/>
      <c r="AG5" s="7">
        <v>147</v>
      </c>
      <c r="AH5" s="6"/>
      <c r="AI5" s="6"/>
      <c r="AJ5" s="6"/>
      <c r="AK5" s="6"/>
      <c r="AL5" s="6"/>
      <c r="AM5" s="6"/>
      <c r="AN5" s="6"/>
      <c r="AO5" s="6">
        <v>26</v>
      </c>
      <c r="AP5" s="6">
        <v>38</v>
      </c>
      <c r="AQ5" s="6">
        <v>36</v>
      </c>
      <c r="AR5" s="6"/>
      <c r="AS5" s="6">
        <v>43</v>
      </c>
      <c r="AT5" s="6"/>
      <c r="AU5" s="6">
        <v>105</v>
      </c>
      <c r="AV5" s="6"/>
      <c r="AW5" s="6">
        <v>28</v>
      </c>
      <c r="AX5" s="6">
        <v>5</v>
      </c>
      <c r="AY5" s="6">
        <v>0</v>
      </c>
      <c r="AZ5" s="1"/>
      <c r="BA5" s="1">
        <v>0</v>
      </c>
      <c r="BB5" s="1">
        <v>0</v>
      </c>
      <c r="BC5" s="1"/>
    </row>
    <row r="6" spans="1:55" s="8" customFormat="1" ht="18" customHeight="1" x14ac:dyDescent="0.2">
      <c r="A6" s="1">
        <v>1996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1"/>
      <c r="U6" s="1"/>
      <c r="V6" s="1"/>
      <c r="W6" s="1"/>
      <c r="X6" s="7">
        <v>650</v>
      </c>
      <c r="Y6" s="7" t="s">
        <v>7</v>
      </c>
      <c r="Z6" s="10"/>
      <c r="AA6" s="8">
        <f t="shared" ref="AA6:AA25" si="0">COUNT(B6:W6)</f>
        <v>0</v>
      </c>
      <c r="AB6" s="2"/>
      <c r="AC6"/>
      <c r="AD6"/>
      <c r="AE6"/>
      <c r="AF6"/>
      <c r="AG6" s="1">
        <v>206</v>
      </c>
      <c r="AH6" s="1"/>
      <c r="AI6" s="1"/>
      <c r="AJ6" s="1"/>
      <c r="AK6" s="1"/>
      <c r="AL6" s="1"/>
      <c r="AM6" s="1"/>
      <c r="AN6" s="1"/>
      <c r="AO6" s="1"/>
      <c r="AP6" s="1">
        <v>95</v>
      </c>
      <c r="AQ6" s="1"/>
      <c r="AR6" s="1"/>
      <c r="AS6" s="1">
        <v>118</v>
      </c>
      <c r="AT6" s="1"/>
      <c r="AU6" s="1">
        <v>34</v>
      </c>
      <c r="AV6" s="1"/>
      <c r="AW6" s="1"/>
      <c r="AX6" s="1"/>
      <c r="AY6" s="1"/>
      <c r="AZ6" s="1"/>
      <c r="BA6" s="1"/>
      <c r="BB6" s="1">
        <v>0</v>
      </c>
      <c r="BC6" s="1"/>
    </row>
    <row r="7" spans="1:55" s="8" customFormat="1" ht="18" customHeight="1" x14ac:dyDescent="0.2">
      <c r="A7" s="1">
        <v>1997</v>
      </c>
      <c r="B7" s="6"/>
      <c r="C7" s="6"/>
      <c r="D7" s="6"/>
      <c r="E7" s="6"/>
      <c r="F7" s="6"/>
      <c r="G7" s="6"/>
      <c r="H7" s="6"/>
      <c r="I7" s="359"/>
      <c r="J7" s="359"/>
      <c r="K7" s="359"/>
      <c r="L7" s="359"/>
      <c r="M7" s="359">
        <v>691</v>
      </c>
      <c r="N7" s="359"/>
      <c r="O7" s="359"/>
      <c r="P7" s="359"/>
      <c r="Q7" s="359"/>
      <c r="R7" s="6">
        <v>3</v>
      </c>
      <c r="S7" s="6">
        <v>0</v>
      </c>
      <c r="T7" s="1"/>
      <c r="U7" s="1"/>
      <c r="V7" s="1"/>
      <c r="W7" s="1"/>
      <c r="X7" s="7">
        <v>825</v>
      </c>
      <c r="Y7" s="7" t="s">
        <v>7</v>
      </c>
      <c r="Z7" s="61"/>
      <c r="AA7" s="8">
        <f t="shared" si="0"/>
        <v>3</v>
      </c>
      <c r="AB7" s="2">
        <f t="shared" ref="AB7:AB25" si="1">MAX(B7:W7)</f>
        <v>691</v>
      </c>
      <c r="AC7">
        <f t="shared" ref="AC7:AC25" si="2">X7/AB7</f>
        <v>1.1939218523878437</v>
      </c>
      <c r="AD7"/>
      <c r="AE7"/>
      <c r="AF7"/>
      <c r="AG7" s="1">
        <v>2011</v>
      </c>
      <c r="AH7" s="1"/>
      <c r="AI7" s="1"/>
      <c r="AJ7" s="1"/>
      <c r="AK7" s="1"/>
      <c r="AL7" s="1"/>
      <c r="AM7" s="1"/>
      <c r="AN7" s="1">
        <v>0</v>
      </c>
      <c r="AO7" s="1"/>
      <c r="AP7" s="1"/>
      <c r="AQ7" s="1">
        <v>121</v>
      </c>
      <c r="AR7" s="1">
        <v>108</v>
      </c>
      <c r="AS7" s="1"/>
      <c r="AT7" s="1">
        <v>114</v>
      </c>
      <c r="AU7" s="1">
        <v>50</v>
      </c>
      <c r="AV7" s="1">
        <v>22</v>
      </c>
      <c r="AW7" s="1">
        <v>5</v>
      </c>
      <c r="AX7" s="1"/>
      <c r="AY7" s="1"/>
      <c r="AZ7" s="1">
        <v>0</v>
      </c>
      <c r="BA7" s="1"/>
      <c r="BB7" s="1"/>
      <c r="BC7" s="1"/>
    </row>
    <row r="8" spans="1:55" s="8" customFormat="1" ht="18" customHeight="1" x14ac:dyDescent="0.2">
      <c r="A8" s="1">
        <v>1998</v>
      </c>
      <c r="B8" s="6"/>
      <c r="C8" s="6"/>
      <c r="D8" s="6"/>
      <c r="E8" s="6"/>
      <c r="F8" s="6"/>
      <c r="G8" s="6"/>
      <c r="H8" s="6"/>
      <c r="I8" s="359"/>
      <c r="J8" s="359"/>
      <c r="K8" s="359">
        <v>383</v>
      </c>
      <c r="L8" s="359"/>
      <c r="M8" s="359">
        <v>756</v>
      </c>
      <c r="N8" s="359"/>
      <c r="O8" s="359"/>
      <c r="P8" s="359">
        <v>231</v>
      </c>
      <c r="Q8" s="359"/>
      <c r="R8" s="6"/>
      <c r="S8" s="6"/>
      <c r="T8" s="1"/>
      <c r="U8" s="1"/>
      <c r="V8" s="1"/>
      <c r="W8" s="1"/>
      <c r="X8" s="7">
        <v>800</v>
      </c>
      <c r="Y8" s="7" t="s">
        <v>7</v>
      </c>
      <c r="Z8" s="61"/>
      <c r="AA8" s="8">
        <f t="shared" si="0"/>
        <v>3</v>
      </c>
      <c r="AB8" s="2">
        <f t="shared" si="1"/>
        <v>756</v>
      </c>
      <c r="AC8">
        <f t="shared" si="2"/>
        <v>1.0582010582010581</v>
      </c>
      <c r="AD8"/>
      <c r="AE8"/>
      <c r="AF8"/>
      <c r="AG8" s="1">
        <v>215</v>
      </c>
      <c r="AH8" s="1"/>
      <c r="AI8" s="1"/>
      <c r="AJ8" s="1"/>
      <c r="AK8" s="1"/>
      <c r="AL8" s="1"/>
      <c r="AM8" s="1"/>
      <c r="AN8" s="1"/>
      <c r="AO8" s="1">
        <v>36</v>
      </c>
      <c r="AP8" s="1"/>
      <c r="AQ8" s="1"/>
      <c r="AR8" s="1">
        <v>178</v>
      </c>
      <c r="AS8" s="1">
        <v>161</v>
      </c>
      <c r="AT8" s="1"/>
      <c r="AU8" s="1">
        <v>23</v>
      </c>
      <c r="AV8" s="1"/>
      <c r="AW8" s="1"/>
      <c r="AX8" s="1"/>
      <c r="AY8" s="1"/>
      <c r="AZ8" s="1"/>
      <c r="BA8" s="1"/>
      <c r="BB8" s="1"/>
      <c r="BC8" s="1"/>
    </row>
    <row r="9" spans="1:55" s="8" customFormat="1" ht="18" customHeight="1" x14ac:dyDescent="0.2">
      <c r="A9" s="1">
        <v>1999</v>
      </c>
      <c r="B9" s="6"/>
      <c r="C9" s="6"/>
      <c r="D9" s="6"/>
      <c r="E9" s="6"/>
      <c r="F9" s="6"/>
      <c r="G9" s="6"/>
      <c r="H9" s="6"/>
      <c r="I9" s="359"/>
      <c r="J9" s="359">
        <v>60</v>
      </c>
      <c r="K9" s="359"/>
      <c r="L9" s="359">
        <v>191</v>
      </c>
      <c r="M9" s="359"/>
      <c r="N9" s="360">
        <v>638</v>
      </c>
      <c r="O9" s="359"/>
      <c r="P9" s="359"/>
      <c r="Q9" s="359"/>
      <c r="R9" s="6">
        <v>34</v>
      </c>
      <c r="S9" s="6"/>
      <c r="T9" s="1"/>
      <c r="U9" s="1"/>
      <c r="V9" s="1"/>
      <c r="W9" s="1"/>
      <c r="X9" s="9">
        <v>725</v>
      </c>
      <c r="Y9" s="7" t="s">
        <v>5</v>
      </c>
      <c r="Z9" s="62">
        <v>12</v>
      </c>
      <c r="AA9" s="8">
        <f t="shared" si="0"/>
        <v>4</v>
      </c>
      <c r="AB9" s="2">
        <f t="shared" si="1"/>
        <v>638</v>
      </c>
      <c r="AC9">
        <f t="shared" si="2"/>
        <v>1.1363636363636365</v>
      </c>
      <c r="AD9"/>
      <c r="AE9"/>
      <c r="AF9"/>
      <c r="AG9" s="1">
        <v>225</v>
      </c>
      <c r="AH9" s="1"/>
      <c r="AI9" s="1"/>
      <c r="AJ9" s="1"/>
      <c r="AK9" s="1"/>
      <c r="AL9" s="1"/>
      <c r="AM9" s="1">
        <v>0</v>
      </c>
      <c r="AN9" s="1">
        <v>11</v>
      </c>
      <c r="AO9" s="1"/>
      <c r="AP9" s="1">
        <v>113</v>
      </c>
      <c r="AQ9" s="1">
        <v>118</v>
      </c>
      <c r="AR9" s="1">
        <v>127</v>
      </c>
      <c r="AS9" s="1">
        <v>119</v>
      </c>
      <c r="AT9" s="1">
        <v>42</v>
      </c>
      <c r="AU9" s="1">
        <v>31</v>
      </c>
      <c r="AV9" s="1">
        <v>5</v>
      </c>
      <c r="AW9" s="1">
        <v>0</v>
      </c>
      <c r="AX9" s="1">
        <v>0</v>
      </c>
      <c r="AY9" s="1"/>
      <c r="AZ9" s="1"/>
      <c r="BA9" s="1"/>
      <c r="BB9" s="1"/>
      <c r="BC9" s="1"/>
    </row>
    <row r="10" spans="1:55" s="8" customFormat="1" ht="18" customHeight="1" x14ac:dyDescent="0.2">
      <c r="A10" s="1">
        <v>2000</v>
      </c>
      <c r="B10" s="6"/>
      <c r="C10" s="6"/>
      <c r="D10" s="6"/>
      <c r="E10" s="6"/>
      <c r="F10" s="6"/>
      <c r="G10" s="6"/>
      <c r="H10" s="6"/>
      <c r="I10" s="359"/>
      <c r="J10" s="359"/>
      <c r="K10" s="359">
        <v>86</v>
      </c>
      <c r="L10" s="359">
        <v>130</v>
      </c>
      <c r="M10" s="359"/>
      <c r="N10" s="360">
        <v>1306</v>
      </c>
      <c r="O10" s="359">
        <v>796</v>
      </c>
      <c r="P10" s="359">
        <v>252</v>
      </c>
      <c r="Q10" s="359">
        <v>62</v>
      </c>
      <c r="R10" s="6">
        <v>34</v>
      </c>
      <c r="S10" s="6">
        <v>1</v>
      </c>
      <c r="T10" s="1">
        <v>0</v>
      </c>
      <c r="U10" s="1">
        <v>0</v>
      </c>
      <c r="V10" s="1">
        <v>0</v>
      </c>
      <c r="W10" s="1">
        <v>0</v>
      </c>
      <c r="X10" s="10">
        <v>1781</v>
      </c>
      <c r="Y10" s="7" t="s">
        <v>5</v>
      </c>
      <c r="Z10" s="62">
        <v>15</v>
      </c>
      <c r="AA10" s="8">
        <f t="shared" si="0"/>
        <v>12</v>
      </c>
      <c r="AB10" s="2">
        <f t="shared" si="1"/>
        <v>1306</v>
      </c>
      <c r="AC10">
        <f t="shared" si="2"/>
        <v>1.3637059724349159</v>
      </c>
      <c r="AD10"/>
      <c r="AE10"/>
      <c r="AF10"/>
      <c r="AG10" s="12">
        <v>226</v>
      </c>
      <c r="AH10" s="6"/>
      <c r="AI10" s="6"/>
      <c r="AJ10" s="6"/>
      <c r="AK10" s="6"/>
      <c r="AL10" s="6"/>
      <c r="AM10" s="6"/>
      <c r="AN10" s="6">
        <v>5</v>
      </c>
      <c r="AO10" s="6">
        <v>41</v>
      </c>
      <c r="AP10" s="6">
        <v>206</v>
      </c>
      <c r="AQ10" s="6">
        <v>166</v>
      </c>
      <c r="AR10" s="6">
        <v>225</v>
      </c>
      <c r="AS10" s="6">
        <v>179</v>
      </c>
      <c r="AT10" s="6">
        <v>113</v>
      </c>
      <c r="AU10" s="6">
        <v>33</v>
      </c>
      <c r="AV10" s="6"/>
      <c r="AW10" s="6">
        <v>0</v>
      </c>
      <c r="AX10" s="6">
        <v>0</v>
      </c>
      <c r="AY10" s="6"/>
      <c r="AZ10" s="1"/>
      <c r="BA10" s="1"/>
      <c r="BB10" s="1"/>
      <c r="BC10" s="1"/>
    </row>
    <row r="11" spans="1:55" s="8" customFormat="1" ht="18" customHeight="1" x14ac:dyDescent="0.2">
      <c r="A11" s="1">
        <v>2001</v>
      </c>
      <c r="B11" s="6"/>
      <c r="C11" s="6"/>
      <c r="D11" s="6"/>
      <c r="E11" s="6"/>
      <c r="F11" s="6"/>
      <c r="G11" s="6"/>
      <c r="H11" s="6"/>
      <c r="I11" s="359">
        <v>0</v>
      </c>
      <c r="J11" s="359">
        <v>579</v>
      </c>
      <c r="K11" s="359"/>
      <c r="L11" s="359">
        <v>666</v>
      </c>
      <c r="M11" s="359">
        <v>1723</v>
      </c>
      <c r="N11" s="360">
        <v>1810</v>
      </c>
      <c r="O11" s="359">
        <v>641</v>
      </c>
      <c r="P11" s="359"/>
      <c r="Q11" s="359">
        <v>39</v>
      </c>
      <c r="R11" s="6">
        <v>7</v>
      </c>
      <c r="S11" s="6">
        <v>0</v>
      </c>
      <c r="T11" s="1">
        <v>0</v>
      </c>
      <c r="U11" s="1">
        <v>0</v>
      </c>
      <c r="V11" s="1">
        <v>0</v>
      </c>
      <c r="W11" s="1">
        <v>0</v>
      </c>
      <c r="X11" s="7">
        <v>2082</v>
      </c>
      <c r="Y11" s="7" t="s">
        <v>5</v>
      </c>
      <c r="Z11" s="62">
        <v>20</v>
      </c>
      <c r="AA11" s="8">
        <f t="shared" si="0"/>
        <v>13</v>
      </c>
      <c r="AB11" s="2">
        <f t="shared" si="1"/>
        <v>1810</v>
      </c>
      <c r="AC11">
        <f t="shared" si="2"/>
        <v>1.1502762430939226</v>
      </c>
      <c r="AD11"/>
      <c r="AE11"/>
      <c r="AF11"/>
      <c r="AG11" s="12">
        <v>414</v>
      </c>
      <c r="AH11" s="6"/>
      <c r="AI11" s="6"/>
      <c r="AJ11" s="6"/>
      <c r="AK11" s="6"/>
      <c r="AL11" s="6"/>
      <c r="AM11" s="6"/>
      <c r="AN11" s="6"/>
      <c r="AO11" s="6"/>
      <c r="AP11" s="6"/>
      <c r="AQ11" s="6">
        <v>154</v>
      </c>
      <c r="AR11" s="6">
        <v>146</v>
      </c>
      <c r="AS11" s="6">
        <v>131</v>
      </c>
      <c r="AT11" s="6">
        <v>327</v>
      </c>
      <c r="AU11" s="6">
        <v>30</v>
      </c>
      <c r="AV11" s="6">
        <v>4</v>
      </c>
      <c r="AW11" s="6">
        <v>0</v>
      </c>
      <c r="AX11" s="6">
        <v>0</v>
      </c>
      <c r="AY11" s="6">
        <v>0</v>
      </c>
      <c r="AZ11" s="1"/>
      <c r="BA11" s="1">
        <v>0</v>
      </c>
      <c r="BB11" s="1">
        <v>0</v>
      </c>
      <c r="BC11" s="1"/>
    </row>
    <row r="12" spans="1:55" s="8" customFormat="1" ht="18" customHeight="1" x14ac:dyDescent="0.2">
      <c r="A12" s="1">
        <v>2002</v>
      </c>
      <c r="B12" s="6"/>
      <c r="C12" s="6"/>
      <c r="D12" s="6"/>
      <c r="E12" s="6"/>
      <c r="F12" s="6"/>
      <c r="G12" s="6"/>
      <c r="H12" s="6"/>
      <c r="I12" s="359">
        <v>26</v>
      </c>
      <c r="J12" s="359">
        <v>38</v>
      </c>
      <c r="K12" s="359">
        <v>36</v>
      </c>
      <c r="L12" s="359"/>
      <c r="M12" s="359">
        <v>43</v>
      </c>
      <c r="N12" s="359"/>
      <c r="O12" s="359">
        <v>105</v>
      </c>
      <c r="P12" s="359"/>
      <c r="Q12" s="359">
        <v>28</v>
      </c>
      <c r="R12" s="6">
        <v>5</v>
      </c>
      <c r="S12" s="6">
        <v>0</v>
      </c>
      <c r="T12" s="1"/>
      <c r="U12" s="1">
        <v>0</v>
      </c>
      <c r="V12" s="1">
        <v>0</v>
      </c>
      <c r="W12" s="1"/>
      <c r="X12" s="7">
        <v>147</v>
      </c>
      <c r="Y12" s="7" t="s">
        <v>5</v>
      </c>
      <c r="Z12" s="62">
        <v>20</v>
      </c>
      <c r="AA12" s="8">
        <f t="shared" si="0"/>
        <v>10</v>
      </c>
      <c r="AB12" s="2">
        <f t="shared" si="1"/>
        <v>105</v>
      </c>
      <c r="AC12">
        <f t="shared" si="2"/>
        <v>1.4</v>
      </c>
      <c r="AD12"/>
      <c r="AE12"/>
      <c r="AF12"/>
      <c r="AG12" s="7">
        <v>450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1"/>
      <c r="BA12" s="1"/>
      <c r="BB12" s="1"/>
      <c r="BC12" s="1"/>
    </row>
    <row r="13" spans="1:55" s="8" customFormat="1" ht="18" customHeight="1" x14ac:dyDescent="0.2">
      <c r="A13" s="1">
        <v>2003</v>
      </c>
      <c r="B13" s="6"/>
      <c r="C13" s="6"/>
      <c r="D13" s="6"/>
      <c r="E13" s="6"/>
      <c r="F13" s="6"/>
      <c r="G13" s="6"/>
      <c r="H13" s="6"/>
      <c r="I13" s="359">
        <v>35</v>
      </c>
      <c r="J13" s="359">
        <v>45</v>
      </c>
      <c r="K13" s="359"/>
      <c r="L13" s="360">
        <v>1846</v>
      </c>
      <c r="M13" s="359">
        <v>1482</v>
      </c>
      <c r="N13" s="359">
        <v>857</v>
      </c>
      <c r="O13" s="359">
        <v>486</v>
      </c>
      <c r="P13" s="359">
        <v>95</v>
      </c>
      <c r="Q13" s="359">
        <v>2</v>
      </c>
      <c r="R13" s="6"/>
      <c r="S13" s="6">
        <v>0</v>
      </c>
      <c r="T13" s="1">
        <v>0</v>
      </c>
      <c r="U13" s="1">
        <v>0</v>
      </c>
      <c r="V13" s="1">
        <v>0</v>
      </c>
      <c r="W13" s="1"/>
      <c r="X13" s="7">
        <v>1846</v>
      </c>
      <c r="Y13" s="7" t="s">
        <v>5</v>
      </c>
      <c r="Z13" s="62">
        <v>17</v>
      </c>
      <c r="AA13" s="8">
        <f t="shared" si="0"/>
        <v>12</v>
      </c>
      <c r="AB13" s="2">
        <f t="shared" si="1"/>
        <v>1846</v>
      </c>
      <c r="AC13">
        <f t="shared" si="2"/>
        <v>1</v>
      </c>
      <c r="AD13"/>
      <c r="AE13"/>
      <c r="AF13"/>
      <c r="AG13" s="11">
        <v>632</v>
      </c>
      <c r="AH13" s="6"/>
      <c r="AI13" s="6"/>
      <c r="AJ13" s="6"/>
      <c r="AK13" s="6"/>
      <c r="AL13" s="6"/>
      <c r="AM13" s="6"/>
      <c r="AN13" s="6"/>
      <c r="AO13" s="6"/>
      <c r="AP13" s="6">
        <v>2</v>
      </c>
      <c r="AQ13" s="6">
        <v>154</v>
      </c>
      <c r="AR13" s="6">
        <v>534</v>
      </c>
      <c r="AS13" s="6">
        <v>509</v>
      </c>
      <c r="AT13" s="6">
        <v>381</v>
      </c>
      <c r="AU13" s="6">
        <v>10</v>
      </c>
      <c r="AV13" s="6">
        <v>2</v>
      </c>
      <c r="AW13" s="6">
        <v>0</v>
      </c>
      <c r="AX13" s="6">
        <v>0</v>
      </c>
      <c r="AY13" s="6">
        <v>0</v>
      </c>
      <c r="AZ13" s="1">
        <v>0</v>
      </c>
      <c r="BA13" s="1">
        <v>0</v>
      </c>
      <c r="BB13" s="1">
        <v>0</v>
      </c>
      <c r="BC13" s="1">
        <v>0</v>
      </c>
    </row>
    <row r="14" spans="1:55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6"/>
      <c r="I14" s="359">
        <v>59</v>
      </c>
      <c r="J14" s="359"/>
      <c r="K14" s="359">
        <v>61</v>
      </c>
      <c r="L14" s="359">
        <v>785</v>
      </c>
      <c r="M14" s="359">
        <v>630</v>
      </c>
      <c r="N14" s="360">
        <v>791</v>
      </c>
      <c r="O14" s="359">
        <v>237</v>
      </c>
      <c r="P14" s="359">
        <v>22</v>
      </c>
      <c r="Q14" s="359">
        <v>0</v>
      </c>
      <c r="R14" s="6">
        <v>0</v>
      </c>
      <c r="S14" s="6">
        <v>0</v>
      </c>
      <c r="T14" s="1">
        <v>0</v>
      </c>
      <c r="U14" s="1">
        <v>0</v>
      </c>
      <c r="V14" s="1">
        <v>0</v>
      </c>
      <c r="W14" s="1">
        <v>0</v>
      </c>
      <c r="X14" s="11">
        <v>1127</v>
      </c>
      <c r="Y14" s="7" t="s">
        <v>5</v>
      </c>
      <c r="Z14" s="62">
        <v>25</v>
      </c>
      <c r="AA14" s="8">
        <f t="shared" si="0"/>
        <v>14</v>
      </c>
      <c r="AB14" s="2">
        <f t="shared" si="1"/>
        <v>791</v>
      </c>
      <c r="AC14">
        <f t="shared" si="2"/>
        <v>1.4247787610619469</v>
      </c>
      <c r="AD14"/>
      <c r="AE14"/>
      <c r="AF14"/>
      <c r="AG14" s="7">
        <v>650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1"/>
      <c r="BA14" s="1"/>
      <c r="BB14" s="1"/>
      <c r="BC14" s="1"/>
    </row>
    <row r="15" spans="1:55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6"/>
      <c r="I15" s="359"/>
      <c r="J15" s="359">
        <v>2</v>
      </c>
      <c r="K15" s="359">
        <v>154</v>
      </c>
      <c r="L15" s="360">
        <v>534</v>
      </c>
      <c r="M15" s="359">
        <v>509</v>
      </c>
      <c r="N15" s="359">
        <v>381</v>
      </c>
      <c r="O15" s="359">
        <v>10</v>
      </c>
      <c r="P15" s="359">
        <v>2</v>
      </c>
      <c r="Q15" s="359">
        <v>0</v>
      </c>
      <c r="R15" s="6">
        <v>0</v>
      </c>
      <c r="S15" s="6">
        <v>0</v>
      </c>
      <c r="T15" s="1">
        <v>0</v>
      </c>
      <c r="U15" s="1">
        <v>0</v>
      </c>
      <c r="V15" s="1">
        <v>0</v>
      </c>
      <c r="W15" s="1">
        <v>0</v>
      </c>
      <c r="X15" s="11">
        <v>632</v>
      </c>
      <c r="Y15" s="7" t="s">
        <v>5</v>
      </c>
      <c r="Z15" s="62">
        <v>17.5</v>
      </c>
      <c r="AA15" s="8">
        <f t="shared" si="0"/>
        <v>14</v>
      </c>
      <c r="AB15" s="2">
        <f t="shared" si="1"/>
        <v>534</v>
      </c>
      <c r="AC15">
        <f t="shared" si="2"/>
        <v>1.1835205992509363</v>
      </c>
      <c r="AD15"/>
      <c r="AE15"/>
      <c r="AF15"/>
      <c r="AG15" s="9">
        <v>725</v>
      </c>
      <c r="AH15" s="6"/>
      <c r="AI15" s="6"/>
      <c r="AJ15" s="6"/>
      <c r="AK15" s="6"/>
      <c r="AL15" s="6"/>
      <c r="AM15" s="6"/>
      <c r="AN15" s="6"/>
      <c r="AO15" s="6"/>
      <c r="AP15" s="6">
        <v>60</v>
      </c>
      <c r="AQ15" s="6"/>
      <c r="AR15" s="6">
        <v>191</v>
      </c>
      <c r="AS15" s="6"/>
      <c r="AT15" s="6">
        <v>638</v>
      </c>
      <c r="AU15" s="6"/>
      <c r="AV15" s="6"/>
      <c r="AW15" s="6"/>
      <c r="AX15" s="6">
        <v>34</v>
      </c>
      <c r="AY15" s="6"/>
      <c r="AZ15" s="1"/>
      <c r="BA15" s="1"/>
      <c r="BB15" s="1"/>
      <c r="BC15" s="1"/>
    </row>
    <row r="16" spans="1:55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6"/>
      <c r="I16" s="359"/>
      <c r="J16" s="359"/>
      <c r="K16" s="359">
        <v>154</v>
      </c>
      <c r="L16" s="359">
        <v>146</v>
      </c>
      <c r="M16" s="359">
        <v>131</v>
      </c>
      <c r="N16" s="360">
        <v>327</v>
      </c>
      <c r="O16" s="359">
        <v>30</v>
      </c>
      <c r="P16" s="359">
        <v>4</v>
      </c>
      <c r="Q16" s="359">
        <v>0</v>
      </c>
      <c r="R16" s="6">
        <v>0</v>
      </c>
      <c r="S16" s="6">
        <v>0</v>
      </c>
      <c r="T16" s="1"/>
      <c r="U16" s="1">
        <v>0</v>
      </c>
      <c r="V16" s="1">
        <v>0</v>
      </c>
      <c r="W16" s="1"/>
      <c r="X16" s="12">
        <v>414</v>
      </c>
      <c r="Y16" s="7" t="s">
        <v>5</v>
      </c>
      <c r="Z16" s="62">
        <v>20</v>
      </c>
      <c r="AA16" s="8">
        <f t="shared" si="0"/>
        <v>11</v>
      </c>
      <c r="AB16" s="2">
        <f t="shared" si="1"/>
        <v>327</v>
      </c>
      <c r="AC16">
        <f t="shared" si="2"/>
        <v>1.2660550458715596</v>
      </c>
      <c r="AD16"/>
      <c r="AE16"/>
      <c r="AF16"/>
      <c r="AG16" s="7">
        <v>800</v>
      </c>
      <c r="AH16" s="6"/>
      <c r="AI16" s="6"/>
      <c r="AJ16" s="6"/>
      <c r="AK16" s="6"/>
      <c r="AL16" s="6"/>
      <c r="AM16" s="6"/>
      <c r="AN16" s="6"/>
      <c r="AO16" s="6"/>
      <c r="AP16" s="6"/>
      <c r="AQ16" s="6">
        <v>383</v>
      </c>
      <c r="AR16" s="6"/>
      <c r="AS16" s="6">
        <v>756</v>
      </c>
      <c r="AT16" s="6"/>
      <c r="AU16" s="6"/>
      <c r="AV16" s="6">
        <v>231</v>
      </c>
      <c r="AW16" s="6"/>
      <c r="AX16" s="6"/>
      <c r="AY16" s="6"/>
      <c r="AZ16" s="1"/>
      <c r="BA16" s="1"/>
      <c r="BB16" s="1"/>
      <c r="BC16" s="1"/>
    </row>
    <row r="17" spans="1:55" s="8" customFormat="1" ht="18" customHeight="1" x14ac:dyDescent="0.2">
      <c r="A17" s="1">
        <v>2007</v>
      </c>
      <c r="B17" s="6"/>
      <c r="C17" s="6"/>
      <c r="D17" s="6"/>
      <c r="E17" s="6"/>
      <c r="F17" s="6"/>
      <c r="G17" s="6"/>
      <c r="H17" s="6">
        <v>5</v>
      </c>
      <c r="I17" s="359">
        <v>41</v>
      </c>
      <c r="J17" s="359">
        <v>206</v>
      </c>
      <c r="K17" s="359">
        <v>166</v>
      </c>
      <c r="L17" s="360">
        <v>225</v>
      </c>
      <c r="M17" s="359">
        <v>179</v>
      </c>
      <c r="N17" s="359">
        <v>113</v>
      </c>
      <c r="O17" s="359">
        <v>33</v>
      </c>
      <c r="P17" s="359"/>
      <c r="Q17" s="359">
        <v>0</v>
      </c>
      <c r="R17" s="6">
        <v>0</v>
      </c>
      <c r="S17" s="6"/>
      <c r="T17" s="1"/>
      <c r="U17" s="1"/>
      <c r="V17" s="1"/>
      <c r="W17" s="1"/>
      <c r="X17" s="12">
        <v>226</v>
      </c>
      <c r="Y17" s="7" t="s">
        <v>5</v>
      </c>
      <c r="Z17" s="62">
        <v>25</v>
      </c>
      <c r="AA17" s="8">
        <f t="shared" si="0"/>
        <v>10</v>
      </c>
      <c r="AB17" s="2">
        <f t="shared" si="1"/>
        <v>225</v>
      </c>
      <c r="AC17">
        <f t="shared" si="2"/>
        <v>1.0044444444444445</v>
      </c>
      <c r="AD17"/>
      <c r="AE17"/>
      <c r="AF17"/>
      <c r="AG17" s="7">
        <v>825</v>
      </c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>
        <v>691</v>
      </c>
      <c r="AT17" s="6"/>
      <c r="AU17" s="6"/>
      <c r="AV17" s="6"/>
      <c r="AW17" s="6"/>
      <c r="AX17" s="6">
        <v>3</v>
      </c>
      <c r="AY17" s="6">
        <v>0</v>
      </c>
      <c r="AZ17" s="1"/>
      <c r="BA17" s="1"/>
      <c r="BB17" s="1"/>
      <c r="BC17" s="1"/>
    </row>
    <row r="18" spans="1:55" s="8" customFormat="1" ht="18" customHeight="1" x14ac:dyDescent="0.2">
      <c r="A18" s="1">
        <v>2008</v>
      </c>
      <c r="B18" s="1"/>
      <c r="C18" s="1"/>
      <c r="D18" s="1"/>
      <c r="E18" s="1"/>
      <c r="F18" s="1"/>
      <c r="G18" s="1"/>
      <c r="H18" s="1"/>
      <c r="I18" s="14">
        <v>36</v>
      </c>
      <c r="J18" s="14"/>
      <c r="K18" s="14"/>
      <c r="L18" s="368">
        <v>178</v>
      </c>
      <c r="M18" s="14">
        <v>161</v>
      </c>
      <c r="N18" s="14"/>
      <c r="O18" s="14">
        <v>23</v>
      </c>
      <c r="P18" s="14"/>
      <c r="Q18" s="14"/>
      <c r="R18" s="1"/>
      <c r="S18" s="1"/>
      <c r="T18" s="1"/>
      <c r="U18" s="1"/>
      <c r="V18" s="1"/>
      <c r="W18" s="1"/>
      <c r="X18" s="1">
        <v>215</v>
      </c>
      <c r="Y18" s="7" t="s">
        <v>5</v>
      </c>
      <c r="Z18" s="54">
        <v>22.5</v>
      </c>
      <c r="AA18" s="8">
        <f t="shared" si="0"/>
        <v>4</v>
      </c>
      <c r="AB18" s="2">
        <f t="shared" si="1"/>
        <v>178</v>
      </c>
      <c r="AC18">
        <f t="shared" si="2"/>
        <v>1.2078651685393258</v>
      </c>
      <c r="AD18"/>
      <c r="AE18"/>
      <c r="AF18"/>
      <c r="AG18" s="11">
        <v>1127</v>
      </c>
      <c r="AH18" s="6"/>
      <c r="AI18" s="6"/>
      <c r="AJ18" s="6"/>
      <c r="AK18" s="6"/>
      <c r="AL18" s="6"/>
      <c r="AM18" s="6"/>
      <c r="AN18" s="6"/>
      <c r="AO18" s="6">
        <v>59</v>
      </c>
      <c r="AP18" s="6"/>
      <c r="AQ18" s="6">
        <v>61</v>
      </c>
      <c r="AR18" s="6">
        <v>785</v>
      </c>
      <c r="AS18" s="6">
        <v>630</v>
      </c>
      <c r="AT18" s="6">
        <v>791</v>
      </c>
      <c r="AU18" s="6">
        <v>237</v>
      </c>
      <c r="AV18" s="6">
        <v>22</v>
      </c>
      <c r="AW18" s="6">
        <v>0</v>
      </c>
      <c r="AX18" s="6">
        <v>0</v>
      </c>
      <c r="AY18" s="6">
        <v>0</v>
      </c>
      <c r="AZ18" s="1">
        <v>0</v>
      </c>
      <c r="BA18" s="1">
        <v>0</v>
      </c>
      <c r="BB18" s="1">
        <v>0</v>
      </c>
      <c r="BC18" s="1">
        <v>0</v>
      </c>
    </row>
    <row r="19" spans="1:55" s="8" customFormat="1" ht="18" customHeight="1" x14ac:dyDescent="0.2">
      <c r="A19" s="1">
        <v>2009</v>
      </c>
      <c r="B19" s="1"/>
      <c r="C19" s="1"/>
      <c r="D19" s="1"/>
      <c r="E19" s="1"/>
      <c r="F19" s="1"/>
      <c r="G19" s="1"/>
      <c r="H19" s="1"/>
      <c r="I19" s="14"/>
      <c r="J19" s="14">
        <v>95</v>
      </c>
      <c r="K19" s="14"/>
      <c r="L19" s="14"/>
      <c r="M19" s="14">
        <v>118</v>
      </c>
      <c r="N19" s="14"/>
      <c r="O19" s="14">
        <v>34</v>
      </c>
      <c r="P19" s="14"/>
      <c r="Q19" s="14"/>
      <c r="R19" s="1"/>
      <c r="S19" s="1"/>
      <c r="T19" s="1"/>
      <c r="U19" s="1"/>
      <c r="V19" s="1">
        <v>0</v>
      </c>
      <c r="W19" s="1"/>
      <c r="X19" s="1">
        <v>206</v>
      </c>
      <c r="Y19" s="7" t="s">
        <v>5</v>
      </c>
      <c r="Z19" s="54">
        <v>25</v>
      </c>
      <c r="AA19" s="8">
        <f t="shared" si="0"/>
        <v>4</v>
      </c>
      <c r="AB19" s="2">
        <f t="shared" si="1"/>
        <v>118</v>
      </c>
      <c r="AC19">
        <f t="shared" si="2"/>
        <v>1.7457627118644068</v>
      </c>
      <c r="AD19"/>
      <c r="AE19"/>
      <c r="AF19"/>
      <c r="AG19" s="10">
        <v>1781</v>
      </c>
      <c r="AH19" s="6"/>
      <c r="AI19" s="6"/>
      <c r="AJ19" s="6"/>
      <c r="AK19" s="6"/>
      <c r="AL19" s="6"/>
      <c r="AM19" s="6"/>
      <c r="AN19" s="6"/>
      <c r="AO19" s="6"/>
      <c r="AP19" s="6"/>
      <c r="AQ19" s="6">
        <v>86</v>
      </c>
      <c r="AR19" s="6">
        <v>130</v>
      </c>
      <c r="AS19" s="6"/>
      <c r="AT19" s="6">
        <v>1306</v>
      </c>
      <c r="AU19" s="6">
        <v>796</v>
      </c>
      <c r="AV19" s="6">
        <v>252</v>
      </c>
      <c r="AW19" s="6">
        <v>62</v>
      </c>
      <c r="AX19" s="6">
        <v>34</v>
      </c>
      <c r="AY19" s="6">
        <v>1</v>
      </c>
      <c r="AZ19" s="1">
        <v>0</v>
      </c>
      <c r="BA19" s="1">
        <v>0</v>
      </c>
      <c r="BB19" s="1">
        <v>0</v>
      </c>
      <c r="BC19" s="1">
        <v>0</v>
      </c>
    </row>
    <row r="20" spans="1:55" s="8" customFormat="1" ht="18" customHeight="1" x14ac:dyDescent="0.2">
      <c r="A20" s="1">
        <v>2010</v>
      </c>
      <c r="B20" s="1"/>
      <c r="C20" s="1"/>
      <c r="D20" s="1"/>
      <c r="E20" s="1"/>
      <c r="F20" s="1"/>
      <c r="G20" s="1">
        <v>0</v>
      </c>
      <c r="H20" s="1">
        <v>11</v>
      </c>
      <c r="I20" s="14"/>
      <c r="J20" s="14">
        <v>113</v>
      </c>
      <c r="K20" s="14">
        <v>118</v>
      </c>
      <c r="L20" s="368">
        <v>127</v>
      </c>
      <c r="M20" s="14">
        <v>119</v>
      </c>
      <c r="N20" s="14">
        <v>42</v>
      </c>
      <c r="O20" s="14">
        <v>31</v>
      </c>
      <c r="P20" s="14">
        <v>5</v>
      </c>
      <c r="Q20" s="14">
        <v>0</v>
      </c>
      <c r="R20" s="1">
        <v>0</v>
      </c>
      <c r="S20" s="1"/>
      <c r="T20" s="1"/>
      <c r="U20" s="1"/>
      <c r="V20" s="1"/>
      <c r="W20" s="1"/>
      <c r="X20" s="1">
        <v>225</v>
      </c>
      <c r="Y20" s="7"/>
      <c r="Z20" s="54"/>
      <c r="AA20" s="8">
        <f t="shared" si="0"/>
        <v>11</v>
      </c>
      <c r="AB20" s="2">
        <f t="shared" si="1"/>
        <v>127</v>
      </c>
      <c r="AC20">
        <f t="shared" si="2"/>
        <v>1.7716535433070866</v>
      </c>
      <c r="AD20"/>
      <c r="AE20"/>
      <c r="AF20"/>
      <c r="AG20" s="7">
        <v>1846</v>
      </c>
      <c r="AH20" s="6"/>
      <c r="AI20" s="6"/>
      <c r="AJ20" s="6"/>
      <c r="AK20" s="6"/>
      <c r="AL20" s="6"/>
      <c r="AM20" s="6"/>
      <c r="AN20" s="6"/>
      <c r="AO20" s="6">
        <v>35</v>
      </c>
      <c r="AP20" s="6">
        <v>45</v>
      </c>
      <c r="AQ20" s="6"/>
      <c r="AR20" s="6">
        <v>1846</v>
      </c>
      <c r="AS20" s="6">
        <v>1482</v>
      </c>
      <c r="AT20" s="6">
        <v>857</v>
      </c>
      <c r="AU20" s="6">
        <v>486</v>
      </c>
      <c r="AV20" s="6">
        <v>95</v>
      </c>
      <c r="AW20" s="6">
        <v>2</v>
      </c>
      <c r="AX20" s="6"/>
      <c r="AY20" s="6">
        <v>0</v>
      </c>
      <c r="AZ20" s="1">
        <v>0</v>
      </c>
      <c r="BA20" s="1">
        <v>0</v>
      </c>
      <c r="BB20" s="1">
        <v>0</v>
      </c>
      <c r="BC20" s="1"/>
    </row>
    <row r="21" spans="1:55" s="8" customFormat="1" ht="18" customHeight="1" x14ac:dyDescent="0.2">
      <c r="A21" s="1">
        <v>2011</v>
      </c>
      <c r="B21" s="1"/>
      <c r="C21" s="1"/>
      <c r="D21" s="1"/>
      <c r="E21" s="1"/>
      <c r="F21" s="1"/>
      <c r="G21" s="1"/>
      <c r="H21" s="1">
        <v>0</v>
      </c>
      <c r="I21" s="14"/>
      <c r="J21" s="14"/>
      <c r="K21" s="368">
        <v>121</v>
      </c>
      <c r="L21" s="14">
        <v>108</v>
      </c>
      <c r="M21" s="14"/>
      <c r="N21" s="14">
        <v>114</v>
      </c>
      <c r="O21" s="14">
        <v>50</v>
      </c>
      <c r="P21" s="14">
        <v>22</v>
      </c>
      <c r="Q21" s="14">
        <v>5</v>
      </c>
      <c r="R21" s="1"/>
      <c r="S21" s="1"/>
      <c r="T21" s="1">
        <v>0</v>
      </c>
      <c r="U21" s="1"/>
      <c r="V21" s="1"/>
      <c r="W21" s="1"/>
      <c r="X21" s="1">
        <v>221</v>
      </c>
      <c r="Y21" s="7" t="s">
        <v>5</v>
      </c>
      <c r="Z21" s="54">
        <v>20</v>
      </c>
      <c r="AA21" s="8">
        <f t="shared" si="0"/>
        <v>8</v>
      </c>
      <c r="AB21" s="2">
        <f t="shared" si="1"/>
        <v>121</v>
      </c>
      <c r="AC21">
        <f t="shared" si="2"/>
        <v>1.8264462809917354</v>
      </c>
      <c r="AD21"/>
      <c r="AE21"/>
      <c r="AF21"/>
      <c r="AG21" s="7">
        <v>2082</v>
      </c>
      <c r="AH21" s="6"/>
      <c r="AI21" s="6"/>
      <c r="AJ21" s="6"/>
      <c r="AK21" s="6"/>
      <c r="AL21" s="6"/>
      <c r="AM21" s="6"/>
      <c r="AN21" s="6"/>
      <c r="AO21" s="6">
        <v>0</v>
      </c>
      <c r="AP21" s="6">
        <v>579</v>
      </c>
      <c r="AQ21" s="6"/>
      <c r="AR21" s="6">
        <v>666</v>
      </c>
      <c r="AS21" s="6">
        <v>1723</v>
      </c>
      <c r="AT21" s="6">
        <v>1810</v>
      </c>
      <c r="AU21" s="6">
        <v>641</v>
      </c>
      <c r="AV21" s="6"/>
      <c r="AW21" s="6">
        <v>39</v>
      </c>
      <c r="AX21" s="6">
        <v>7</v>
      </c>
      <c r="AY21" s="6">
        <v>0</v>
      </c>
      <c r="AZ21" s="1">
        <v>0</v>
      </c>
      <c r="BA21" s="1">
        <v>0</v>
      </c>
      <c r="BB21" s="1">
        <v>0</v>
      </c>
      <c r="BC21" s="1">
        <v>0</v>
      </c>
    </row>
    <row r="22" spans="1:55" s="8" customFormat="1" ht="18" customHeight="1" x14ac:dyDescent="0.2">
      <c r="A22" s="1">
        <v>2012</v>
      </c>
      <c r="B22" s="1"/>
      <c r="C22" s="1"/>
      <c r="D22" s="1"/>
      <c r="E22" s="1"/>
      <c r="F22" s="1">
        <v>1</v>
      </c>
      <c r="G22" s="1">
        <v>3</v>
      </c>
      <c r="H22" s="1">
        <v>9</v>
      </c>
      <c r="I22" s="14">
        <v>9</v>
      </c>
      <c r="J22" s="14"/>
      <c r="K22" s="14">
        <v>10</v>
      </c>
      <c r="L22" s="368">
        <v>181</v>
      </c>
      <c r="M22" s="14">
        <v>168</v>
      </c>
      <c r="N22" s="14">
        <v>135</v>
      </c>
      <c r="O22" s="14">
        <v>41</v>
      </c>
      <c r="P22" s="14">
        <v>10</v>
      </c>
      <c r="Q22" s="14">
        <v>3</v>
      </c>
      <c r="R22" s="1">
        <v>2</v>
      </c>
      <c r="S22" s="1">
        <v>0</v>
      </c>
      <c r="T22" s="1"/>
      <c r="U22" s="1"/>
      <c r="V22" s="1"/>
      <c r="W22" s="1"/>
      <c r="X22" s="1">
        <v>262</v>
      </c>
      <c r="Y22" s="7" t="s">
        <v>5</v>
      </c>
      <c r="Z22" s="54">
        <v>15</v>
      </c>
      <c r="AA22" s="8">
        <f t="shared" si="0"/>
        <v>13</v>
      </c>
      <c r="AB22" s="2">
        <f t="shared" si="1"/>
        <v>181</v>
      </c>
      <c r="AC22">
        <f t="shared" si="2"/>
        <v>1.4475138121546962</v>
      </c>
      <c r="AD22"/>
      <c r="AE22"/>
      <c r="AF22"/>
      <c r="AG22" s="7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1"/>
      <c r="BA22" s="1"/>
      <c r="BB22" s="1"/>
      <c r="BC22" s="1"/>
    </row>
    <row r="23" spans="1:55" s="8" customFormat="1" ht="18" customHeight="1" x14ac:dyDescent="0.2">
      <c r="A23" s="1">
        <v>2013</v>
      </c>
      <c r="B23" s="1"/>
      <c r="C23" s="1"/>
      <c r="D23" s="1"/>
      <c r="E23" s="1"/>
      <c r="F23" s="1"/>
      <c r="G23" s="1"/>
      <c r="H23" s="1">
        <v>18</v>
      </c>
      <c r="I23" s="14">
        <v>222</v>
      </c>
      <c r="J23" s="14">
        <v>356</v>
      </c>
      <c r="K23" s="368">
        <v>432</v>
      </c>
      <c r="L23" s="14">
        <v>348</v>
      </c>
      <c r="M23" s="14">
        <v>310</v>
      </c>
      <c r="N23" s="14">
        <v>172</v>
      </c>
      <c r="O23" s="14">
        <v>68</v>
      </c>
      <c r="P23" s="14">
        <v>20</v>
      </c>
      <c r="Q23" s="14"/>
      <c r="R23" s="1"/>
      <c r="S23" s="1"/>
      <c r="T23" s="1"/>
      <c r="U23" s="1"/>
      <c r="V23" s="1"/>
      <c r="W23" s="1"/>
      <c r="X23" s="1">
        <v>684</v>
      </c>
      <c r="Y23" s="7" t="s">
        <v>5</v>
      </c>
      <c r="Z23" s="54">
        <v>20</v>
      </c>
      <c r="AA23" s="8">
        <f t="shared" si="0"/>
        <v>9</v>
      </c>
      <c r="AB23" s="2">
        <f t="shared" si="1"/>
        <v>432</v>
      </c>
      <c r="AC23">
        <f t="shared" si="2"/>
        <v>1.5833333333333333</v>
      </c>
      <c r="AD23"/>
      <c r="AE23"/>
      <c r="AF23"/>
      <c r="AG23" s="7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1"/>
      <c r="BA23" s="1"/>
      <c r="BB23" s="1"/>
      <c r="BC23" s="1"/>
    </row>
    <row r="24" spans="1:55" s="8" customFormat="1" ht="18" customHeight="1" x14ac:dyDescent="0.2">
      <c r="A24" s="1">
        <v>2014</v>
      </c>
      <c r="B24" s="1"/>
      <c r="C24" s="1"/>
      <c r="D24" s="1"/>
      <c r="E24" s="1"/>
      <c r="F24" s="1"/>
      <c r="G24" s="1"/>
      <c r="H24" s="1">
        <v>0</v>
      </c>
      <c r="I24" s="1"/>
      <c r="J24" s="1">
        <v>113</v>
      </c>
      <c r="K24" s="14">
        <v>123</v>
      </c>
      <c r="L24" s="1">
        <v>68</v>
      </c>
      <c r="M24" s="1"/>
      <c r="N24" s="1">
        <v>31</v>
      </c>
      <c r="O24" s="1"/>
      <c r="P24" s="1"/>
      <c r="Q24" s="1">
        <v>3</v>
      </c>
      <c r="R24" s="1"/>
      <c r="S24" s="1"/>
      <c r="T24" s="1"/>
      <c r="U24" s="1"/>
      <c r="V24" s="1"/>
      <c r="W24" s="1"/>
      <c r="X24" s="1">
        <v>219</v>
      </c>
      <c r="Y24" s="7" t="s">
        <v>5</v>
      </c>
      <c r="Z24" s="54">
        <v>20</v>
      </c>
      <c r="AA24" s="8">
        <f t="shared" si="0"/>
        <v>6</v>
      </c>
      <c r="AB24" s="2">
        <f t="shared" si="1"/>
        <v>123</v>
      </c>
      <c r="AC24">
        <f t="shared" si="2"/>
        <v>1.7804878048780488</v>
      </c>
      <c r="AD24"/>
      <c r="AE24"/>
      <c r="AF24"/>
      <c r="AG24" s="7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1"/>
      <c r="BA24" s="1"/>
      <c r="BB24" s="1"/>
      <c r="BC24" s="1"/>
    </row>
    <row r="25" spans="1:55" s="8" customFormat="1" ht="18" customHeight="1" thickBot="1" x14ac:dyDescent="0.25">
      <c r="A25" s="1">
        <v>2015</v>
      </c>
      <c r="B25" s="1"/>
      <c r="C25" s="1"/>
      <c r="D25" s="1"/>
      <c r="E25" s="1"/>
      <c r="F25" s="1"/>
      <c r="G25" s="123">
        <v>15</v>
      </c>
      <c r="H25" s="123">
        <v>22</v>
      </c>
      <c r="I25" s="1"/>
      <c r="J25" s="123">
        <v>80</v>
      </c>
      <c r="K25" s="123">
        <v>96</v>
      </c>
      <c r="L25" s="1"/>
      <c r="M25" s="123">
        <v>118</v>
      </c>
      <c r="N25" s="1"/>
      <c r="O25" s="123">
        <v>27</v>
      </c>
      <c r="P25" s="1"/>
      <c r="Q25" s="1"/>
      <c r="R25" s="1"/>
      <c r="S25" s="1"/>
      <c r="T25" s="1"/>
      <c r="U25" s="1"/>
      <c r="V25" s="1"/>
      <c r="W25" s="1"/>
      <c r="X25" s="1">
        <v>199</v>
      </c>
      <c r="Y25" s="7" t="s">
        <v>5</v>
      </c>
      <c r="Z25" s="54">
        <v>25</v>
      </c>
      <c r="AA25" s="8">
        <f t="shared" si="0"/>
        <v>6</v>
      </c>
      <c r="AB25" s="2">
        <f t="shared" si="1"/>
        <v>118</v>
      </c>
      <c r="AC25">
        <f t="shared" si="2"/>
        <v>1.6864406779661016</v>
      </c>
      <c r="AD25"/>
      <c r="AE25"/>
      <c r="AF25"/>
      <c r="AG25" s="7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1"/>
      <c r="BA25" s="1"/>
      <c r="BB25" s="1"/>
      <c r="BC25" s="1"/>
    </row>
    <row r="26" spans="1:55" s="8" customFormat="1" ht="18" customHeight="1" thickBot="1" x14ac:dyDescent="0.25">
      <c r="A26" s="1">
        <v>2016</v>
      </c>
      <c r="B26" s="1"/>
      <c r="C26" s="1"/>
      <c r="D26" s="1"/>
      <c r="E26" s="1"/>
      <c r="F26" s="1"/>
      <c r="G26" s="123">
        <v>23</v>
      </c>
      <c r="H26" s="1"/>
      <c r="I26" s="123">
        <v>110</v>
      </c>
      <c r="J26" s="1"/>
      <c r="K26" s="123">
        <v>157</v>
      </c>
      <c r="L26" s="358"/>
      <c r="M26" s="347"/>
      <c r="N26" s="348"/>
      <c r="O26" s="307">
        <v>72</v>
      </c>
      <c r="P26" s="307">
        <v>4</v>
      </c>
      <c r="Q26" s="1"/>
      <c r="R26" s="1"/>
      <c r="S26" s="1"/>
      <c r="T26" s="1"/>
      <c r="U26" s="1"/>
      <c r="V26" s="1"/>
      <c r="W26" s="1"/>
      <c r="X26" s="1">
        <v>310</v>
      </c>
      <c r="Y26" s="7" t="s">
        <v>5</v>
      </c>
      <c r="Z26" s="54">
        <v>25</v>
      </c>
      <c r="AB26" s="2">
        <f>MAX(B26:W26)</f>
        <v>157</v>
      </c>
      <c r="AC26">
        <f>X26/AB26</f>
        <v>1.9745222929936306</v>
      </c>
      <c r="AD26"/>
      <c r="AE26"/>
      <c r="AF26"/>
      <c r="AG26" s="7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1"/>
      <c r="BA26" s="1"/>
      <c r="BB26" s="1"/>
      <c r="BC26" s="1"/>
    </row>
    <row r="27" spans="1:55" s="8" customFormat="1" ht="18" customHeight="1" x14ac:dyDescent="0.2">
      <c r="A27" s="1">
        <v>2017</v>
      </c>
      <c r="B27" s="1"/>
      <c r="C27" s="1"/>
      <c r="D27" s="1"/>
      <c r="E27" s="227"/>
      <c r="F27" s="123">
        <v>0</v>
      </c>
      <c r="G27" s="445"/>
      <c r="H27" s="123">
        <v>12</v>
      </c>
      <c r="I27" s="123">
        <v>24</v>
      </c>
      <c r="J27" s="123">
        <v>50</v>
      </c>
      <c r="K27" s="123">
        <v>52</v>
      </c>
      <c r="L27" s="550">
        <v>64</v>
      </c>
      <c r="M27" s="550">
        <v>58</v>
      </c>
      <c r="N27" s="307">
        <v>32</v>
      </c>
      <c r="O27" s="307">
        <v>13</v>
      </c>
      <c r="P27" s="307">
        <v>4</v>
      </c>
      <c r="Q27" s="1"/>
      <c r="R27" s="1"/>
      <c r="S27" s="123">
        <v>0</v>
      </c>
      <c r="T27" s="1"/>
      <c r="U27" s="1"/>
      <c r="V27" s="1"/>
      <c r="W27" s="1"/>
      <c r="X27" s="1">
        <v>119</v>
      </c>
      <c r="Y27" s="7" t="s">
        <v>5</v>
      </c>
      <c r="Z27" s="54">
        <v>25</v>
      </c>
      <c r="AB27" s="2">
        <f>MAX(B27:W27)</f>
        <v>64</v>
      </c>
      <c r="AC27">
        <f>X27/AB27</f>
        <v>1.859375</v>
      </c>
      <c r="AD27"/>
      <c r="AE27"/>
      <c r="AF27"/>
      <c r="AG27" s="7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1"/>
      <c r="BA27" s="1"/>
      <c r="BB27" s="1"/>
      <c r="BC27" s="1"/>
    </row>
    <row r="28" spans="1:55" s="8" customFormat="1" ht="18" customHeight="1" x14ac:dyDescent="0.2">
      <c r="A28" s="1">
        <v>2018</v>
      </c>
      <c r="B28" s="1"/>
      <c r="C28" s="1"/>
      <c r="D28" s="1"/>
      <c r="E28" s="227"/>
      <c r="F28" s="227"/>
      <c r="G28" s="123">
        <v>40</v>
      </c>
      <c r="H28" s="227"/>
      <c r="I28" s="123">
        <v>58</v>
      </c>
      <c r="J28" s="377">
        <v>59</v>
      </c>
      <c r="K28" s="123">
        <v>51</v>
      </c>
      <c r="L28" s="123">
        <v>42</v>
      </c>
      <c r="M28" s="123">
        <v>10</v>
      </c>
      <c r="N28" s="227"/>
      <c r="O28" s="123">
        <v>3</v>
      </c>
      <c r="P28" s="227"/>
      <c r="Q28" s="227"/>
      <c r="R28" s="227"/>
      <c r="S28" s="227"/>
      <c r="T28" s="1"/>
      <c r="U28" s="1"/>
      <c r="V28" s="1"/>
      <c r="W28" s="1"/>
      <c r="X28" s="1">
        <v>114</v>
      </c>
      <c r="Y28" s="7"/>
      <c r="Z28" s="54">
        <v>25</v>
      </c>
      <c r="AB28" s="2">
        <f>MAX(B28:W28)</f>
        <v>59</v>
      </c>
      <c r="AC28">
        <f>X28/AB28</f>
        <v>1.9322033898305084</v>
      </c>
      <c r="AD28"/>
      <c r="AE28"/>
      <c r="AF28"/>
      <c r="AG28" s="7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1"/>
      <c r="BA28" s="1"/>
      <c r="BB28" s="1"/>
      <c r="BC28" s="1"/>
    </row>
    <row r="29" spans="1:55" s="8" customFormat="1" ht="18" customHeight="1" x14ac:dyDescent="0.2">
      <c r="A29" s="1">
        <v>2019</v>
      </c>
      <c r="B29" s="1"/>
      <c r="C29" s="1"/>
      <c r="D29" s="1"/>
      <c r="E29" s="227"/>
      <c r="F29" s="123">
        <v>0</v>
      </c>
      <c r="G29" s="227"/>
      <c r="H29" s="123">
        <v>33</v>
      </c>
      <c r="I29" s="227"/>
      <c r="J29" s="123">
        <v>41</v>
      </c>
      <c r="K29" s="550">
        <v>46</v>
      </c>
      <c r="L29" s="307">
        <v>38</v>
      </c>
      <c r="M29" s="123">
        <v>13</v>
      </c>
      <c r="N29" s="123">
        <v>4</v>
      </c>
      <c r="O29" s="227"/>
      <c r="P29" s="227"/>
      <c r="Q29" s="227"/>
      <c r="R29" s="227"/>
      <c r="S29" s="227"/>
      <c r="T29" s="1"/>
      <c r="U29" s="1"/>
      <c r="V29" s="1"/>
      <c r="W29" s="1"/>
      <c r="X29" s="1">
        <v>71</v>
      </c>
      <c r="Y29" s="7"/>
      <c r="Z29" s="54">
        <v>25</v>
      </c>
      <c r="AB29" s="2">
        <f>MAX(B29:W29)</f>
        <v>46</v>
      </c>
      <c r="AC29">
        <f>X29/AB29</f>
        <v>1.5434782608695652</v>
      </c>
      <c r="AD29"/>
      <c r="AE29"/>
      <c r="AF29"/>
      <c r="AG29" s="7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1"/>
      <c r="BA29" s="1"/>
      <c r="BB29" s="1"/>
      <c r="BC29" s="1"/>
    </row>
    <row r="30" spans="1:55" s="8" customFormat="1" ht="18" customHeight="1" x14ac:dyDescent="0.2">
      <c r="A30" s="1">
        <v>2020</v>
      </c>
      <c r="B30" s="1"/>
      <c r="C30" s="1"/>
      <c r="D30" s="1"/>
      <c r="E30" s="227"/>
      <c r="F30" s="106">
        <v>3</v>
      </c>
      <c r="G30" s="227"/>
      <c r="H30" s="106">
        <v>2</v>
      </c>
      <c r="I30" s="106">
        <v>24</v>
      </c>
      <c r="J30" s="106">
        <v>83</v>
      </c>
      <c r="K30" s="536">
        <v>78</v>
      </c>
      <c r="L30" s="536">
        <v>96</v>
      </c>
      <c r="M30" s="227"/>
      <c r="N30" s="106">
        <v>82</v>
      </c>
      <c r="O30" s="106">
        <v>32</v>
      </c>
      <c r="P30" s="227"/>
      <c r="Q30" s="227"/>
      <c r="R30" s="227"/>
      <c r="S30" s="227"/>
      <c r="T30" s="1"/>
      <c r="U30" s="1"/>
      <c r="V30" s="1"/>
      <c r="W30" s="1"/>
      <c r="X30" s="1">
        <v>147</v>
      </c>
      <c r="Y30" s="7" t="s">
        <v>5</v>
      </c>
      <c r="Z30" s="54">
        <v>25</v>
      </c>
      <c r="AB30" s="2">
        <f>MAX(B30:W30)</f>
        <v>96</v>
      </c>
      <c r="AC30">
        <f>X30/AB30</f>
        <v>1.53125</v>
      </c>
      <c r="AD30"/>
      <c r="AE30"/>
      <c r="AF30"/>
      <c r="AG30" s="7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1"/>
      <c r="BA30" s="1"/>
      <c r="BB30" s="1"/>
      <c r="BC30" s="1"/>
    </row>
    <row r="31" spans="1:55" s="94" customFormat="1" ht="18" customHeight="1" x14ac:dyDescent="0.2">
      <c r="A31" s="227">
        <v>2021</v>
      </c>
      <c r="B31" s="227"/>
      <c r="C31" s="227"/>
      <c r="D31" s="227"/>
      <c r="E31" s="227"/>
      <c r="F31" s="227"/>
      <c r="G31" s="106">
        <v>2</v>
      </c>
      <c r="H31" s="106">
        <v>8</v>
      </c>
      <c r="I31" s="106">
        <v>122</v>
      </c>
      <c r="J31" s="227"/>
      <c r="K31" s="240">
        <v>311</v>
      </c>
      <c r="L31" s="427">
        <v>291</v>
      </c>
      <c r="M31" s="227"/>
      <c r="N31" s="106">
        <v>69</v>
      </c>
      <c r="O31" s="227"/>
      <c r="P31" s="106">
        <v>3</v>
      </c>
      <c r="Q31" s="106">
        <v>1</v>
      </c>
      <c r="R31" s="227"/>
      <c r="S31" s="227"/>
      <c r="T31" s="227"/>
      <c r="U31" s="227"/>
      <c r="V31" s="227"/>
      <c r="W31" s="227"/>
      <c r="X31" s="227">
        <v>419</v>
      </c>
      <c r="Y31" s="11"/>
      <c r="Z31" s="210">
        <v>25</v>
      </c>
      <c r="AB31" s="150"/>
      <c r="AC31" s="151"/>
      <c r="AD31" s="151"/>
      <c r="AE31" s="151"/>
      <c r="AF31" s="151"/>
      <c r="AG31" s="11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227"/>
      <c r="BA31" s="227"/>
      <c r="BB31" s="227"/>
      <c r="BC31" s="227"/>
    </row>
    <row r="32" spans="1:55" s="94" customFormat="1" ht="18" customHeight="1" x14ac:dyDescent="0.2">
      <c r="A32" s="227">
        <v>2022</v>
      </c>
      <c r="B32" s="227"/>
      <c r="C32" s="227"/>
      <c r="D32" s="227"/>
      <c r="E32" s="227"/>
      <c r="F32" s="227"/>
      <c r="G32" s="106">
        <v>12</v>
      </c>
      <c r="H32" s="227"/>
      <c r="I32" s="106">
        <v>15</v>
      </c>
      <c r="J32" s="106">
        <v>22</v>
      </c>
      <c r="K32" s="734"/>
      <c r="L32" s="427">
        <v>24</v>
      </c>
      <c r="M32" s="227"/>
      <c r="N32" s="156">
        <v>10</v>
      </c>
      <c r="O32" s="156">
        <v>19</v>
      </c>
      <c r="P32" s="156">
        <v>14</v>
      </c>
      <c r="Q32" s="227"/>
      <c r="R32" s="227"/>
      <c r="S32" s="227"/>
      <c r="T32" s="227"/>
      <c r="U32" s="227"/>
      <c r="V32" s="227"/>
      <c r="W32" s="227"/>
      <c r="X32" s="227"/>
      <c r="Y32" s="11"/>
      <c r="Z32" s="210"/>
      <c r="AB32" s="150"/>
      <c r="AC32" s="151"/>
      <c r="AD32" s="151"/>
      <c r="AE32" s="151"/>
      <c r="AF32" s="151"/>
      <c r="AG32" s="11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227"/>
      <c r="BA32" s="227"/>
      <c r="BB32" s="227"/>
      <c r="BC32" s="227"/>
    </row>
    <row r="33" spans="1:55" s="94" customFormat="1" ht="18" customHeight="1" x14ac:dyDescent="0.2">
      <c r="A33" s="227">
        <v>2023</v>
      </c>
      <c r="B33" s="227"/>
      <c r="C33" s="227"/>
      <c r="D33" s="227"/>
      <c r="E33" s="227"/>
      <c r="F33" s="227"/>
      <c r="G33" s="106">
        <v>0</v>
      </c>
      <c r="H33" s="106">
        <v>12</v>
      </c>
      <c r="I33" s="227"/>
      <c r="J33" s="106">
        <v>31</v>
      </c>
      <c r="K33" s="106">
        <v>39</v>
      </c>
      <c r="L33" s="156">
        <v>42</v>
      </c>
      <c r="M33" s="227"/>
      <c r="N33" s="106">
        <v>18</v>
      </c>
      <c r="O33" s="227"/>
      <c r="P33" s="106">
        <v>4</v>
      </c>
      <c r="Q33" s="227"/>
      <c r="R33" s="227"/>
      <c r="S33" s="227"/>
      <c r="T33" s="227"/>
      <c r="U33" s="227"/>
      <c r="V33" s="227"/>
      <c r="W33" s="227"/>
      <c r="X33" s="227"/>
      <c r="Y33" s="11"/>
      <c r="Z33" s="210"/>
      <c r="AB33" s="150"/>
      <c r="AC33" s="151"/>
      <c r="AD33" s="151"/>
      <c r="AE33" s="151"/>
      <c r="AF33" s="151"/>
      <c r="AG33" s="11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227"/>
      <c r="BA33" s="227"/>
      <c r="BB33" s="227"/>
      <c r="BC33" s="227"/>
    </row>
    <row r="34" spans="1:55" s="8" customFormat="1" ht="18" customHeight="1" x14ac:dyDescent="0.2">
      <c r="A34" s="64" t="s">
        <v>17</v>
      </c>
      <c r="B34" s="16"/>
      <c r="C34" s="16"/>
      <c r="D34" s="16"/>
      <c r="E34" s="16"/>
      <c r="F34" s="16"/>
      <c r="G34" s="16"/>
      <c r="H34" s="16">
        <f t="shared" ref="H34:V34" si="3">AVERAGE(H5:H19)</f>
        <v>5</v>
      </c>
      <c r="I34" s="16">
        <f t="shared" si="3"/>
        <v>32.833333333333336</v>
      </c>
      <c r="J34" s="16">
        <f t="shared" si="3"/>
        <v>146.42857142857142</v>
      </c>
      <c r="K34" s="16">
        <f t="shared" si="3"/>
        <v>148.57142857142858</v>
      </c>
      <c r="L34" s="16">
        <f t="shared" si="3"/>
        <v>522.33333333333337</v>
      </c>
      <c r="M34" s="16">
        <f t="shared" si="3"/>
        <v>583.90909090909088</v>
      </c>
      <c r="N34" s="16">
        <f t="shared" si="3"/>
        <v>777.875</v>
      </c>
      <c r="O34" s="16">
        <f t="shared" si="3"/>
        <v>239.5</v>
      </c>
      <c r="P34" s="16">
        <f t="shared" si="3"/>
        <v>101</v>
      </c>
      <c r="Q34" s="16">
        <f t="shared" si="3"/>
        <v>16.375</v>
      </c>
      <c r="R34" s="16">
        <f t="shared" si="3"/>
        <v>9.2222222222222214</v>
      </c>
      <c r="S34" s="16">
        <f t="shared" si="3"/>
        <v>0.125</v>
      </c>
      <c r="T34" s="16">
        <f t="shared" si="3"/>
        <v>0</v>
      </c>
      <c r="U34" s="16">
        <f t="shared" si="3"/>
        <v>0</v>
      </c>
      <c r="V34" s="16">
        <f t="shared" si="3"/>
        <v>0</v>
      </c>
      <c r="W34" s="16"/>
      <c r="X34" s="16">
        <f>AVERAGE(X5:X21)</f>
        <v>739.52941176470586</v>
      </c>
      <c r="Y34" s="17"/>
      <c r="Z34" s="16">
        <f>AVERAGE(Z5:Z25)</f>
        <v>19.9375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1:55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55" ht="18" customHeight="1" x14ac:dyDescent="0.2">
      <c r="A36" s="1002" t="s">
        <v>603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55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</row>
    <row r="38" spans="1:55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</row>
    <row r="39" spans="1:55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A39" s="2" t="s">
        <v>101</v>
      </c>
      <c r="AB39" s="2"/>
      <c r="AX39"/>
    </row>
    <row r="40" spans="1:55" ht="18" customHeight="1" x14ac:dyDescent="0.2">
      <c r="A40" s="1">
        <v>1995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3"/>
      <c r="U40" s="13"/>
      <c r="V40" s="13"/>
      <c r="W40" s="13"/>
      <c r="X40" s="13">
        <v>200</v>
      </c>
      <c r="Y40" s="7" t="s">
        <v>7</v>
      </c>
      <c r="Z40" s="58"/>
      <c r="AA40" s="8">
        <f>COUNT(B40:W40)</f>
        <v>0</v>
      </c>
      <c r="AB40" s="2"/>
      <c r="AX40"/>
    </row>
    <row r="41" spans="1:55" ht="18" customHeight="1" x14ac:dyDescent="0.2">
      <c r="A41" s="1">
        <v>1996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3"/>
      <c r="U41" s="13"/>
      <c r="V41" s="13"/>
      <c r="W41" s="13"/>
      <c r="X41" s="13">
        <v>125</v>
      </c>
      <c r="Y41" s="7" t="s">
        <v>7</v>
      </c>
      <c r="Z41" s="60"/>
      <c r="AA41" s="8">
        <f t="shared" ref="AA41:AA60" si="4">COUNT(B41:W41)</f>
        <v>0</v>
      </c>
      <c r="AB41" s="2"/>
      <c r="AX41"/>
    </row>
    <row r="42" spans="1:55" ht="18" customHeight="1" x14ac:dyDescent="0.2">
      <c r="A42" s="1">
        <v>1997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128</v>
      </c>
      <c r="N42" s="6"/>
      <c r="O42" s="6"/>
      <c r="P42" s="6"/>
      <c r="Q42" s="6"/>
      <c r="R42" s="6">
        <v>153</v>
      </c>
      <c r="S42" s="6">
        <v>32</v>
      </c>
      <c r="T42" s="13"/>
      <c r="U42" s="13"/>
      <c r="V42" s="13"/>
      <c r="W42" s="13"/>
      <c r="X42" s="13">
        <v>240</v>
      </c>
      <c r="Y42" s="7" t="s">
        <v>7</v>
      </c>
      <c r="Z42" s="58"/>
      <c r="AA42" s="8">
        <f t="shared" si="4"/>
        <v>3</v>
      </c>
      <c r="AB42" s="2">
        <f t="shared" ref="AB42:AB54" si="5">MAX(B42:W42)</f>
        <v>153</v>
      </c>
      <c r="AC42">
        <f t="shared" ref="AC42:AC54" si="6">X42/AB42</f>
        <v>1.5686274509803921</v>
      </c>
      <c r="AX42"/>
    </row>
    <row r="43" spans="1:55" ht="18" customHeight="1" x14ac:dyDescent="0.2">
      <c r="A43" s="1">
        <v>1998</v>
      </c>
      <c r="B43" s="6"/>
      <c r="C43" s="6"/>
      <c r="D43" s="6"/>
      <c r="E43" s="6"/>
      <c r="F43" s="6"/>
      <c r="G43" s="6"/>
      <c r="H43" s="6"/>
      <c r="I43" s="6"/>
      <c r="J43" s="6"/>
      <c r="K43" s="6">
        <v>62</v>
      </c>
      <c r="L43" s="6"/>
      <c r="M43" s="6">
        <v>283</v>
      </c>
      <c r="N43" s="6"/>
      <c r="O43" s="6"/>
      <c r="P43" s="365">
        <v>714</v>
      </c>
      <c r="Q43" s="6"/>
      <c r="R43" s="6"/>
      <c r="S43" s="6"/>
      <c r="T43" s="13"/>
      <c r="U43" s="13"/>
      <c r="V43" s="13"/>
      <c r="W43" s="13"/>
      <c r="X43" s="13">
        <v>800</v>
      </c>
      <c r="Y43" s="7" t="s">
        <v>7</v>
      </c>
      <c r="Z43" s="58"/>
      <c r="AA43" s="8">
        <f t="shared" si="4"/>
        <v>3</v>
      </c>
      <c r="AB43" s="2">
        <f t="shared" si="5"/>
        <v>714</v>
      </c>
      <c r="AC43">
        <f t="shared" si="6"/>
        <v>1.1204481792717087</v>
      </c>
      <c r="AX43"/>
    </row>
    <row r="44" spans="1:55" ht="18" customHeight="1" x14ac:dyDescent="0.2">
      <c r="A44" s="1">
        <v>1999</v>
      </c>
      <c r="B44" s="6"/>
      <c r="C44" s="6"/>
      <c r="D44" s="6"/>
      <c r="E44" s="6"/>
      <c r="F44" s="6"/>
      <c r="G44" s="6"/>
      <c r="H44" s="6"/>
      <c r="I44" s="6"/>
      <c r="J44" s="6">
        <v>21</v>
      </c>
      <c r="K44" s="6"/>
      <c r="L44" s="6">
        <v>83</v>
      </c>
      <c r="M44" s="6"/>
      <c r="N44" s="6">
        <v>137</v>
      </c>
      <c r="O44" s="6"/>
      <c r="P44" s="6"/>
      <c r="Q44" s="6"/>
      <c r="R44" s="6">
        <v>313</v>
      </c>
      <c r="S44" s="6"/>
      <c r="T44" s="13"/>
      <c r="U44" s="13"/>
      <c r="V44" s="13"/>
      <c r="W44" s="13"/>
      <c r="X44" s="13">
        <v>450</v>
      </c>
      <c r="Y44" s="7" t="s">
        <v>5</v>
      </c>
      <c r="Z44" s="58">
        <v>25</v>
      </c>
      <c r="AA44" s="8">
        <f t="shared" si="4"/>
        <v>4</v>
      </c>
      <c r="AB44" s="2">
        <f t="shared" si="5"/>
        <v>313</v>
      </c>
      <c r="AC44">
        <f t="shared" si="6"/>
        <v>1.4376996805111821</v>
      </c>
      <c r="AX44"/>
    </row>
    <row r="45" spans="1:55" ht="18" customHeight="1" x14ac:dyDescent="0.2">
      <c r="A45" s="1">
        <v>2000</v>
      </c>
      <c r="B45" s="6"/>
      <c r="C45" s="6"/>
      <c r="D45" s="6"/>
      <c r="E45" s="6"/>
      <c r="F45" s="6"/>
      <c r="G45" s="6"/>
      <c r="H45" s="6"/>
      <c r="I45" s="6"/>
      <c r="J45" s="6"/>
      <c r="K45" s="6">
        <v>97</v>
      </c>
      <c r="L45" s="6">
        <v>146</v>
      </c>
      <c r="M45" s="6"/>
      <c r="N45" s="6">
        <v>514</v>
      </c>
      <c r="O45" s="6">
        <v>639</v>
      </c>
      <c r="P45" s="6">
        <v>716</v>
      </c>
      <c r="Q45" s="365">
        <v>840</v>
      </c>
      <c r="R45" s="6">
        <v>762</v>
      </c>
      <c r="S45" s="6">
        <v>539</v>
      </c>
      <c r="T45" s="13">
        <v>452</v>
      </c>
      <c r="U45" s="13">
        <v>283</v>
      </c>
      <c r="V45" s="13">
        <v>155</v>
      </c>
      <c r="W45" s="13">
        <v>94</v>
      </c>
      <c r="X45" s="13">
        <v>985</v>
      </c>
      <c r="Y45" s="7" t="s">
        <v>5</v>
      </c>
      <c r="Z45" s="58">
        <v>40</v>
      </c>
      <c r="AA45" s="8">
        <f t="shared" si="4"/>
        <v>12</v>
      </c>
      <c r="AB45" s="2">
        <f t="shared" si="5"/>
        <v>840</v>
      </c>
      <c r="AC45">
        <f t="shared" si="6"/>
        <v>1.1726190476190477</v>
      </c>
      <c r="AX45"/>
    </row>
    <row r="46" spans="1:55" ht="18" customHeight="1" x14ac:dyDescent="0.2">
      <c r="A46" s="1">
        <v>2001</v>
      </c>
      <c r="B46" s="6"/>
      <c r="C46" s="6"/>
      <c r="D46" s="6"/>
      <c r="E46" s="6"/>
      <c r="F46" s="6"/>
      <c r="G46" s="6"/>
      <c r="H46" s="6"/>
      <c r="I46" s="6">
        <v>0</v>
      </c>
      <c r="J46" s="6">
        <v>47</v>
      </c>
      <c r="K46" s="6"/>
      <c r="L46" s="6">
        <v>98</v>
      </c>
      <c r="M46" s="6">
        <v>420</v>
      </c>
      <c r="N46" s="6">
        <v>567</v>
      </c>
      <c r="O46" s="365">
        <v>734</v>
      </c>
      <c r="P46" s="6"/>
      <c r="Q46" s="6">
        <v>656</v>
      </c>
      <c r="R46" s="6">
        <v>571</v>
      </c>
      <c r="S46" s="6">
        <v>526</v>
      </c>
      <c r="T46" s="13">
        <v>377</v>
      </c>
      <c r="U46" s="13">
        <v>198</v>
      </c>
      <c r="V46" s="13">
        <v>148</v>
      </c>
      <c r="W46" s="13">
        <v>92</v>
      </c>
      <c r="X46" s="13">
        <v>978</v>
      </c>
      <c r="Y46" s="7" t="s">
        <v>5</v>
      </c>
      <c r="Z46" s="58">
        <v>35</v>
      </c>
      <c r="AA46" s="8">
        <f t="shared" si="4"/>
        <v>13</v>
      </c>
      <c r="AB46" s="2">
        <f t="shared" si="5"/>
        <v>734</v>
      </c>
      <c r="AC46">
        <f t="shared" si="6"/>
        <v>1.332425068119891</v>
      </c>
      <c r="AX46"/>
    </row>
    <row r="47" spans="1:55" ht="18" customHeight="1" x14ac:dyDescent="0.2">
      <c r="A47" s="1">
        <v>2002</v>
      </c>
      <c r="B47" s="6"/>
      <c r="C47" s="6"/>
      <c r="D47" s="6"/>
      <c r="E47" s="6"/>
      <c r="F47" s="6"/>
      <c r="G47" s="6"/>
      <c r="H47" s="6"/>
      <c r="I47" s="6">
        <v>13</v>
      </c>
      <c r="J47" s="6">
        <v>27</v>
      </c>
      <c r="K47" s="6">
        <v>32</v>
      </c>
      <c r="L47" s="6"/>
      <c r="M47" s="6">
        <v>21</v>
      </c>
      <c r="N47" s="6"/>
      <c r="O47" s="6">
        <v>32</v>
      </c>
      <c r="P47" s="6"/>
      <c r="Q47" s="365">
        <v>568</v>
      </c>
      <c r="R47" s="6">
        <v>502</v>
      </c>
      <c r="S47" s="6">
        <v>484</v>
      </c>
      <c r="T47" s="13"/>
      <c r="U47" s="13">
        <v>106</v>
      </c>
      <c r="V47" s="13">
        <v>92</v>
      </c>
      <c r="W47" s="13"/>
      <c r="X47" s="13">
        <v>786</v>
      </c>
      <c r="Y47" s="7" t="s">
        <v>5</v>
      </c>
      <c r="Z47" s="60">
        <v>25</v>
      </c>
      <c r="AA47" s="8">
        <f t="shared" si="4"/>
        <v>10</v>
      </c>
      <c r="AB47" s="2">
        <f t="shared" si="5"/>
        <v>568</v>
      </c>
      <c r="AC47">
        <f t="shared" si="6"/>
        <v>1.3838028169014085</v>
      </c>
      <c r="AX47"/>
    </row>
    <row r="48" spans="1:55" ht="18" customHeight="1" x14ac:dyDescent="0.2">
      <c r="A48" s="1">
        <v>2003</v>
      </c>
      <c r="B48" s="6"/>
      <c r="C48" s="6"/>
      <c r="D48" s="6"/>
      <c r="E48" s="6"/>
      <c r="F48" s="6"/>
      <c r="G48" s="6"/>
      <c r="H48" s="6"/>
      <c r="I48" s="6">
        <v>27</v>
      </c>
      <c r="J48" s="6">
        <v>37</v>
      </c>
      <c r="K48" s="6"/>
      <c r="L48" s="6">
        <v>487</v>
      </c>
      <c r="M48" s="6">
        <v>689</v>
      </c>
      <c r="N48" s="6">
        <v>799</v>
      </c>
      <c r="O48" s="6">
        <v>935</v>
      </c>
      <c r="P48" s="365">
        <v>955</v>
      </c>
      <c r="Q48" s="6">
        <v>624</v>
      </c>
      <c r="R48" s="6"/>
      <c r="S48" s="6">
        <v>397</v>
      </c>
      <c r="T48" s="13">
        <v>144</v>
      </c>
      <c r="U48" s="13">
        <v>61</v>
      </c>
      <c r="V48" s="13">
        <v>13</v>
      </c>
      <c r="W48" s="13"/>
      <c r="X48" s="13">
        <v>1114</v>
      </c>
      <c r="Y48" s="7" t="s">
        <v>5</v>
      </c>
      <c r="Z48" s="58">
        <v>37</v>
      </c>
      <c r="AA48" s="8">
        <f t="shared" si="4"/>
        <v>12</v>
      </c>
      <c r="AB48" s="2">
        <f t="shared" si="5"/>
        <v>955</v>
      </c>
      <c r="AC48">
        <f t="shared" si="6"/>
        <v>1.1664921465968587</v>
      </c>
      <c r="AX48"/>
    </row>
    <row r="49" spans="1:50" ht="18" customHeight="1" x14ac:dyDescent="0.2">
      <c r="A49" s="1">
        <v>2004</v>
      </c>
      <c r="B49" s="6"/>
      <c r="C49" s="6"/>
      <c r="D49" s="6"/>
      <c r="E49" s="6"/>
      <c r="F49" s="6"/>
      <c r="G49" s="6"/>
      <c r="H49" s="6"/>
      <c r="I49" s="6">
        <v>26</v>
      </c>
      <c r="J49" s="6"/>
      <c r="K49" s="6">
        <v>55</v>
      </c>
      <c r="L49" s="6">
        <v>261</v>
      </c>
      <c r="M49" s="6">
        <v>308</v>
      </c>
      <c r="N49" s="6">
        <v>448</v>
      </c>
      <c r="O49" s="365">
        <v>501</v>
      </c>
      <c r="P49" s="6">
        <v>484</v>
      </c>
      <c r="Q49" s="6">
        <v>295</v>
      </c>
      <c r="R49" s="6">
        <v>339</v>
      </c>
      <c r="S49" s="6">
        <v>311</v>
      </c>
      <c r="T49" s="13">
        <v>224</v>
      </c>
      <c r="U49" s="13">
        <v>84</v>
      </c>
      <c r="V49" s="13">
        <v>48</v>
      </c>
      <c r="W49" s="13">
        <v>9</v>
      </c>
      <c r="X49" s="21">
        <v>800</v>
      </c>
      <c r="Y49" s="7" t="s">
        <v>5</v>
      </c>
      <c r="Z49" s="59">
        <v>30</v>
      </c>
      <c r="AA49" s="8">
        <f t="shared" si="4"/>
        <v>14</v>
      </c>
      <c r="AB49" s="2">
        <f t="shared" si="5"/>
        <v>501</v>
      </c>
      <c r="AC49">
        <f t="shared" si="6"/>
        <v>1.5968063872255489</v>
      </c>
      <c r="AX49"/>
    </row>
    <row r="50" spans="1:50" ht="18" customHeight="1" x14ac:dyDescent="0.2">
      <c r="A50" s="1">
        <v>2005</v>
      </c>
      <c r="B50" s="6"/>
      <c r="C50" s="6"/>
      <c r="D50" s="6"/>
      <c r="E50" s="6"/>
      <c r="F50" s="6"/>
      <c r="G50" s="6"/>
      <c r="H50" s="6"/>
      <c r="I50" s="6"/>
      <c r="J50" s="6">
        <v>0</v>
      </c>
      <c r="K50" s="6">
        <v>11</v>
      </c>
      <c r="L50" s="6">
        <v>81</v>
      </c>
      <c r="M50" s="6">
        <v>363</v>
      </c>
      <c r="N50" s="6">
        <v>372</v>
      </c>
      <c r="O50" s="365">
        <v>391</v>
      </c>
      <c r="P50" s="6">
        <v>366</v>
      </c>
      <c r="Q50" s="6">
        <v>307</v>
      </c>
      <c r="R50" s="6">
        <v>328</v>
      </c>
      <c r="S50" s="6">
        <v>274</v>
      </c>
      <c r="T50" s="13">
        <v>215</v>
      </c>
      <c r="U50" s="13">
        <v>191</v>
      </c>
      <c r="V50" s="13">
        <v>168</v>
      </c>
      <c r="W50" s="13">
        <v>26</v>
      </c>
      <c r="X50" s="13">
        <v>543</v>
      </c>
      <c r="Y50" s="7" t="s">
        <v>5</v>
      </c>
      <c r="Z50" s="60">
        <v>37.5</v>
      </c>
      <c r="AA50" s="8">
        <f t="shared" si="4"/>
        <v>14</v>
      </c>
      <c r="AB50" s="2">
        <f t="shared" si="5"/>
        <v>391</v>
      </c>
      <c r="AC50">
        <f t="shared" si="6"/>
        <v>1.3887468030690537</v>
      </c>
      <c r="AX50"/>
    </row>
    <row r="51" spans="1:50" ht="18" customHeight="1" x14ac:dyDescent="0.2">
      <c r="A51" s="1">
        <v>2006</v>
      </c>
      <c r="B51" s="6"/>
      <c r="C51" s="6"/>
      <c r="D51" s="6"/>
      <c r="E51" s="6"/>
      <c r="F51" s="6"/>
      <c r="G51" s="6"/>
      <c r="H51" s="6"/>
      <c r="I51" s="6"/>
      <c r="J51" s="6"/>
      <c r="K51" s="6">
        <v>122</v>
      </c>
      <c r="L51" s="6">
        <v>152</v>
      </c>
      <c r="M51" s="6">
        <v>178</v>
      </c>
      <c r="N51" s="365">
        <v>369</v>
      </c>
      <c r="O51" s="6">
        <v>271</v>
      </c>
      <c r="P51" s="6">
        <v>222</v>
      </c>
      <c r="Q51" s="6">
        <v>2</v>
      </c>
      <c r="R51" s="6">
        <v>25</v>
      </c>
      <c r="S51" s="6">
        <v>73</v>
      </c>
      <c r="T51" s="13"/>
      <c r="U51" s="13">
        <v>12</v>
      </c>
      <c r="V51" s="13">
        <v>2</v>
      </c>
      <c r="W51" s="13"/>
      <c r="X51" s="12">
        <v>381</v>
      </c>
      <c r="Y51" s="7" t="s">
        <v>5</v>
      </c>
      <c r="Z51" s="53">
        <v>31.5</v>
      </c>
      <c r="AA51" s="8">
        <f t="shared" si="4"/>
        <v>11</v>
      </c>
      <c r="AB51" s="2">
        <f t="shared" si="5"/>
        <v>369</v>
      </c>
      <c r="AC51">
        <f t="shared" si="6"/>
        <v>1.032520325203252</v>
      </c>
      <c r="AX51"/>
    </row>
    <row r="52" spans="1:50" ht="18" customHeight="1" x14ac:dyDescent="0.2">
      <c r="A52" s="1">
        <v>2007</v>
      </c>
      <c r="B52" s="6"/>
      <c r="C52" s="6"/>
      <c r="D52" s="6"/>
      <c r="E52" s="6"/>
      <c r="F52" s="6"/>
      <c r="G52" s="6"/>
      <c r="H52" s="6">
        <v>1</v>
      </c>
      <c r="I52" s="6">
        <v>17</v>
      </c>
      <c r="J52" s="6">
        <v>44</v>
      </c>
      <c r="K52" s="6">
        <v>35</v>
      </c>
      <c r="L52" s="6">
        <v>104</v>
      </c>
      <c r="M52" s="6">
        <v>173</v>
      </c>
      <c r="N52" s="6">
        <v>203</v>
      </c>
      <c r="O52" s="365">
        <v>204</v>
      </c>
      <c r="P52" s="6"/>
      <c r="Q52" s="6">
        <v>40</v>
      </c>
      <c r="R52" s="6">
        <v>146</v>
      </c>
      <c r="S52" s="6"/>
      <c r="T52" s="13"/>
      <c r="U52" s="13"/>
      <c r="V52" s="13"/>
      <c r="W52" s="13"/>
      <c r="X52" s="12">
        <v>250</v>
      </c>
      <c r="Y52" s="7" t="s">
        <v>5</v>
      </c>
      <c r="Z52" s="60">
        <v>37.5</v>
      </c>
      <c r="AA52" s="8">
        <f t="shared" si="4"/>
        <v>10</v>
      </c>
      <c r="AB52" s="2">
        <f t="shared" si="5"/>
        <v>204</v>
      </c>
      <c r="AC52">
        <f t="shared" si="6"/>
        <v>1.2254901960784315</v>
      </c>
      <c r="AX52"/>
    </row>
    <row r="53" spans="1:50" s="55" customFormat="1" ht="18" customHeight="1" x14ac:dyDescent="0.2">
      <c r="A53" s="13">
        <v>2008</v>
      </c>
      <c r="B53" s="13"/>
      <c r="C53" s="13"/>
      <c r="D53" s="13"/>
      <c r="E53" s="13"/>
      <c r="F53" s="13"/>
      <c r="G53" s="13"/>
      <c r="H53" s="13"/>
      <c r="I53" s="13">
        <v>18</v>
      </c>
      <c r="J53" s="13"/>
      <c r="K53" s="13"/>
      <c r="L53" s="13">
        <v>279</v>
      </c>
      <c r="M53" s="13">
        <v>248</v>
      </c>
      <c r="N53" s="13"/>
      <c r="O53" s="366">
        <v>345</v>
      </c>
      <c r="P53" s="13"/>
      <c r="Q53" s="13"/>
      <c r="R53" s="13"/>
      <c r="S53" s="13"/>
      <c r="T53" s="13"/>
      <c r="U53" s="13"/>
      <c r="V53" s="13"/>
      <c r="W53" s="13"/>
      <c r="X53" s="13">
        <v>427</v>
      </c>
      <c r="Y53" s="7" t="s">
        <v>5</v>
      </c>
      <c r="Z53" s="58">
        <v>45</v>
      </c>
      <c r="AA53" s="8">
        <f t="shared" si="4"/>
        <v>4</v>
      </c>
      <c r="AB53" s="2">
        <f t="shared" si="5"/>
        <v>345</v>
      </c>
      <c r="AC53">
        <f t="shared" si="6"/>
        <v>1.2376811594202899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ht="18" customHeight="1" x14ac:dyDescent="0.2">
      <c r="A54" s="13">
        <v>2009</v>
      </c>
      <c r="B54" s="13"/>
      <c r="C54" s="13"/>
      <c r="D54" s="13"/>
      <c r="E54" s="13"/>
      <c r="F54" s="13"/>
      <c r="G54" s="13"/>
      <c r="H54" s="13"/>
      <c r="I54" s="13"/>
      <c r="J54" s="13">
        <v>118</v>
      </c>
      <c r="K54" s="13"/>
      <c r="L54" s="13"/>
      <c r="M54" s="13">
        <v>520</v>
      </c>
      <c r="N54" s="13"/>
      <c r="O54" s="366">
        <v>750</v>
      </c>
      <c r="P54" s="13"/>
      <c r="Q54" s="13"/>
      <c r="R54" s="13"/>
      <c r="S54" s="13"/>
      <c r="T54" s="13"/>
      <c r="U54" s="13"/>
      <c r="V54" s="13">
        <v>229</v>
      </c>
      <c r="W54" s="13"/>
      <c r="X54" s="13">
        <v>1210</v>
      </c>
      <c r="Y54" s="7" t="s">
        <v>5</v>
      </c>
      <c r="Z54" s="58">
        <v>35</v>
      </c>
      <c r="AA54" s="8">
        <f t="shared" si="4"/>
        <v>4</v>
      </c>
      <c r="AB54" s="2">
        <f t="shared" si="5"/>
        <v>750</v>
      </c>
      <c r="AC54">
        <f t="shared" si="6"/>
        <v>1.6133333333333333</v>
      </c>
      <c r="AX54"/>
    </row>
    <row r="55" spans="1:50" ht="18" customHeight="1" x14ac:dyDescent="0.2">
      <c r="A55" s="13">
        <v>2010</v>
      </c>
      <c r="B55" s="13"/>
      <c r="C55" s="13"/>
      <c r="D55" s="13"/>
      <c r="E55" s="13"/>
      <c r="F55" s="13"/>
      <c r="G55" s="13">
        <v>1</v>
      </c>
      <c r="H55" s="13">
        <v>10</v>
      </c>
      <c r="I55" s="13"/>
      <c r="J55" s="13">
        <v>174</v>
      </c>
      <c r="K55" s="13">
        <v>196</v>
      </c>
      <c r="L55" s="13">
        <v>444</v>
      </c>
      <c r="M55" s="13">
        <v>443</v>
      </c>
      <c r="N55" s="13">
        <v>526</v>
      </c>
      <c r="O55" s="13">
        <v>533</v>
      </c>
      <c r="P55" s="13">
        <v>528</v>
      </c>
      <c r="Q55" s="13">
        <v>438</v>
      </c>
      <c r="R55" s="366">
        <v>597</v>
      </c>
      <c r="S55" s="13"/>
      <c r="T55" s="13"/>
      <c r="U55" s="13"/>
      <c r="V55" s="13"/>
      <c r="W55" s="13"/>
      <c r="X55" s="13">
        <v>955</v>
      </c>
      <c r="Y55" s="7"/>
      <c r="Z55" s="58"/>
      <c r="AA55" s="8">
        <f t="shared" si="4"/>
        <v>11</v>
      </c>
      <c r="AB55" s="2">
        <f t="shared" ref="AB55:AB62" si="7">MAX(B55:W55)</f>
        <v>597</v>
      </c>
      <c r="AC55">
        <f t="shared" ref="AC55:AC62" si="8">X55/AB55</f>
        <v>1.5996649916247907</v>
      </c>
      <c r="AX55"/>
    </row>
    <row r="56" spans="1:50" ht="18" customHeight="1" x14ac:dyDescent="0.2">
      <c r="A56" s="13">
        <v>2011</v>
      </c>
      <c r="B56" s="13"/>
      <c r="C56" s="13"/>
      <c r="D56" s="13"/>
      <c r="E56" s="13"/>
      <c r="F56" s="13"/>
      <c r="G56" s="13"/>
      <c r="H56" s="13">
        <v>0</v>
      </c>
      <c r="I56" s="13"/>
      <c r="J56" s="13"/>
      <c r="K56" s="13">
        <v>420</v>
      </c>
      <c r="L56" s="13">
        <v>434</v>
      </c>
      <c r="M56" s="13"/>
      <c r="N56" s="13">
        <v>600</v>
      </c>
      <c r="O56" s="13">
        <v>661</v>
      </c>
      <c r="P56" s="366">
        <v>769</v>
      </c>
      <c r="Q56" s="13">
        <v>618</v>
      </c>
      <c r="R56" s="13"/>
      <c r="S56" s="13"/>
      <c r="T56" s="13"/>
      <c r="U56" s="13"/>
      <c r="V56" s="13"/>
      <c r="W56" s="13"/>
      <c r="X56" s="13">
        <v>984</v>
      </c>
      <c r="Y56" s="7" t="s">
        <v>5</v>
      </c>
      <c r="Z56" s="58">
        <v>40</v>
      </c>
      <c r="AA56" s="8">
        <f t="shared" si="4"/>
        <v>7</v>
      </c>
      <c r="AB56" s="2">
        <f t="shared" si="7"/>
        <v>769</v>
      </c>
      <c r="AC56">
        <f t="shared" si="8"/>
        <v>1.2795838751625488</v>
      </c>
      <c r="AX56"/>
    </row>
    <row r="57" spans="1:50" ht="18" customHeight="1" x14ac:dyDescent="0.2">
      <c r="A57" s="13">
        <v>2012</v>
      </c>
      <c r="B57" s="13"/>
      <c r="C57" s="13"/>
      <c r="D57" s="13"/>
      <c r="E57" s="13"/>
      <c r="F57" s="13">
        <v>6</v>
      </c>
      <c r="G57" s="13">
        <v>8</v>
      </c>
      <c r="H57" s="13">
        <v>14</v>
      </c>
      <c r="I57" s="13">
        <v>15</v>
      </c>
      <c r="J57" s="13"/>
      <c r="K57" s="13">
        <v>19</v>
      </c>
      <c r="L57" s="13">
        <v>294</v>
      </c>
      <c r="M57" s="13">
        <v>397</v>
      </c>
      <c r="N57" s="13">
        <v>306</v>
      </c>
      <c r="O57" s="13">
        <v>418</v>
      </c>
      <c r="P57" s="366">
        <v>466</v>
      </c>
      <c r="Q57" s="13">
        <v>411</v>
      </c>
      <c r="R57" s="13">
        <v>380</v>
      </c>
      <c r="S57" s="13">
        <v>90</v>
      </c>
      <c r="T57" s="13"/>
      <c r="U57" s="13"/>
      <c r="V57" s="13"/>
      <c r="W57" s="13"/>
      <c r="X57" s="13">
        <v>671</v>
      </c>
      <c r="Y57" s="7" t="s">
        <v>5</v>
      </c>
      <c r="Z57" s="58">
        <v>30</v>
      </c>
      <c r="AA57" s="8">
        <f t="shared" si="4"/>
        <v>13</v>
      </c>
      <c r="AB57" s="2">
        <f t="shared" si="7"/>
        <v>466</v>
      </c>
      <c r="AC57">
        <f t="shared" si="8"/>
        <v>1.4399141630901287</v>
      </c>
      <c r="AX57"/>
    </row>
    <row r="58" spans="1:50" ht="18" customHeight="1" x14ac:dyDescent="0.2">
      <c r="A58" s="13">
        <v>2013</v>
      </c>
      <c r="B58" s="13"/>
      <c r="C58" s="13"/>
      <c r="D58" s="13"/>
      <c r="E58" s="13"/>
      <c r="F58" s="13"/>
      <c r="G58" s="13"/>
      <c r="H58" s="13">
        <v>11</v>
      </c>
      <c r="I58" s="13">
        <v>191</v>
      </c>
      <c r="J58" s="13">
        <v>552</v>
      </c>
      <c r="K58" s="13">
        <v>531</v>
      </c>
      <c r="L58" s="13">
        <v>527</v>
      </c>
      <c r="M58" s="13">
        <v>763</v>
      </c>
      <c r="N58" s="13">
        <v>739</v>
      </c>
      <c r="O58" s="13">
        <v>783</v>
      </c>
      <c r="P58" s="366">
        <v>853</v>
      </c>
      <c r="Q58" s="13"/>
      <c r="R58" s="13"/>
      <c r="S58" s="13"/>
      <c r="T58" s="13"/>
      <c r="U58" s="13"/>
      <c r="V58" s="13"/>
      <c r="W58" s="13"/>
      <c r="X58" s="13">
        <v>1304</v>
      </c>
      <c r="Y58" s="7" t="s">
        <v>5</v>
      </c>
      <c r="Z58" s="58">
        <v>35</v>
      </c>
      <c r="AA58" s="8">
        <f t="shared" si="4"/>
        <v>9</v>
      </c>
      <c r="AB58" s="2">
        <f t="shared" si="7"/>
        <v>853</v>
      </c>
      <c r="AC58">
        <f t="shared" si="8"/>
        <v>1.5287221570926144</v>
      </c>
      <c r="AX58"/>
    </row>
    <row r="59" spans="1:50" ht="18" customHeight="1" x14ac:dyDescent="0.2">
      <c r="A59" s="13">
        <v>2014</v>
      </c>
      <c r="B59" s="13"/>
      <c r="C59" s="13"/>
      <c r="D59" s="13"/>
      <c r="E59" s="13"/>
      <c r="F59" s="13"/>
      <c r="G59" s="13"/>
      <c r="H59" s="13">
        <v>6</v>
      </c>
      <c r="I59" s="13"/>
      <c r="J59" s="13">
        <v>78</v>
      </c>
      <c r="K59" s="13">
        <v>142</v>
      </c>
      <c r="L59" s="13">
        <v>370</v>
      </c>
      <c r="M59" s="13"/>
      <c r="N59" s="13">
        <v>607</v>
      </c>
      <c r="O59" s="13"/>
      <c r="P59" s="13"/>
      <c r="Q59" s="366">
        <v>860</v>
      </c>
      <c r="R59" s="13"/>
      <c r="S59" s="13"/>
      <c r="T59" s="13"/>
      <c r="U59" s="13"/>
      <c r="V59" s="13"/>
      <c r="W59" s="13"/>
      <c r="X59" s="13">
        <v>1180</v>
      </c>
      <c r="Y59" s="7" t="s">
        <v>5</v>
      </c>
      <c r="Z59" s="58">
        <v>35</v>
      </c>
      <c r="AA59" s="8">
        <f t="shared" si="4"/>
        <v>6</v>
      </c>
      <c r="AB59" s="2">
        <f t="shared" si="7"/>
        <v>860</v>
      </c>
      <c r="AC59">
        <f t="shared" si="8"/>
        <v>1.3720930232558139</v>
      </c>
      <c r="AX59"/>
    </row>
    <row r="60" spans="1:50" ht="18" customHeight="1" x14ac:dyDescent="0.2">
      <c r="A60" s="13">
        <v>2015</v>
      </c>
      <c r="B60" s="13"/>
      <c r="C60" s="13"/>
      <c r="D60" s="13"/>
      <c r="E60" s="13"/>
      <c r="F60" s="13"/>
      <c r="G60" s="123">
        <v>24</v>
      </c>
      <c r="H60" s="123">
        <v>29</v>
      </c>
      <c r="I60" s="1"/>
      <c r="J60" s="123">
        <v>178</v>
      </c>
      <c r="K60" s="123">
        <v>107</v>
      </c>
      <c r="L60" s="1"/>
      <c r="M60" s="363">
        <v>463</v>
      </c>
      <c r="N60" s="1"/>
      <c r="O60" s="123">
        <v>392</v>
      </c>
      <c r="P60" s="13"/>
      <c r="Q60" s="13"/>
      <c r="R60" s="13"/>
      <c r="S60" s="13"/>
      <c r="T60" s="13"/>
      <c r="U60" s="13"/>
      <c r="V60" s="13"/>
      <c r="W60" s="13"/>
      <c r="X60" s="13">
        <v>660</v>
      </c>
      <c r="Y60" s="7" t="s">
        <v>5</v>
      </c>
      <c r="Z60" s="58">
        <v>30</v>
      </c>
      <c r="AA60" s="8">
        <f t="shared" si="4"/>
        <v>6</v>
      </c>
      <c r="AB60" s="2">
        <f t="shared" si="7"/>
        <v>463</v>
      </c>
      <c r="AC60">
        <f t="shared" si="8"/>
        <v>1.4254859611231101</v>
      </c>
      <c r="AG60" s="96">
        <v>43394</v>
      </c>
      <c r="AI60" s="96">
        <v>43397</v>
      </c>
      <c r="AX60"/>
    </row>
    <row r="61" spans="1:50" ht="18" customHeight="1" x14ac:dyDescent="0.2">
      <c r="A61" s="13">
        <v>2016</v>
      </c>
      <c r="B61" s="13"/>
      <c r="C61" s="13"/>
      <c r="D61" s="13"/>
      <c r="E61" s="13"/>
      <c r="F61" s="13"/>
      <c r="G61" s="123">
        <v>25</v>
      </c>
      <c r="H61" s="13"/>
      <c r="I61" s="123">
        <v>148</v>
      </c>
      <c r="J61" s="13"/>
      <c r="K61" s="123">
        <v>382</v>
      </c>
      <c r="L61" s="13"/>
      <c r="M61" s="13"/>
      <c r="N61" s="13"/>
      <c r="O61" s="363">
        <v>791</v>
      </c>
      <c r="P61" s="355">
        <v>485</v>
      </c>
      <c r="Q61" s="13"/>
      <c r="R61" s="13"/>
      <c r="S61" s="13"/>
      <c r="T61" s="13"/>
      <c r="U61" s="13"/>
      <c r="V61" s="13"/>
      <c r="W61" s="13"/>
      <c r="X61" s="13">
        <v>1520</v>
      </c>
      <c r="Y61" s="7" t="s">
        <v>5</v>
      </c>
      <c r="Z61" s="58">
        <v>35</v>
      </c>
      <c r="AA61" s="8"/>
      <c r="AB61" s="2">
        <f t="shared" si="7"/>
        <v>791</v>
      </c>
      <c r="AC61">
        <f t="shared" si="8"/>
        <v>1.9216182048040455</v>
      </c>
      <c r="AG61">
        <v>4</v>
      </c>
      <c r="AI61">
        <v>5</v>
      </c>
      <c r="AJ61">
        <v>8</v>
      </c>
      <c r="AX61"/>
    </row>
    <row r="62" spans="1:50" ht="18" customHeight="1" x14ac:dyDescent="0.2">
      <c r="A62" s="13">
        <v>2017</v>
      </c>
      <c r="B62" s="13"/>
      <c r="C62" s="13"/>
      <c r="D62" s="13"/>
      <c r="E62" s="13"/>
      <c r="F62" s="123">
        <v>0</v>
      </c>
      <c r="G62" s="13"/>
      <c r="H62" s="123">
        <v>12</v>
      </c>
      <c r="I62" s="123">
        <v>21</v>
      </c>
      <c r="J62" s="123">
        <v>40</v>
      </c>
      <c r="K62" s="123">
        <v>39</v>
      </c>
      <c r="L62" s="123">
        <v>184</v>
      </c>
      <c r="M62" s="123">
        <v>276</v>
      </c>
      <c r="N62" s="123">
        <v>260</v>
      </c>
      <c r="O62" s="123">
        <v>260</v>
      </c>
      <c r="P62" s="355">
        <v>256</v>
      </c>
      <c r="Q62" s="13"/>
      <c r="R62" s="13"/>
      <c r="S62" s="123">
        <v>19</v>
      </c>
      <c r="T62" s="13"/>
      <c r="U62" s="13"/>
      <c r="V62" s="13"/>
      <c r="W62" s="13"/>
      <c r="X62" s="13">
        <v>451</v>
      </c>
      <c r="Y62" s="7"/>
      <c r="Z62" s="58">
        <v>30</v>
      </c>
      <c r="AA62" s="8"/>
      <c r="AB62" s="2">
        <f t="shared" si="7"/>
        <v>276</v>
      </c>
      <c r="AC62">
        <f t="shared" si="8"/>
        <v>1.6340579710144927</v>
      </c>
      <c r="AG62">
        <v>1</v>
      </c>
      <c r="AI62">
        <v>1</v>
      </c>
      <c r="AJ62">
        <v>5</v>
      </c>
      <c r="AX62"/>
    </row>
    <row r="63" spans="1:50" ht="18" customHeight="1" x14ac:dyDescent="0.2">
      <c r="A63" s="13">
        <v>2018</v>
      </c>
      <c r="B63" s="13"/>
      <c r="C63" s="13"/>
      <c r="D63" s="13"/>
      <c r="E63" s="13"/>
      <c r="F63" s="13"/>
      <c r="G63" s="123">
        <v>27</v>
      </c>
      <c r="H63" s="13"/>
      <c r="I63" s="123">
        <v>133</v>
      </c>
      <c r="J63" s="123">
        <v>156</v>
      </c>
      <c r="K63" s="123">
        <v>159</v>
      </c>
      <c r="L63" s="123">
        <v>184</v>
      </c>
      <c r="M63" s="123">
        <v>224</v>
      </c>
      <c r="N63" s="13"/>
      <c r="O63" s="377">
        <v>309</v>
      </c>
      <c r="P63" s="13"/>
      <c r="Q63" s="13"/>
      <c r="R63" s="13"/>
      <c r="S63" s="13"/>
      <c r="T63" s="13"/>
      <c r="U63" s="13"/>
      <c r="V63" s="13"/>
      <c r="W63" s="13"/>
      <c r="X63" s="13">
        <v>506</v>
      </c>
      <c r="Y63" s="7"/>
      <c r="Z63" s="58">
        <v>35</v>
      </c>
      <c r="AA63" s="8"/>
      <c r="AB63" s="2">
        <f>MAX(B63:W63)</f>
        <v>309</v>
      </c>
      <c r="AC63">
        <f>X63/AB63</f>
        <v>1.6375404530744337</v>
      </c>
      <c r="AX63"/>
    </row>
    <row r="64" spans="1:50" ht="18" customHeight="1" x14ac:dyDescent="0.2">
      <c r="A64" s="13">
        <v>2019</v>
      </c>
      <c r="B64" s="13"/>
      <c r="C64" s="13"/>
      <c r="D64" s="13"/>
      <c r="E64" s="13"/>
      <c r="F64" s="123">
        <v>7</v>
      </c>
      <c r="G64" s="13"/>
      <c r="H64" s="123">
        <v>69</v>
      </c>
      <c r="I64" s="13"/>
      <c r="J64" s="123">
        <v>168</v>
      </c>
      <c r="K64" s="123">
        <v>219</v>
      </c>
      <c r="L64" s="123">
        <v>276</v>
      </c>
      <c r="M64" s="123">
        <v>390</v>
      </c>
      <c r="N64" s="470">
        <v>362</v>
      </c>
      <c r="O64" s="13"/>
      <c r="P64" s="13"/>
      <c r="Q64" s="13"/>
      <c r="R64" s="13"/>
      <c r="S64" s="13"/>
      <c r="T64" s="13"/>
      <c r="U64" s="13"/>
      <c r="V64" s="13"/>
      <c r="W64" s="13"/>
      <c r="X64" s="13">
        <v>572</v>
      </c>
      <c r="Y64" s="7" t="s">
        <v>5</v>
      </c>
      <c r="Z64" s="58">
        <v>40</v>
      </c>
      <c r="AA64" s="8"/>
      <c r="AB64" s="2">
        <f>MAX(B64:W64)</f>
        <v>390</v>
      </c>
      <c r="AC64">
        <f>X64/AB64</f>
        <v>1.4666666666666666</v>
      </c>
      <c r="AX64"/>
    </row>
    <row r="65" spans="1:50" ht="18" customHeight="1" x14ac:dyDescent="0.2">
      <c r="A65" s="13">
        <v>2020</v>
      </c>
      <c r="B65" s="13"/>
      <c r="C65" s="13"/>
      <c r="D65" s="13"/>
      <c r="E65" s="13"/>
      <c r="F65" s="109">
        <v>0</v>
      </c>
      <c r="G65" s="13"/>
      <c r="H65" s="109">
        <v>3</v>
      </c>
      <c r="I65" s="109">
        <v>45</v>
      </c>
      <c r="J65" s="109">
        <v>227</v>
      </c>
      <c r="K65" s="109">
        <v>219</v>
      </c>
      <c r="L65" s="109">
        <v>341</v>
      </c>
      <c r="M65" s="13"/>
      <c r="N65" s="338">
        <v>441</v>
      </c>
      <c r="O65" s="338">
        <v>467</v>
      </c>
      <c r="P65" s="13"/>
      <c r="Q65" s="13"/>
      <c r="R65" s="13"/>
      <c r="S65" s="13"/>
      <c r="T65" s="13"/>
      <c r="U65" s="13"/>
      <c r="V65" s="13"/>
      <c r="W65" s="13"/>
      <c r="X65" s="13">
        <v>519</v>
      </c>
      <c r="Y65" s="7" t="s">
        <v>9</v>
      </c>
      <c r="Z65" s="58"/>
      <c r="AA65" s="8"/>
      <c r="AB65" s="2">
        <f>MAX(B65:W65)</f>
        <v>467</v>
      </c>
      <c r="AC65">
        <f>X65/AB65</f>
        <v>1.1113490364025695</v>
      </c>
      <c r="AX65"/>
    </row>
    <row r="66" spans="1:50" s="150" customFormat="1" ht="18" customHeight="1" x14ac:dyDescent="0.2">
      <c r="A66" s="89">
        <v>2021</v>
      </c>
      <c r="B66" s="89"/>
      <c r="C66" s="89"/>
      <c r="D66" s="89"/>
      <c r="E66" s="89"/>
      <c r="F66" s="89"/>
      <c r="G66" s="89"/>
      <c r="H66" s="109">
        <v>8</v>
      </c>
      <c r="I66" s="109">
        <v>114</v>
      </c>
      <c r="J66" s="89"/>
      <c r="K66" s="109">
        <v>315</v>
      </c>
      <c r="L66" s="109">
        <v>427</v>
      </c>
      <c r="M66" s="89"/>
      <c r="N66" s="338">
        <v>473</v>
      </c>
      <c r="O66" s="735"/>
      <c r="P66" s="89"/>
      <c r="Q66" s="89"/>
      <c r="R66" s="89"/>
      <c r="S66" s="89"/>
      <c r="T66" s="89"/>
      <c r="U66" s="89"/>
      <c r="V66" s="89"/>
      <c r="W66" s="89"/>
      <c r="X66" s="89"/>
      <c r="Y66" s="11"/>
      <c r="Z66" s="92"/>
      <c r="AA66" s="94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</row>
    <row r="67" spans="1:50" s="150" customFormat="1" ht="18" customHeight="1" x14ac:dyDescent="0.2">
      <c r="A67" s="89">
        <v>2022</v>
      </c>
      <c r="B67" s="89"/>
      <c r="C67" s="89"/>
      <c r="D67" s="89"/>
      <c r="E67" s="89"/>
      <c r="F67" s="89"/>
      <c r="G67" s="109">
        <v>8</v>
      </c>
      <c r="H67" s="89"/>
      <c r="I67" s="109">
        <v>20</v>
      </c>
      <c r="J67" s="109">
        <v>72</v>
      </c>
      <c r="K67" s="89"/>
      <c r="L67" s="109">
        <v>82</v>
      </c>
      <c r="M67" s="89"/>
      <c r="N67" s="437">
        <v>85</v>
      </c>
      <c r="O67" s="437">
        <v>449</v>
      </c>
      <c r="P67" s="109">
        <v>460</v>
      </c>
      <c r="Q67" s="89"/>
      <c r="R67" s="89"/>
      <c r="S67" s="89"/>
      <c r="T67" s="89"/>
      <c r="U67" s="89"/>
      <c r="V67" s="89"/>
      <c r="W67" s="89"/>
      <c r="X67" s="89"/>
      <c r="Y67" s="11"/>
      <c r="Z67" s="92"/>
      <c r="AA67" s="94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</row>
    <row r="68" spans="1:50" s="150" customFormat="1" ht="18" customHeight="1" x14ac:dyDescent="0.2">
      <c r="A68" s="89">
        <v>2023</v>
      </c>
      <c r="B68" s="89"/>
      <c r="C68" s="89"/>
      <c r="D68" s="89"/>
      <c r="E68" s="89"/>
      <c r="F68" s="89"/>
      <c r="G68" s="109">
        <v>0</v>
      </c>
      <c r="H68" s="109">
        <v>27</v>
      </c>
      <c r="I68" s="89"/>
      <c r="J68" s="109">
        <v>94</v>
      </c>
      <c r="K68" s="109">
        <v>133</v>
      </c>
      <c r="L68" s="109">
        <v>283</v>
      </c>
      <c r="M68" s="89"/>
      <c r="N68" s="109">
        <v>280</v>
      </c>
      <c r="O68" s="89"/>
      <c r="P68" s="109">
        <v>306</v>
      </c>
      <c r="Q68" s="89"/>
      <c r="R68" s="89"/>
      <c r="S68" s="89"/>
      <c r="T68" s="89"/>
      <c r="U68" s="89"/>
      <c r="V68" s="89"/>
      <c r="W68" s="89"/>
      <c r="X68" s="89"/>
      <c r="Y68" s="11"/>
      <c r="Z68" s="92"/>
      <c r="AA68" s="94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</row>
    <row r="69" spans="1:50" ht="18" customHeight="1" x14ac:dyDescent="0.2">
      <c r="A69" s="64" t="s">
        <v>17</v>
      </c>
      <c r="B69" s="16"/>
      <c r="C69" s="16"/>
      <c r="D69" s="16"/>
      <c r="E69" s="16"/>
      <c r="F69" s="16"/>
      <c r="G69" s="16"/>
      <c r="H69" s="16">
        <f t="shared" ref="H69:V69" si="9">AVERAGE(H40:H54)</f>
        <v>1</v>
      </c>
      <c r="I69" s="16">
        <f t="shared" si="9"/>
        <v>16.833333333333332</v>
      </c>
      <c r="J69" s="16">
        <f t="shared" si="9"/>
        <v>42</v>
      </c>
      <c r="K69" s="16">
        <f t="shared" si="9"/>
        <v>59.142857142857146</v>
      </c>
      <c r="L69" s="16">
        <f t="shared" si="9"/>
        <v>187.88888888888889</v>
      </c>
      <c r="M69" s="16">
        <f t="shared" si="9"/>
        <v>302.81818181818181</v>
      </c>
      <c r="N69" s="16">
        <f t="shared" si="9"/>
        <v>426.125</v>
      </c>
      <c r="O69" s="16">
        <f t="shared" si="9"/>
        <v>480.2</v>
      </c>
      <c r="P69" s="16">
        <f t="shared" si="9"/>
        <v>576.16666666666663</v>
      </c>
      <c r="Q69" s="16">
        <f t="shared" si="9"/>
        <v>416.5</v>
      </c>
      <c r="R69" s="16">
        <f t="shared" si="9"/>
        <v>348.77777777777777</v>
      </c>
      <c r="S69" s="16">
        <f t="shared" si="9"/>
        <v>329.5</v>
      </c>
      <c r="T69" s="16">
        <f t="shared" si="9"/>
        <v>282.39999999999998</v>
      </c>
      <c r="U69" s="16">
        <f t="shared" si="9"/>
        <v>133.57142857142858</v>
      </c>
      <c r="V69" s="16">
        <f t="shared" si="9"/>
        <v>106.875</v>
      </c>
      <c r="W69" s="16"/>
      <c r="X69" s="16">
        <f>AVERAGE(X40:X54)</f>
        <v>619.26666666666665</v>
      </c>
      <c r="Y69" s="17"/>
      <c r="Z69" s="16">
        <f>AVERAGE(Z40:Z54)</f>
        <v>34.409090909090907</v>
      </c>
      <c r="AG69">
        <v>3</v>
      </c>
      <c r="AI69">
        <v>3</v>
      </c>
      <c r="AJ69">
        <v>2</v>
      </c>
    </row>
    <row r="70" spans="1:50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  <c r="AG70">
        <v>4</v>
      </c>
      <c r="AI70">
        <v>21</v>
      </c>
      <c r="AJ70">
        <v>12</v>
      </c>
    </row>
    <row r="71" spans="1:50" ht="18" customHeight="1" x14ac:dyDescent="0.2">
      <c r="A71" s="1002" t="s">
        <v>607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G71">
        <v>29</v>
      </c>
      <c r="AI71">
        <v>2</v>
      </c>
      <c r="AJ71">
        <v>8</v>
      </c>
    </row>
    <row r="72" spans="1:50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  <c r="AG72">
        <v>5</v>
      </c>
      <c r="AI72">
        <v>22</v>
      </c>
      <c r="AJ72">
        <v>4</v>
      </c>
    </row>
    <row r="73" spans="1:50" ht="18" customHeight="1" thickTop="1" x14ac:dyDescent="0.2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  <c r="AG73">
        <v>32</v>
      </c>
      <c r="AI73">
        <v>11</v>
      </c>
      <c r="AJ73">
        <v>5</v>
      </c>
    </row>
    <row r="74" spans="1:50" ht="18" customHeight="1" x14ac:dyDescent="0.25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A74" s="2" t="s">
        <v>102</v>
      </c>
      <c r="AG74">
        <v>65</v>
      </c>
      <c r="AI74">
        <v>61</v>
      </c>
      <c r="AL74" s="705" t="s">
        <v>117</v>
      </c>
      <c r="AM74" s="705" t="s">
        <v>118</v>
      </c>
      <c r="AN74" s="707" t="s">
        <v>119</v>
      </c>
      <c r="AP74" s="707" t="s">
        <v>120</v>
      </c>
      <c r="AQ74" s="707"/>
      <c r="AS74" s="160" t="s">
        <v>121</v>
      </c>
      <c r="AU74" s="161" t="s">
        <v>122</v>
      </c>
    </row>
    <row r="75" spans="1:50" ht="18" customHeight="1" x14ac:dyDescent="0.2">
      <c r="A75" s="1">
        <v>1995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3"/>
      <c r="U75" s="13"/>
      <c r="V75" s="13"/>
      <c r="W75" s="13"/>
      <c r="X75" s="7">
        <v>380</v>
      </c>
      <c r="Y75" s="7" t="s">
        <v>7</v>
      </c>
      <c r="Z75" s="10"/>
      <c r="AA75" s="8">
        <f>COUNT(B75:W75)</f>
        <v>0</v>
      </c>
      <c r="AB75" s="2"/>
      <c r="AG75">
        <v>38</v>
      </c>
      <c r="AI75" s="521">
        <v>36</v>
      </c>
      <c r="AL75" s="706"/>
      <c r="AM75" s="706"/>
      <c r="AN75" s="706" t="s">
        <v>146</v>
      </c>
      <c r="AP75" s="163" t="s">
        <v>148</v>
      </c>
      <c r="AQ75" s="163" t="s">
        <v>147</v>
      </c>
      <c r="AS75" s="164"/>
      <c r="AU75" s="164"/>
    </row>
    <row r="76" spans="1:50" ht="18" customHeight="1" x14ac:dyDescent="0.2">
      <c r="A76" s="1">
        <v>1996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3"/>
      <c r="U76" s="13"/>
      <c r="V76" s="13"/>
      <c r="W76" s="13"/>
      <c r="X76" s="7">
        <v>3500</v>
      </c>
      <c r="Y76" s="7" t="s">
        <v>7</v>
      </c>
      <c r="Z76" s="10"/>
      <c r="AA76" s="8">
        <f t="shared" ref="AA76:AA95" si="10">COUNT(B76:W76)</f>
        <v>0</v>
      </c>
      <c r="AB76" s="2"/>
      <c r="AG76" s="521">
        <v>74</v>
      </c>
      <c r="AI76" s="522">
        <v>90</v>
      </c>
      <c r="AL76" s="165"/>
      <c r="AM76" s="166"/>
      <c r="AN76" s="167"/>
    </row>
    <row r="77" spans="1:50" ht="18" customHeight="1" x14ac:dyDescent="0.2">
      <c r="A77" s="1">
        <v>1997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>
        <v>3815</v>
      </c>
      <c r="N77" s="6"/>
      <c r="O77" s="6"/>
      <c r="P77" s="6"/>
      <c r="Q77" s="6"/>
      <c r="R77" s="6">
        <v>0</v>
      </c>
      <c r="S77" s="6">
        <v>0</v>
      </c>
      <c r="T77" s="13"/>
      <c r="U77" s="13"/>
      <c r="V77" s="13"/>
      <c r="W77" s="13"/>
      <c r="X77" s="7">
        <v>4500</v>
      </c>
      <c r="Y77" s="7" t="s">
        <v>7</v>
      </c>
      <c r="Z77" s="10"/>
      <c r="AA77" s="8">
        <f t="shared" si="10"/>
        <v>3</v>
      </c>
      <c r="AB77" s="2">
        <f t="shared" ref="AB77:AB91" si="11">MAX(B77:W77)</f>
        <v>3815</v>
      </c>
      <c r="AC77">
        <f t="shared" ref="AC77:AC91" si="12">X77/AB77</f>
        <v>1.1795543905635648</v>
      </c>
      <c r="AG77" s="522">
        <v>127</v>
      </c>
      <c r="AI77" s="522">
        <v>70</v>
      </c>
      <c r="AL77" s="165" t="s">
        <v>24</v>
      </c>
      <c r="AM77" s="166"/>
      <c r="AN77" s="167"/>
    </row>
    <row r="78" spans="1:50" ht="18" customHeight="1" x14ac:dyDescent="0.25">
      <c r="A78" s="1">
        <v>1998</v>
      </c>
      <c r="B78" s="6"/>
      <c r="C78" s="6"/>
      <c r="D78" s="6"/>
      <c r="E78" s="6"/>
      <c r="F78" s="6"/>
      <c r="G78" s="6"/>
      <c r="H78" s="6"/>
      <c r="I78" s="6"/>
      <c r="J78" s="6"/>
      <c r="K78" s="359">
        <v>5825</v>
      </c>
      <c r="L78" s="359"/>
      <c r="M78" s="360">
        <v>5959</v>
      </c>
      <c r="N78" s="6"/>
      <c r="O78" s="6"/>
      <c r="P78" s="6">
        <v>448</v>
      </c>
      <c r="Q78" s="6"/>
      <c r="R78" s="6"/>
      <c r="S78" s="6"/>
      <c r="T78" s="13"/>
      <c r="U78" s="13"/>
      <c r="V78" s="13"/>
      <c r="W78" s="13"/>
      <c r="X78" s="7">
        <v>6500</v>
      </c>
      <c r="Y78" s="7" t="s">
        <v>7</v>
      </c>
      <c r="Z78" s="10"/>
      <c r="AA78" s="8">
        <f t="shared" si="10"/>
        <v>3</v>
      </c>
      <c r="AB78" s="2">
        <f t="shared" si="11"/>
        <v>5959</v>
      </c>
      <c r="AC78">
        <f t="shared" si="12"/>
        <v>1.0907870448061756</v>
      </c>
      <c r="AG78" s="522">
        <v>470</v>
      </c>
      <c r="AI78" s="522">
        <v>235</v>
      </c>
      <c r="AL78" s="165" t="s">
        <v>127</v>
      </c>
      <c r="AM78" s="229">
        <v>44075</v>
      </c>
      <c r="AN78" s="385"/>
      <c r="AQ78" s="169">
        <v>0</v>
      </c>
    </row>
    <row r="79" spans="1:50" ht="18" customHeight="1" x14ac:dyDescent="0.25">
      <c r="A79" s="1">
        <v>1999</v>
      </c>
      <c r="B79" s="6"/>
      <c r="C79" s="6"/>
      <c r="D79" s="6"/>
      <c r="E79" s="6"/>
      <c r="F79" s="6"/>
      <c r="G79" s="6"/>
      <c r="H79" s="6"/>
      <c r="I79" s="6"/>
      <c r="J79" s="6">
        <v>2143</v>
      </c>
      <c r="K79" s="359"/>
      <c r="L79" s="360">
        <v>4238</v>
      </c>
      <c r="M79" s="359"/>
      <c r="N79" s="6">
        <v>2869</v>
      </c>
      <c r="O79" s="6"/>
      <c r="P79" s="6"/>
      <c r="Q79" s="6"/>
      <c r="R79" s="6">
        <v>2</v>
      </c>
      <c r="S79" s="6"/>
      <c r="T79" s="13"/>
      <c r="U79" s="13"/>
      <c r="V79" s="13"/>
      <c r="W79" s="13"/>
      <c r="X79" s="9">
        <v>3951</v>
      </c>
      <c r="Y79" s="7" t="s">
        <v>5</v>
      </c>
      <c r="Z79" s="60">
        <v>10</v>
      </c>
      <c r="AA79" s="8">
        <f t="shared" si="10"/>
        <v>4</v>
      </c>
      <c r="AB79" s="2">
        <f t="shared" si="11"/>
        <v>4238</v>
      </c>
      <c r="AC79">
        <f t="shared" si="12"/>
        <v>0.93227937706465314</v>
      </c>
      <c r="AG79" s="522">
        <v>430</v>
      </c>
      <c r="AI79" s="523">
        <v>260</v>
      </c>
      <c r="AL79" s="165"/>
      <c r="AM79" s="229">
        <v>44079</v>
      </c>
      <c r="AN79" s="384">
        <v>13</v>
      </c>
      <c r="AP79" s="171">
        <v>0.9</v>
      </c>
      <c r="AQ79" s="172">
        <f t="shared" ref="AQ79:AQ84" si="13">AN79/AP79</f>
        <v>14.444444444444445</v>
      </c>
      <c r="AS79" s="172">
        <f>(AM79-AM78)*(AN79+AN78)</f>
        <v>52</v>
      </c>
      <c r="AU79" s="172">
        <f>(AM79-AM78)*(AQ79+AQ78)</f>
        <v>57.777777777777779</v>
      </c>
    </row>
    <row r="80" spans="1:50" ht="18" customHeight="1" x14ac:dyDescent="0.25">
      <c r="A80" s="1">
        <v>2000</v>
      </c>
      <c r="B80" s="6"/>
      <c r="C80" s="6"/>
      <c r="D80" s="6"/>
      <c r="E80" s="6"/>
      <c r="F80" s="6"/>
      <c r="G80" s="6"/>
      <c r="H80" s="6"/>
      <c r="I80" s="6"/>
      <c r="J80" s="6"/>
      <c r="K80" s="359">
        <v>2235</v>
      </c>
      <c r="L80" s="360">
        <v>2360</v>
      </c>
      <c r="M80" s="359"/>
      <c r="N80" s="6">
        <v>1476</v>
      </c>
      <c r="O80" s="6">
        <v>981</v>
      </c>
      <c r="P80" s="6">
        <v>291</v>
      </c>
      <c r="Q80" s="6">
        <v>15</v>
      </c>
      <c r="R80" s="6">
        <v>6</v>
      </c>
      <c r="S80" s="6">
        <v>0</v>
      </c>
      <c r="T80" s="13">
        <v>0</v>
      </c>
      <c r="U80" s="13">
        <v>0</v>
      </c>
      <c r="V80" s="13">
        <v>0</v>
      </c>
      <c r="W80" s="13">
        <v>0</v>
      </c>
      <c r="X80" s="10">
        <v>4643</v>
      </c>
      <c r="Y80" s="7" t="s">
        <v>5</v>
      </c>
      <c r="Z80" s="60">
        <v>10</v>
      </c>
      <c r="AA80" s="8">
        <f t="shared" si="10"/>
        <v>12</v>
      </c>
      <c r="AB80" s="2">
        <f t="shared" si="11"/>
        <v>2360</v>
      </c>
      <c r="AC80">
        <f t="shared" si="12"/>
        <v>1.9673728813559321</v>
      </c>
      <c r="AG80" s="523">
        <v>1120</v>
      </c>
      <c r="AI80">
        <v>500</v>
      </c>
      <c r="AL80" s="165"/>
      <c r="AM80" s="229">
        <v>44088</v>
      </c>
      <c r="AN80" s="384">
        <v>17</v>
      </c>
      <c r="AP80" s="171">
        <v>0.9</v>
      </c>
      <c r="AQ80" s="172">
        <f t="shared" si="13"/>
        <v>18.888888888888889</v>
      </c>
      <c r="AS80" s="172">
        <f>(AM80-AM79)*(AN80+AN79)</f>
        <v>270</v>
      </c>
      <c r="AU80" s="172">
        <f>(AM80-AM79)*(AQ80+AQ79)</f>
        <v>300</v>
      </c>
    </row>
    <row r="81" spans="1:49" ht="18" customHeight="1" x14ac:dyDescent="0.25">
      <c r="A81" s="1">
        <v>2001</v>
      </c>
      <c r="B81" s="6"/>
      <c r="C81" s="6"/>
      <c r="D81" s="6"/>
      <c r="E81" s="6"/>
      <c r="F81" s="6"/>
      <c r="G81" s="6"/>
      <c r="H81" s="6"/>
      <c r="I81" s="6">
        <v>77</v>
      </c>
      <c r="J81" s="6">
        <v>1621</v>
      </c>
      <c r="K81" s="359"/>
      <c r="L81" s="359">
        <v>2998</v>
      </c>
      <c r="M81" s="360">
        <v>4355</v>
      </c>
      <c r="N81" s="6">
        <v>3851</v>
      </c>
      <c r="O81" s="6">
        <v>1937</v>
      </c>
      <c r="P81" s="6"/>
      <c r="Q81" s="6">
        <v>25</v>
      </c>
      <c r="R81" s="6">
        <v>7</v>
      </c>
      <c r="S81" s="6">
        <v>0</v>
      </c>
      <c r="T81" s="13">
        <v>0</v>
      </c>
      <c r="U81" s="13"/>
      <c r="V81" s="13"/>
      <c r="W81" s="13"/>
      <c r="X81" s="7">
        <v>6141</v>
      </c>
      <c r="Y81" s="7" t="s">
        <v>5</v>
      </c>
      <c r="Z81" s="60">
        <v>20</v>
      </c>
      <c r="AA81" s="8">
        <f t="shared" si="10"/>
        <v>10</v>
      </c>
      <c r="AB81" s="2">
        <f t="shared" si="11"/>
        <v>4355</v>
      </c>
      <c r="AC81">
        <f t="shared" si="12"/>
        <v>1.4101033295063146</v>
      </c>
      <c r="AI81">
        <v>260</v>
      </c>
      <c r="AL81" s="173"/>
      <c r="AM81" s="229">
        <v>44095</v>
      </c>
      <c r="AN81" s="384">
        <v>124</v>
      </c>
      <c r="AP81" s="171">
        <v>0.9</v>
      </c>
      <c r="AQ81" s="172">
        <f t="shared" si="13"/>
        <v>137.77777777777777</v>
      </c>
      <c r="AS81" s="172">
        <f>(AM81-AM80)*(AN81+AN80)</f>
        <v>987</v>
      </c>
      <c r="AU81" s="172">
        <f>(AM81-AM80)*(AQ81+AQ80)</f>
        <v>1096.6666666666665</v>
      </c>
    </row>
    <row r="82" spans="1:49" ht="18" customHeight="1" x14ac:dyDescent="0.25">
      <c r="A82" s="1">
        <v>2002</v>
      </c>
      <c r="B82" s="6"/>
      <c r="C82" s="6"/>
      <c r="D82" s="6"/>
      <c r="E82" s="6"/>
      <c r="F82" s="6"/>
      <c r="G82" s="6"/>
      <c r="H82" s="6"/>
      <c r="I82" s="6">
        <v>1251</v>
      </c>
      <c r="J82" s="6">
        <v>2689</v>
      </c>
      <c r="K82" s="359">
        <v>4916</v>
      </c>
      <c r="L82" s="359"/>
      <c r="M82" s="360">
        <v>5425</v>
      </c>
      <c r="N82" s="6"/>
      <c r="O82" s="6">
        <v>2154</v>
      </c>
      <c r="P82" s="6"/>
      <c r="Q82" s="6">
        <v>9</v>
      </c>
      <c r="R82" s="6">
        <v>7</v>
      </c>
      <c r="S82" s="6">
        <v>3</v>
      </c>
      <c r="T82" s="13"/>
      <c r="U82" s="13">
        <v>0</v>
      </c>
      <c r="V82" s="13">
        <v>0</v>
      </c>
      <c r="W82" s="13"/>
      <c r="X82" s="7">
        <v>13856</v>
      </c>
      <c r="Y82" s="7" t="s">
        <v>5</v>
      </c>
      <c r="Z82" s="60">
        <v>14</v>
      </c>
      <c r="AA82" s="8">
        <f t="shared" si="10"/>
        <v>10</v>
      </c>
      <c r="AB82" s="2">
        <f t="shared" si="11"/>
        <v>5425</v>
      </c>
      <c r="AC82">
        <f t="shared" si="12"/>
        <v>2.5541013824884793</v>
      </c>
      <c r="AI82">
        <v>800</v>
      </c>
      <c r="AM82" s="229">
        <v>44102</v>
      </c>
      <c r="AN82" s="384">
        <v>1285</v>
      </c>
      <c r="AP82" s="171">
        <v>0.9</v>
      </c>
      <c r="AQ82" s="172">
        <f t="shared" si="13"/>
        <v>1427.7777777777778</v>
      </c>
      <c r="AS82" s="172">
        <f>(AM82-AM81)*(AN82+AN81)</f>
        <v>9863</v>
      </c>
      <c r="AU82" s="172">
        <f>(AM82-AM81)*(AQ82+AQ81)</f>
        <v>10958.888888888891</v>
      </c>
    </row>
    <row r="83" spans="1:49" ht="18" customHeight="1" x14ac:dyDescent="0.25">
      <c r="A83" s="1">
        <v>2003</v>
      </c>
      <c r="B83" s="6"/>
      <c r="C83" s="6"/>
      <c r="D83" s="6"/>
      <c r="E83" s="6"/>
      <c r="F83" s="6"/>
      <c r="G83" s="6"/>
      <c r="H83" s="6"/>
      <c r="I83" s="6">
        <v>3262</v>
      </c>
      <c r="J83" s="6">
        <v>1117</v>
      </c>
      <c r="K83" s="359"/>
      <c r="L83" s="360">
        <v>6837</v>
      </c>
      <c r="M83" s="359">
        <v>4761</v>
      </c>
      <c r="N83" s="6">
        <v>4296</v>
      </c>
      <c r="O83" s="6">
        <v>2694</v>
      </c>
      <c r="P83" s="6">
        <v>881</v>
      </c>
      <c r="Q83" s="6">
        <v>19</v>
      </c>
      <c r="R83" s="6"/>
      <c r="S83" s="6">
        <v>0</v>
      </c>
      <c r="T83" s="13">
        <v>0</v>
      </c>
      <c r="U83" s="13">
        <v>0</v>
      </c>
      <c r="V83" s="13">
        <v>0</v>
      </c>
      <c r="W83" s="13"/>
      <c r="X83" s="7">
        <v>8449</v>
      </c>
      <c r="Y83" s="7" t="s">
        <v>5</v>
      </c>
      <c r="Z83" s="60">
        <v>17</v>
      </c>
      <c r="AA83" s="8">
        <f t="shared" si="10"/>
        <v>12</v>
      </c>
      <c r="AB83" s="2">
        <f t="shared" si="11"/>
        <v>6837</v>
      </c>
      <c r="AC83">
        <f t="shared" si="12"/>
        <v>1.2357759251133538</v>
      </c>
      <c r="AI83">
        <v>190</v>
      </c>
      <c r="AM83" s="229">
        <v>44110</v>
      </c>
      <c r="AN83" s="384">
        <v>1403</v>
      </c>
      <c r="AP83" s="171">
        <v>0.9</v>
      </c>
      <c r="AQ83" s="172">
        <f t="shared" si="13"/>
        <v>1558.8888888888889</v>
      </c>
      <c r="AS83" s="172">
        <f t="shared" ref="AS83:AS89" si="14">(AM83-AM82)*(AN83+AN82)</f>
        <v>21504</v>
      </c>
      <c r="AU83" s="172">
        <f t="shared" ref="AU83:AU89" si="15">(AM83-AM82)*(AQ83+AQ82)</f>
        <v>23893.333333333336</v>
      </c>
    </row>
    <row r="84" spans="1:49" ht="18" customHeight="1" x14ac:dyDescent="0.25">
      <c r="A84" s="1">
        <v>2004</v>
      </c>
      <c r="B84" s="6"/>
      <c r="C84" s="6"/>
      <c r="D84" s="6"/>
      <c r="E84" s="6"/>
      <c r="F84" s="6"/>
      <c r="G84" s="6"/>
      <c r="H84" s="6"/>
      <c r="I84" s="6">
        <v>2865</v>
      </c>
      <c r="J84" s="6"/>
      <c r="K84" s="359">
        <v>4415</v>
      </c>
      <c r="L84" s="360">
        <v>10939</v>
      </c>
      <c r="M84" s="359">
        <v>3964</v>
      </c>
      <c r="N84" s="6">
        <v>5550</v>
      </c>
      <c r="O84" s="6">
        <v>2667</v>
      </c>
      <c r="P84" s="6">
        <v>90</v>
      </c>
      <c r="Q84" s="6">
        <v>1</v>
      </c>
      <c r="R84" s="6">
        <v>1</v>
      </c>
      <c r="S84" s="6">
        <v>0</v>
      </c>
      <c r="T84" s="13">
        <v>0</v>
      </c>
      <c r="U84" s="13">
        <v>0</v>
      </c>
      <c r="V84" s="13">
        <v>0</v>
      </c>
      <c r="W84" s="13">
        <v>0</v>
      </c>
      <c r="X84" s="7">
        <v>22368</v>
      </c>
      <c r="Y84" s="7" t="s">
        <v>5</v>
      </c>
      <c r="Z84" s="60">
        <v>28</v>
      </c>
      <c r="AA84" s="8">
        <f t="shared" si="10"/>
        <v>14</v>
      </c>
      <c r="AB84" s="2">
        <f t="shared" si="11"/>
        <v>10939</v>
      </c>
      <c r="AC84">
        <f t="shared" si="12"/>
        <v>2.0447938568424902</v>
      </c>
      <c r="AM84" s="229">
        <v>44121</v>
      </c>
      <c r="AN84" s="384">
        <v>2946</v>
      </c>
      <c r="AP84" s="171">
        <v>0.9</v>
      </c>
      <c r="AQ84" s="172">
        <f t="shared" si="13"/>
        <v>3273.333333333333</v>
      </c>
      <c r="AS84" s="172">
        <f t="shared" si="14"/>
        <v>47839</v>
      </c>
      <c r="AU84" s="172">
        <f t="shared" si="15"/>
        <v>53154.444444444438</v>
      </c>
    </row>
    <row r="85" spans="1:49" ht="18" customHeight="1" x14ac:dyDescent="0.25">
      <c r="A85" s="1">
        <v>2005</v>
      </c>
      <c r="B85" s="6"/>
      <c r="C85" s="6"/>
      <c r="D85" s="6"/>
      <c r="E85" s="6"/>
      <c r="F85" s="6"/>
      <c r="G85" s="6"/>
      <c r="H85" s="6"/>
      <c r="I85" s="6"/>
      <c r="J85" s="6">
        <v>796</v>
      </c>
      <c r="K85" s="359">
        <v>2746</v>
      </c>
      <c r="L85" s="359">
        <v>3761</v>
      </c>
      <c r="M85" s="360">
        <v>6441</v>
      </c>
      <c r="N85" s="6">
        <v>5799</v>
      </c>
      <c r="O85" s="6">
        <v>80</v>
      </c>
      <c r="P85" s="6">
        <v>10</v>
      </c>
      <c r="Q85" s="6">
        <v>1</v>
      </c>
      <c r="R85" s="6">
        <v>2</v>
      </c>
      <c r="S85" s="6">
        <v>0</v>
      </c>
      <c r="T85" s="13">
        <v>0</v>
      </c>
      <c r="U85" s="13">
        <v>0</v>
      </c>
      <c r="V85" s="13">
        <v>0</v>
      </c>
      <c r="W85" s="13">
        <v>0</v>
      </c>
      <c r="X85" s="11">
        <v>11197</v>
      </c>
      <c r="Y85" s="7" t="s">
        <v>5</v>
      </c>
      <c r="Z85" s="60">
        <v>12</v>
      </c>
      <c r="AA85" s="8">
        <f t="shared" si="10"/>
        <v>14</v>
      </c>
      <c r="AB85" s="2">
        <f t="shared" si="11"/>
        <v>6441</v>
      </c>
      <c r="AC85">
        <f t="shared" si="12"/>
        <v>1.7383946592144077</v>
      </c>
      <c r="AM85" s="229">
        <v>44129</v>
      </c>
      <c r="AN85" s="708">
        <v>2015</v>
      </c>
      <c r="AP85" s="171">
        <v>0.9</v>
      </c>
      <c r="AQ85" s="172">
        <f>AN85/AP85</f>
        <v>2238.8888888888887</v>
      </c>
      <c r="AS85" s="172">
        <f t="shared" si="14"/>
        <v>39688</v>
      </c>
      <c r="AU85" s="172">
        <f t="shared" si="15"/>
        <v>44097.777777777774</v>
      </c>
    </row>
    <row r="86" spans="1:49" ht="18" customHeight="1" x14ac:dyDescent="0.25">
      <c r="A86" s="1">
        <v>2006</v>
      </c>
      <c r="B86" s="6"/>
      <c r="C86" s="6"/>
      <c r="D86" s="6"/>
      <c r="E86" s="6"/>
      <c r="F86" s="6"/>
      <c r="G86" s="6"/>
      <c r="H86" s="6"/>
      <c r="I86" s="6"/>
      <c r="J86" s="6"/>
      <c r="K86" s="359">
        <v>1112</v>
      </c>
      <c r="L86" s="360">
        <v>9395</v>
      </c>
      <c r="M86" s="359">
        <v>8030</v>
      </c>
      <c r="N86" s="6">
        <v>225</v>
      </c>
      <c r="O86" s="6">
        <v>14</v>
      </c>
      <c r="P86" s="6">
        <v>8</v>
      </c>
      <c r="Q86" s="6">
        <v>0</v>
      </c>
      <c r="R86" s="6">
        <v>2</v>
      </c>
      <c r="S86" s="6">
        <v>4</v>
      </c>
      <c r="T86" s="13"/>
      <c r="U86" s="13">
        <v>0</v>
      </c>
      <c r="V86" s="13">
        <v>1</v>
      </c>
      <c r="W86" s="13"/>
      <c r="X86" s="12">
        <v>10695</v>
      </c>
      <c r="Y86" s="7" t="s">
        <v>5</v>
      </c>
      <c r="Z86" s="53">
        <v>12</v>
      </c>
      <c r="AA86" s="8">
        <f t="shared" si="10"/>
        <v>11</v>
      </c>
      <c r="AB86" s="2">
        <f t="shared" si="11"/>
        <v>9395</v>
      </c>
      <c r="AC86">
        <f t="shared" si="12"/>
        <v>1.1383714741883981</v>
      </c>
      <c r="AM86" s="229">
        <v>44136</v>
      </c>
      <c r="AN86" s="708">
        <v>658</v>
      </c>
      <c r="AP86" s="171">
        <v>0.9</v>
      </c>
      <c r="AQ86" s="172">
        <f>AN86/AP86</f>
        <v>731.11111111111109</v>
      </c>
      <c r="AS86" s="172">
        <f t="shared" si="14"/>
        <v>18711</v>
      </c>
      <c r="AU86" s="172">
        <f t="shared" si="15"/>
        <v>20790</v>
      </c>
    </row>
    <row r="87" spans="1:49" ht="18" customHeight="1" x14ac:dyDescent="0.25">
      <c r="A87" s="1">
        <v>2007</v>
      </c>
      <c r="B87" s="6"/>
      <c r="C87" s="6"/>
      <c r="D87" s="6"/>
      <c r="E87" s="6"/>
      <c r="F87" s="6"/>
      <c r="G87" s="6"/>
      <c r="H87" s="6">
        <v>211</v>
      </c>
      <c r="I87" s="6">
        <v>1475</v>
      </c>
      <c r="J87" s="6">
        <v>3250</v>
      </c>
      <c r="K87" s="359">
        <v>3650</v>
      </c>
      <c r="L87" s="360">
        <v>4676</v>
      </c>
      <c r="M87" s="359">
        <v>2037</v>
      </c>
      <c r="N87" s="6">
        <v>730</v>
      </c>
      <c r="O87" s="6">
        <v>86</v>
      </c>
      <c r="P87" s="6"/>
      <c r="Q87" s="6">
        <v>0</v>
      </c>
      <c r="R87" s="6">
        <v>0</v>
      </c>
      <c r="S87" s="6"/>
      <c r="T87" s="13"/>
      <c r="U87" s="13"/>
      <c r="V87" s="13"/>
      <c r="W87" s="13"/>
      <c r="X87" s="12">
        <v>6928</v>
      </c>
      <c r="Y87" s="7" t="s">
        <v>5</v>
      </c>
      <c r="Z87" s="60">
        <v>15</v>
      </c>
      <c r="AA87" s="8">
        <f t="shared" si="10"/>
        <v>10</v>
      </c>
      <c r="AB87" s="2">
        <f t="shared" si="11"/>
        <v>4676</v>
      </c>
      <c r="AC87">
        <f t="shared" si="12"/>
        <v>1.4816082121471343</v>
      </c>
      <c r="AM87" s="229">
        <v>44150</v>
      </c>
      <c r="AN87" s="384">
        <v>0</v>
      </c>
      <c r="AP87" s="171">
        <v>0.9</v>
      </c>
      <c r="AQ87" s="172">
        <f>AN87/AP87</f>
        <v>0</v>
      </c>
      <c r="AS87" s="172">
        <f t="shared" si="14"/>
        <v>9212</v>
      </c>
      <c r="AU87" s="172">
        <f t="shared" si="15"/>
        <v>10235.555555555555</v>
      </c>
    </row>
    <row r="88" spans="1:49" s="55" customFormat="1" ht="18" customHeight="1" x14ac:dyDescent="0.2">
      <c r="A88" s="13">
        <v>2008</v>
      </c>
      <c r="B88" s="13"/>
      <c r="C88" s="13"/>
      <c r="D88" s="13"/>
      <c r="E88" s="13"/>
      <c r="F88" s="13"/>
      <c r="G88" s="13"/>
      <c r="H88" s="13"/>
      <c r="I88" s="13">
        <v>210</v>
      </c>
      <c r="J88" s="13"/>
      <c r="K88" s="19"/>
      <c r="L88" s="361">
        <v>1954</v>
      </c>
      <c r="M88" s="19">
        <v>1487</v>
      </c>
      <c r="N88" s="13"/>
      <c r="O88" s="13">
        <v>55</v>
      </c>
      <c r="P88" s="13"/>
      <c r="Q88" s="13"/>
      <c r="R88" s="13"/>
      <c r="S88" s="13"/>
      <c r="T88" s="13"/>
      <c r="U88" s="13"/>
      <c r="V88" s="13"/>
      <c r="W88" s="13"/>
      <c r="X88" s="13">
        <v>2631</v>
      </c>
      <c r="Y88" s="7" t="s">
        <v>5</v>
      </c>
      <c r="Z88" s="58">
        <v>17.5</v>
      </c>
      <c r="AA88" s="8">
        <f t="shared" si="10"/>
        <v>4</v>
      </c>
      <c r="AB88" s="2">
        <f t="shared" si="11"/>
        <v>1954</v>
      </c>
      <c r="AC88">
        <f t="shared" si="12"/>
        <v>1.3464687819856704</v>
      </c>
      <c r="AD88"/>
      <c r="AE88"/>
      <c r="AF88"/>
      <c r="AG88"/>
      <c r="AH88"/>
      <c r="AI88"/>
      <c r="AJ88"/>
      <c r="AK88"/>
      <c r="AL88"/>
      <c r="AM88" s="229">
        <v>44165</v>
      </c>
      <c r="AN88" s="369">
        <v>0</v>
      </c>
      <c r="AO88"/>
      <c r="AP88" s="171">
        <v>0.9</v>
      </c>
      <c r="AQ88" s="172">
        <f>AN88/AP88</f>
        <v>0</v>
      </c>
      <c r="AR88"/>
      <c r="AS88" s="172">
        <f t="shared" si="14"/>
        <v>0</v>
      </c>
      <c r="AT88"/>
      <c r="AU88" s="172">
        <f t="shared" si="15"/>
        <v>0</v>
      </c>
      <c r="AV88"/>
      <c r="AW88"/>
    </row>
    <row r="89" spans="1:49" ht="18" customHeight="1" x14ac:dyDescent="0.2">
      <c r="A89" s="13">
        <v>2009</v>
      </c>
      <c r="B89" s="13"/>
      <c r="C89" s="13"/>
      <c r="D89" s="13"/>
      <c r="E89" s="13"/>
      <c r="F89" s="13"/>
      <c r="G89" s="13"/>
      <c r="H89" s="13"/>
      <c r="I89" s="13"/>
      <c r="J89" s="13">
        <v>579</v>
      </c>
      <c r="K89" s="19"/>
      <c r="L89" s="19"/>
      <c r="M89" s="361">
        <v>3387</v>
      </c>
      <c r="N89" s="13"/>
      <c r="O89" s="13">
        <v>265</v>
      </c>
      <c r="P89" s="13"/>
      <c r="Q89" s="13"/>
      <c r="R89" s="13"/>
      <c r="S89" s="13"/>
      <c r="T89" s="13"/>
      <c r="U89" s="13"/>
      <c r="V89" s="13">
        <v>3</v>
      </c>
      <c r="W89" s="13"/>
      <c r="X89" s="13">
        <v>5100</v>
      </c>
      <c r="Y89" s="7" t="s">
        <v>5</v>
      </c>
      <c r="Z89" s="58">
        <v>15</v>
      </c>
      <c r="AA89" s="8">
        <f t="shared" si="10"/>
        <v>4</v>
      </c>
      <c r="AB89" s="2">
        <f t="shared" si="11"/>
        <v>3387</v>
      </c>
      <c r="AC89">
        <f t="shared" si="12"/>
        <v>1.5057573073516386</v>
      </c>
      <c r="AL89" s="165" t="s">
        <v>128</v>
      </c>
      <c r="AM89" s="229"/>
      <c r="AN89" s="176"/>
      <c r="AP89" s="177"/>
      <c r="AQ89" s="178">
        <v>0</v>
      </c>
      <c r="AR89" s="179"/>
      <c r="AS89" s="172">
        <f t="shared" si="14"/>
        <v>0</v>
      </c>
      <c r="AU89" s="172">
        <f t="shared" si="15"/>
        <v>0</v>
      </c>
    </row>
    <row r="90" spans="1:49" ht="18" customHeight="1" x14ac:dyDescent="0.2">
      <c r="A90" s="13">
        <v>2010</v>
      </c>
      <c r="B90" s="13"/>
      <c r="C90" s="13"/>
      <c r="D90" s="13"/>
      <c r="E90" s="13"/>
      <c r="F90" s="13"/>
      <c r="G90" s="13">
        <v>2</v>
      </c>
      <c r="H90" s="13">
        <v>780</v>
      </c>
      <c r="I90" s="13"/>
      <c r="J90" s="13">
        <v>3544</v>
      </c>
      <c r="K90" s="19">
        <v>3194</v>
      </c>
      <c r="L90" s="361">
        <v>5936</v>
      </c>
      <c r="M90" s="19">
        <v>4834</v>
      </c>
      <c r="N90" s="13">
        <v>1445</v>
      </c>
      <c r="O90" s="13">
        <v>114</v>
      </c>
      <c r="P90" s="13">
        <v>20</v>
      </c>
      <c r="Q90" s="13">
        <v>1</v>
      </c>
      <c r="R90" s="13">
        <v>1</v>
      </c>
      <c r="S90" s="13"/>
      <c r="T90" s="13"/>
      <c r="U90" s="13"/>
      <c r="V90" s="13"/>
      <c r="W90" s="13"/>
      <c r="X90" s="13">
        <v>8675</v>
      </c>
      <c r="Y90" s="7"/>
      <c r="Z90" s="58"/>
      <c r="AA90" s="8">
        <f t="shared" si="10"/>
        <v>11</v>
      </c>
      <c r="AB90" s="2">
        <f t="shared" si="11"/>
        <v>5936</v>
      </c>
      <c r="AC90">
        <f t="shared" si="12"/>
        <v>1.4614218328840971</v>
      </c>
      <c r="AL90" s="165" t="s">
        <v>2</v>
      </c>
      <c r="AM90" s="167">
        <v>7</v>
      </c>
      <c r="AN90" s="167"/>
      <c r="AO90" s="167"/>
    </row>
    <row r="91" spans="1:49" ht="18" customHeight="1" x14ac:dyDescent="0.2">
      <c r="A91" s="13">
        <v>2011</v>
      </c>
      <c r="B91" s="13"/>
      <c r="C91" s="13"/>
      <c r="D91" s="13"/>
      <c r="E91" s="13"/>
      <c r="F91" s="13"/>
      <c r="G91" s="13"/>
      <c r="H91" s="13">
        <v>322</v>
      </c>
      <c r="I91" s="13"/>
      <c r="J91" s="13"/>
      <c r="K91" s="361">
        <v>13194</v>
      </c>
      <c r="L91" s="362">
        <v>11904</v>
      </c>
      <c r="M91" s="19"/>
      <c r="N91" s="13">
        <v>6647</v>
      </c>
      <c r="O91" s="13">
        <v>1915</v>
      </c>
      <c r="P91" s="13">
        <v>464</v>
      </c>
      <c r="Q91" s="13">
        <v>5</v>
      </c>
      <c r="R91" s="13"/>
      <c r="S91" s="13"/>
      <c r="T91" s="13"/>
      <c r="U91" s="13"/>
      <c r="V91" s="13"/>
      <c r="W91" s="13"/>
      <c r="X91" s="13">
        <v>15500</v>
      </c>
      <c r="Y91" s="7" t="s">
        <v>5</v>
      </c>
      <c r="Z91" s="58">
        <v>25</v>
      </c>
      <c r="AA91" s="8">
        <f t="shared" si="10"/>
        <v>7</v>
      </c>
      <c r="AB91" s="2">
        <f t="shared" si="11"/>
        <v>13194</v>
      </c>
      <c r="AC91">
        <f t="shared" si="12"/>
        <v>1.1747764135212975</v>
      </c>
      <c r="AL91" s="165" t="s">
        <v>129</v>
      </c>
      <c r="AM91" s="167"/>
      <c r="AN91" s="167">
        <f>MAX(AN78:AN89)</f>
        <v>2946</v>
      </c>
      <c r="AO91" s="167"/>
      <c r="AP91" s="167"/>
      <c r="AQ91" s="167">
        <f>MAX(AQ78:AQ89)</f>
        <v>3273.333333333333</v>
      </c>
      <c r="AR91" s="167"/>
      <c r="AS91" s="167"/>
    </row>
    <row r="92" spans="1:49" ht="18" customHeight="1" x14ac:dyDescent="0.2">
      <c r="A92" s="13">
        <v>2012</v>
      </c>
      <c r="B92" s="13"/>
      <c r="C92" s="13"/>
      <c r="D92" s="13"/>
      <c r="E92" s="13"/>
      <c r="F92" s="13">
        <v>81</v>
      </c>
      <c r="G92" s="13">
        <v>132</v>
      </c>
      <c r="H92" s="13">
        <v>349</v>
      </c>
      <c r="I92" s="13">
        <v>620</v>
      </c>
      <c r="J92" s="13"/>
      <c r="K92" s="19">
        <v>1322</v>
      </c>
      <c r="L92" s="19">
        <v>2481</v>
      </c>
      <c r="M92" s="361">
        <v>2528</v>
      </c>
      <c r="N92" s="13">
        <v>276</v>
      </c>
      <c r="O92" s="13">
        <v>265</v>
      </c>
      <c r="P92" s="13">
        <v>21</v>
      </c>
      <c r="Q92" s="13">
        <v>5</v>
      </c>
      <c r="R92" s="13">
        <v>1</v>
      </c>
      <c r="S92" s="13">
        <v>0</v>
      </c>
      <c r="T92" s="13"/>
      <c r="U92" s="13"/>
      <c r="V92" s="13"/>
      <c r="W92" s="13"/>
      <c r="X92" s="13">
        <v>4823</v>
      </c>
      <c r="Y92" s="7" t="s">
        <v>5</v>
      </c>
      <c r="Z92" s="58">
        <v>15</v>
      </c>
      <c r="AA92" s="8">
        <f t="shared" si="10"/>
        <v>13</v>
      </c>
      <c r="AB92" s="2">
        <f t="shared" ref="AB92:AB97" si="16">MAX(B92:W92)</f>
        <v>2528</v>
      </c>
      <c r="AC92">
        <f t="shared" ref="AC92:AC97" si="17">X92/AB92</f>
        <v>1.9078322784810127</v>
      </c>
      <c r="AL92" s="165" t="s">
        <v>130</v>
      </c>
      <c r="AM92" s="167"/>
      <c r="AN92" s="169">
        <v>15</v>
      </c>
      <c r="AO92" s="167"/>
      <c r="AQ92" s="169">
        <v>15</v>
      </c>
      <c r="AR92" s="8"/>
      <c r="AS92" s="8"/>
    </row>
    <row r="93" spans="1:49" ht="18" customHeight="1" x14ac:dyDescent="0.2">
      <c r="A93" s="13">
        <v>2013</v>
      </c>
      <c r="B93" s="13"/>
      <c r="C93" s="13"/>
      <c r="D93" s="13"/>
      <c r="E93" s="13"/>
      <c r="F93" s="13"/>
      <c r="G93" s="13"/>
      <c r="H93" s="13">
        <v>90</v>
      </c>
      <c r="I93" s="13">
        <v>4779</v>
      </c>
      <c r="J93" s="13">
        <v>6255</v>
      </c>
      <c r="K93" s="361">
        <v>7189</v>
      </c>
      <c r="L93" s="19">
        <v>5392</v>
      </c>
      <c r="M93" s="19">
        <v>4130</v>
      </c>
      <c r="N93" s="13">
        <v>4013</v>
      </c>
      <c r="O93" s="13">
        <v>2326</v>
      </c>
      <c r="P93" s="13">
        <v>1053</v>
      </c>
      <c r="Q93" s="13"/>
      <c r="R93" s="13"/>
      <c r="S93" s="13"/>
      <c r="T93" s="13"/>
      <c r="U93" s="13"/>
      <c r="V93" s="13"/>
      <c r="W93" s="13"/>
      <c r="X93" s="13">
        <v>12062</v>
      </c>
      <c r="Y93" s="7" t="s">
        <v>5</v>
      </c>
      <c r="Z93" s="58">
        <v>20</v>
      </c>
      <c r="AA93" s="8">
        <f t="shared" si="10"/>
        <v>9</v>
      </c>
      <c r="AB93" s="2">
        <f t="shared" si="16"/>
        <v>7189</v>
      </c>
      <c r="AC93">
        <f t="shared" si="17"/>
        <v>1.6778411461955767</v>
      </c>
      <c r="AL93" s="165" t="s">
        <v>131</v>
      </c>
      <c r="AM93" s="167"/>
      <c r="AN93" s="230">
        <f>(0.5*SUM(AS79:AS89))/AN92</f>
        <v>4937.5333333333338</v>
      </c>
      <c r="AO93" s="167"/>
      <c r="AQ93" s="230">
        <f>(0.5*SUM(AU79:AU89))/AQ92</f>
        <v>5486.1481481481478</v>
      </c>
      <c r="AR93" s="8"/>
      <c r="AS93" s="8"/>
    </row>
    <row r="94" spans="1:49" ht="18" customHeight="1" x14ac:dyDescent="0.2">
      <c r="A94" s="13">
        <v>2014</v>
      </c>
      <c r="B94" s="13"/>
      <c r="C94" s="13"/>
      <c r="D94" s="13"/>
      <c r="E94" s="13"/>
      <c r="F94" s="13"/>
      <c r="G94" s="13"/>
      <c r="H94" s="13">
        <v>3</v>
      </c>
      <c r="I94" s="13"/>
      <c r="J94" s="13">
        <v>3885</v>
      </c>
      <c r="K94" s="361">
        <v>4464</v>
      </c>
      <c r="L94" s="19">
        <v>4296</v>
      </c>
      <c r="M94" s="19"/>
      <c r="N94" s="13">
        <v>461</v>
      </c>
      <c r="O94" s="13"/>
      <c r="P94" s="13"/>
      <c r="Q94" s="13">
        <v>8</v>
      </c>
      <c r="R94" s="13"/>
      <c r="S94" s="13"/>
      <c r="T94" s="13"/>
      <c r="U94" s="13"/>
      <c r="V94" s="13"/>
      <c r="W94" s="13"/>
      <c r="X94" s="13">
        <v>7911</v>
      </c>
      <c r="Y94" s="7" t="s">
        <v>5</v>
      </c>
      <c r="Z94" s="58">
        <v>20</v>
      </c>
      <c r="AA94" s="8">
        <f t="shared" si="10"/>
        <v>6</v>
      </c>
      <c r="AB94" s="2">
        <f t="shared" si="16"/>
        <v>4464</v>
      </c>
      <c r="AC94">
        <f t="shared" si="17"/>
        <v>1.7721774193548387</v>
      </c>
    </row>
    <row r="95" spans="1:49" ht="18" customHeight="1" thickBot="1" x14ac:dyDescent="0.25">
      <c r="A95" s="13">
        <v>2015</v>
      </c>
      <c r="B95" s="13"/>
      <c r="C95" s="13"/>
      <c r="D95" s="13"/>
      <c r="E95" s="13"/>
      <c r="F95" s="13"/>
      <c r="G95" s="123">
        <v>480</v>
      </c>
      <c r="H95" s="123">
        <v>1223</v>
      </c>
      <c r="I95" s="1"/>
      <c r="J95" s="363">
        <v>2733</v>
      </c>
      <c r="K95" s="123">
        <v>2525</v>
      </c>
      <c r="L95" s="1"/>
      <c r="M95" s="123">
        <v>1401</v>
      </c>
      <c r="N95" s="1"/>
      <c r="O95" s="123">
        <v>160</v>
      </c>
      <c r="P95" s="13"/>
      <c r="Q95" s="13"/>
      <c r="R95" s="13"/>
      <c r="S95" s="13"/>
      <c r="T95" s="13"/>
      <c r="U95" s="13"/>
      <c r="V95" s="13"/>
      <c r="W95" s="13"/>
      <c r="X95" s="13">
        <v>4495</v>
      </c>
      <c r="Y95" s="7" t="s">
        <v>5</v>
      </c>
      <c r="Z95" s="58">
        <v>25</v>
      </c>
      <c r="AA95" s="8">
        <f t="shared" si="10"/>
        <v>6</v>
      </c>
      <c r="AB95" s="2">
        <f t="shared" si="16"/>
        <v>2733</v>
      </c>
      <c r="AC95">
        <f t="shared" si="17"/>
        <v>1.6447127698499817</v>
      </c>
      <c r="AL95" s="299" t="s">
        <v>9</v>
      </c>
      <c r="AN95" s="169">
        <v>1442</v>
      </c>
      <c r="AQ95" s="169">
        <v>1584</v>
      </c>
    </row>
    <row r="96" spans="1:49" ht="18" customHeight="1" thickBot="1" x14ac:dyDescent="0.25">
      <c r="A96" s="13">
        <v>2016</v>
      </c>
      <c r="B96" s="13"/>
      <c r="C96" s="13"/>
      <c r="D96" s="13"/>
      <c r="E96" s="13"/>
      <c r="F96" s="13"/>
      <c r="G96" s="123">
        <v>40</v>
      </c>
      <c r="H96" s="13"/>
      <c r="I96" s="123">
        <v>906</v>
      </c>
      <c r="J96" s="13"/>
      <c r="K96" s="364">
        <v>1352</v>
      </c>
      <c r="L96" s="356"/>
      <c r="M96" s="356"/>
      <c r="N96" s="356"/>
      <c r="O96" s="357">
        <v>970</v>
      </c>
      <c r="P96" s="307">
        <v>45</v>
      </c>
      <c r="Q96" s="13"/>
      <c r="R96" s="13"/>
      <c r="S96" s="13"/>
      <c r="T96" s="13"/>
      <c r="U96" s="13"/>
      <c r="V96" s="13"/>
      <c r="W96" s="13"/>
      <c r="X96" s="13">
        <v>4505</v>
      </c>
      <c r="Y96" s="7" t="s">
        <v>5</v>
      </c>
      <c r="Z96" s="58">
        <v>15</v>
      </c>
      <c r="AA96" s="8"/>
      <c r="AB96" s="2">
        <f t="shared" si="16"/>
        <v>1352</v>
      </c>
      <c r="AC96">
        <f t="shared" si="17"/>
        <v>3.3321005917159763</v>
      </c>
      <c r="AL96" s="299" t="s">
        <v>250</v>
      </c>
      <c r="AN96" s="370">
        <v>26</v>
      </c>
      <c r="AO96" s="371"/>
      <c r="AP96" s="371"/>
      <c r="AQ96" s="370">
        <v>27</v>
      </c>
    </row>
    <row r="97" spans="1:49" ht="18" customHeight="1" x14ac:dyDescent="0.2">
      <c r="A97" s="13">
        <v>2017</v>
      </c>
      <c r="B97" s="13"/>
      <c r="C97" s="13"/>
      <c r="D97" s="13"/>
      <c r="E97" s="13"/>
      <c r="F97" s="123">
        <v>0</v>
      </c>
      <c r="G97" s="13"/>
      <c r="H97" s="123">
        <v>176</v>
      </c>
      <c r="I97" s="123">
        <v>904</v>
      </c>
      <c r="J97" s="550">
        <v>1493</v>
      </c>
      <c r="K97" s="550">
        <v>1681</v>
      </c>
      <c r="L97" s="550">
        <v>2402</v>
      </c>
      <c r="M97" s="550">
        <v>2620</v>
      </c>
      <c r="N97" s="307">
        <v>1019</v>
      </c>
      <c r="O97" s="307">
        <v>235</v>
      </c>
      <c r="P97" s="123">
        <v>0</v>
      </c>
      <c r="Q97" s="13"/>
      <c r="R97" s="13"/>
      <c r="S97" s="13"/>
      <c r="T97" s="13"/>
      <c r="U97" s="13"/>
      <c r="V97" s="13"/>
      <c r="W97" s="13"/>
      <c r="X97" s="13">
        <v>6094</v>
      </c>
      <c r="Y97" s="7"/>
      <c r="Z97" s="58">
        <v>15</v>
      </c>
      <c r="AA97" s="8"/>
      <c r="AB97" s="2">
        <f t="shared" si="16"/>
        <v>2620</v>
      </c>
      <c r="AC97">
        <f t="shared" si="17"/>
        <v>2.3259541984732826</v>
      </c>
    </row>
    <row r="98" spans="1:49" ht="18" customHeight="1" x14ac:dyDescent="0.2">
      <c r="A98" s="13">
        <v>2018</v>
      </c>
      <c r="B98" s="13"/>
      <c r="C98" s="13"/>
      <c r="D98" s="13"/>
      <c r="E98" s="13"/>
      <c r="F98" s="13"/>
      <c r="G98" s="123">
        <v>532</v>
      </c>
      <c r="H98" s="13"/>
      <c r="I98" s="550">
        <v>1207</v>
      </c>
      <c r="J98" s="550">
        <v>2651</v>
      </c>
      <c r="K98" s="550">
        <v>2646</v>
      </c>
      <c r="L98" s="307">
        <v>2177</v>
      </c>
      <c r="M98" s="307">
        <v>1027</v>
      </c>
      <c r="N98" s="13"/>
      <c r="O98" s="123">
        <v>153</v>
      </c>
      <c r="P98" s="13"/>
      <c r="Q98" s="13"/>
      <c r="R98" s="13"/>
      <c r="S98" s="13"/>
      <c r="T98" s="13"/>
      <c r="U98" s="13"/>
      <c r="V98" s="13"/>
      <c r="W98" s="13"/>
      <c r="X98" s="13">
        <v>6799</v>
      </c>
      <c r="Y98" s="7"/>
      <c r="Z98" s="58">
        <v>15</v>
      </c>
      <c r="AA98" s="8"/>
      <c r="AB98" s="2">
        <f>MAX(B98:W98)</f>
        <v>2651</v>
      </c>
      <c r="AC98">
        <f>X98/AB98</f>
        <v>2.5646925688419464</v>
      </c>
    </row>
    <row r="99" spans="1:49" ht="18" customHeight="1" x14ac:dyDescent="0.2">
      <c r="A99" s="13">
        <v>2019</v>
      </c>
      <c r="B99" s="13"/>
      <c r="C99" s="13"/>
      <c r="D99" s="13"/>
      <c r="E99" s="13"/>
      <c r="F99" s="123">
        <v>0</v>
      </c>
      <c r="G99" s="13"/>
      <c r="H99" s="123">
        <v>1034</v>
      </c>
      <c r="I99" s="616">
        <v>289</v>
      </c>
      <c r="J99" s="307">
        <v>2364</v>
      </c>
      <c r="K99" s="307">
        <v>2034</v>
      </c>
      <c r="L99" s="307">
        <v>1240</v>
      </c>
      <c r="M99" s="307">
        <v>742</v>
      </c>
      <c r="N99" s="300">
        <v>321</v>
      </c>
      <c r="O99" s="13"/>
      <c r="P99" s="13"/>
      <c r="Q99" s="13"/>
      <c r="R99" s="13"/>
      <c r="S99" s="13"/>
      <c r="T99" s="13"/>
      <c r="U99" s="13"/>
      <c r="V99" s="13"/>
      <c r="W99" s="13"/>
      <c r="X99" s="13">
        <v>3942</v>
      </c>
      <c r="Y99" s="7"/>
      <c r="Z99" s="58"/>
      <c r="AA99" s="8"/>
      <c r="AB99" s="2">
        <f>MAX(B99:W99)</f>
        <v>2364</v>
      </c>
      <c r="AC99">
        <f>X99/AB99</f>
        <v>1.6675126903553299</v>
      </c>
    </row>
    <row r="100" spans="1:49" ht="18" customHeight="1" x14ac:dyDescent="0.2">
      <c r="A100" s="13">
        <v>2020</v>
      </c>
      <c r="B100" s="13"/>
      <c r="C100" s="13"/>
      <c r="D100" s="13"/>
      <c r="E100" s="13"/>
      <c r="F100" s="109">
        <v>13</v>
      </c>
      <c r="G100" s="13"/>
      <c r="H100" s="109">
        <v>17</v>
      </c>
      <c r="I100" s="590">
        <v>124</v>
      </c>
      <c r="J100" s="590">
        <v>1285</v>
      </c>
      <c r="K100" s="590">
        <v>1403</v>
      </c>
      <c r="L100" s="590">
        <v>2946</v>
      </c>
      <c r="M100" s="13"/>
      <c r="N100" s="155">
        <v>2015</v>
      </c>
      <c r="O100" s="155">
        <v>658</v>
      </c>
      <c r="P100" s="13"/>
      <c r="Q100" s="13"/>
      <c r="R100" s="13"/>
      <c r="S100" s="13"/>
      <c r="T100" s="13"/>
      <c r="U100" s="13"/>
      <c r="V100" s="13"/>
      <c r="W100" s="13"/>
      <c r="X100" s="13">
        <v>5391</v>
      </c>
      <c r="Y100" s="7" t="s">
        <v>5</v>
      </c>
      <c r="Z100" s="58">
        <v>15</v>
      </c>
      <c r="AA100" s="8"/>
      <c r="AB100" s="2">
        <f>MAX(B100:W100)</f>
        <v>2946</v>
      </c>
      <c r="AC100">
        <f>X100/AB100</f>
        <v>1.8299389002036659</v>
      </c>
    </row>
    <row r="101" spans="1:49" s="150" customFormat="1" ht="18" customHeight="1" x14ac:dyDescent="0.2">
      <c r="A101" s="89">
        <v>2021</v>
      </c>
      <c r="B101" s="89"/>
      <c r="C101" s="89"/>
      <c r="D101" s="89"/>
      <c r="E101" s="89"/>
      <c r="F101" s="89"/>
      <c r="G101" s="109">
        <v>12</v>
      </c>
      <c r="H101" s="109">
        <v>27</v>
      </c>
      <c r="I101" s="437">
        <v>429</v>
      </c>
      <c r="J101" s="735"/>
      <c r="K101" s="338">
        <v>1066</v>
      </c>
      <c r="L101" s="338">
        <v>1832</v>
      </c>
      <c r="M101" s="89"/>
      <c r="N101" s="155">
        <v>499</v>
      </c>
      <c r="O101" s="737"/>
      <c r="P101" s="89"/>
      <c r="Q101" s="89"/>
      <c r="R101" s="89"/>
      <c r="S101" s="89"/>
      <c r="T101" s="89"/>
      <c r="U101" s="89"/>
      <c r="V101" s="89"/>
      <c r="W101" s="89"/>
      <c r="X101" s="89"/>
      <c r="Y101" s="11"/>
      <c r="Z101" s="92"/>
      <c r="AA101" s="94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</row>
    <row r="102" spans="1:49" s="150" customFormat="1" ht="18" customHeight="1" x14ac:dyDescent="0.2">
      <c r="A102" s="89">
        <v>2022</v>
      </c>
      <c r="B102" s="89"/>
      <c r="C102" s="89"/>
      <c r="D102" s="89"/>
      <c r="E102" s="89"/>
      <c r="F102" s="89"/>
      <c r="G102" s="109">
        <v>2</v>
      </c>
      <c r="H102" s="89"/>
      <c r="I102" s="437">
        <v>38</v>
      </c>
      <c r="J102" s="338">
        <v>122</v>
      </c>
      <c r="K102" s="735"/>
      <c r="L102" s="338">
        <v>495</v>
      </c>
      <c r="M102" s="89"/>
      <c r="N102" s="155">
        <v>326</v>
      </c>
      <c r="O102" s="155">
        <v>1135</v>
      </c>
      <c r="P102" s="155">
        <v>439</v>
      </c>
      <c r="Q102" s="89"/>
      <c r="R102" s="89"/>
      <c r="S102" s="89"/>
      <c r="T102" s="89"/>
      <c r="U102" s="89"/>
      <c r="V102" s="89"/>
      <c r="W102" s="89"/>
      <c r="X102" s="89"/>
      <c r="Y102" s="11"/>
      <c r="Z102" s="92"/>
      <c r="AA102" s="94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</row>
    <row r="103" spans="1:49" s="150" customFormat="1" ht="18" customHeight="1" x14ac:dyDescent="0.2">
      <c r="A103" s="89">
        <v>2023</v>
      </c>
      <c r="B103" s="89"/>
      <c r="C103" s="89"/>
      <c r="D103" s="89"/>
      <c r="E103" s="89"/>
      <c r="F103" s="89"/>
      <c r="G103" s="109">
        <v>0</v>
      </c>
      <c r="H103" s="338">
        <v>265</v>
      </c>
      <c r="I103" s="89"/>
      <c r="J103" s="590">
        <v>2831</v>
      </c>
      <c r="K103" s="590">
        <v>5471</v>
      </c>
      <c r="L103" s="155">
        <v>4848</v>
      </c>
      <c r="M103" s="89"/>
      <c r="N103" s="590">
        <v>2843</v>
      </c>
      <c r="O103" s="89"/>
      <c r="P103" s="109">
        <v>20</v>
      </c>
      <c r="Q103" s="89"/>
      <c r="R103" s="89"/>
      <c r="S103" s="89"/>
      <c r="T103" s="89"/>
      <c r="U103" s="89"/>
      <c r="V103" s="89"/>
      <c r="W103" s="89"/>
      <c r="X103" s="89"/>
      <c r="Y103" s="11"/>
      <c r="Z103" s="92"/>
      <c r="AA103" s="94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</row>
    <row r="104" spans="1:49" ht="18" customHeight="1" x14ac:dyDescent="0.2">
      <c r="A104" s="64" t="s">
        <v>17</v>
      </c>
      <c r="B104" s="16"/>
      <c r="C104" s="16"/>
      <c r="D104" s="16"/>
      <c r="E104" s="16"/>
      <c r="F104" s="16">
        <f>AVERAGE(F75:F99)</f>
        <v>27</v>
      </c>
      <c r="G104" s="16">
        <f>AVERAGE(G75:G99)</f>
        <v>237.2</v>
      </c>
      <c r="H104" s="16">
        <f>AVERAGE(H75:H99)</f>
        <v>465.33333333333331</v>
      </c>
      <c r="I104" s="16">
        <f t="shared" ref="I104:V104" si="18">AVERAGE(I75:I99)</f>
        <v>1487.0833333333333</v>
      </c>
      <c r="J104" s="16">
        <f t="shared" si="18"/>
        <v>2508.5714285714284</v>
      </c>
      <c r="K104" s="16">
        <f t="shared" si="18"/>
        <v>3794.1176470588234</v>
      </c>
      <c r="L104" s="16">
        <f t="shared" si="18"/>
        <v>4881.5294117647063</v>
      </c>
      <c r="M104" s="16">
        <f t="shared" si="18"/>
        <v>3719.0555555555557</v>
      </c>
      <c r="N104" s="16">
        <f t="shared" si="18"/>
        <v>2598.5333333333333</v>
      </c>
      <c r="O104" s="16">
        <f t="shared" si="18"/>
        <v>948.38888888888891</v>
      </c>
      <c r="P104" s="16">
        <f t="shared" si="18"/>
        <v>277.58333333333331</v>
      </c>
      <c r="Q104" s="16">
        <f t="shared" si="18"/>
        <v>7.416666666666667</v>
      </c>
      <c r="R104" s="16">
        <f t="shared" si="18"/>
        <v>2.6363636363636362</v>
      </c>
      <c r="S104" s="16">
        <f t="shared" si="18"/>
        <v>0.77777777777777779</v>
      </c>
      <c r="T104" s="16">
        <f t="shared" si="18"/>
        <v>0</v>
      </c>
      <c r="U104" s="16">
        <f t="shared" si="18"/>
        <v>0</v>
      </c>
      <c r="V104" s="16">
        <f t="shared" si="18"/>
        <v>0.5714285714285714</v>
      </c>
      <c r="W104" s="16"/>
      <c r="X104" s="16">
        <f>AVERAGE(X75:X89)</f>
        <v>7389.2666666666664</v>
      </c>
      <c r="Y104" s="17"/>
      <c r="Z104" s="16">
        <f>AVERAGE(Z75:Z99)</f>
        <v>16.868421052631579</v>
      </c>
      <c r="AB104" s="2"/>
    </row>
    <row r="105" spans="1:49" x14ac:dyDescent="0.2">
      <c r="AB105" t="s">
        <v>54</v>
      </c>
      <c r="AC105">
        <f>AVERAGE(AC77:AC89)</f>
        <v>1.5096437402021701</v>
      </c>
      <c r="AD105">
        <f>$AB$91*AC105</f>
        <v>19918.239508227431</v>
      </c>
      <c r="AE105" t="s">
        <v>57</v>
      </c>
    </row>
    <row r="106" spans="1:49" x14ac:dyDescent="0.2">
      <c r="AB106" t="s">
        <v>55</v>
      </c>
      <c r="AC106">
        <v>1</v>
      </c>
      <c r="AD106">
        <f>$AB$91*AC106</f>
        <v>13194</v>
      </c>
    </row>
    <row r="107" spans="1:49" x14ac:dyDescent="0.2">
      <c r="AB107" t="s">
        <v>56</v>
      </c>
      <c r="AC107">
        <f>MAX(AC77:AC89)</f>
        <v>2.5541013824884793</v>
      </c>
      <c r="AD107">
        <f>$AB$91*AC107</f>
        <v>33698.813640552995</v>
      </c>
    </row>
    <row r="108" spans="1:49" x14ac:dyDescent="0.2">
      <c r="AA108"/>
    </row>
    <row r="110" spans="1:49" x14ac:dyDescent="0.2">
      <c r="A110" s="1002" t="s">
        <v>608</v>
      </c>
      <c r="B110" s="1003"/>
      <c r="C110" s="1003"/>
      <c r="D110" s="1003"/>
      <c r="E110" s="1003"/>
      <c r="F110" s="1003"/>
      <c r="G110" s="1003"/>
      <c r="H110" s="1003"/>
      <c r="I110" s="1003"/>
      <c r="AN110">
        <f>3.5/12</f>
        <v>0.29166666666666669</v>
      </c>
    </row>
    <row r="111" spans="1:49" ht="13.5" thickBot="1" x14ac:dyDescent="0.25"/>
    <row r="112" spans="1:49" ht="13.5" thickTop="1" x14ac:dyDescent="0.2">
      <c r="A112" s="1004" t="s">
        <v>0</v>
      </c>
      <c r="B112" s="1006" t="s">
        <v>1</v>
      </c>
      <c r="C112" s="1006"/>
      <c r="D112" s="1006"/>
      <c r="E112" s="1006"/>
      <c r="F112" s="1006"/>
      <c r="G112" s="1006"/>
      <c r="H112" s="1006"/>
      <c r="I112" s="1006"/>
      <c r="J112" s="1006"/>
      <c r="K112" s="1006"/>
      <c r="L112" s="1006"/>
      <c r="M112" s="1006"/>
      <c r="N112" s="1006"/>
      <c r="O112" s="1006"/>
      <c r="P112" s="1006"/>
      <c r="Q112" s="1006"/>
      <c r="R112" s="1006"/>
      <c r="S112" s="1006"/>
      <c r="T112" s="1006"/>
      <c r="U112" s="1006"/>
      <c r="V112" s="1006"/>
      <c r="W112" s="1006"/>
      <c r="X112" s="1004" t="s">
        <v>2</v>
      </c>
      <c r="Y112" s="1010" t="s">
        <v>3</v>
      </c>
      <c r="Z112" s="1008" t="s">
        <v>4</v>
      </c>
    </row>
    <row r="113" spans="1:49" x14ac:dyDescent="0.2">
      <c r="A113" s="1005"/>
      <c r="B113" s="18">
        <v>81</v>
      </c>
      <c r="C113" s="18">
        <v>82</v>
      </c>
      <c r="D113" s="18">
        <v>83</v>
      </c>
      <c r="E113" s="18">
        <v>84</v>
      </c>
      <c r="F113" s="18">
        <v>91</v>
      </c>
      <c r="G113" s="18">
        <v>92</v>
      </c>
      <c r="H113" s="18">
        <v>93</v>
      </c>
      <c r="I113" s="18">
        <v>94</v>
      </c>
      <c r="J113" s="18">
        <v>101</v>
      </c>
      <c r="K113" s="18">
        <v>102</v>
      </c>
      <c r="L113" s="18">
        <v>103</v>
      </c>
      <c r="M113" s="18">
        <v>104</v>
      </c>
      <c r="N113" s="18">
        <v>105</v>
      </c>
      <c r="O113" s="18">
        <v>111</v>
      </c>
      <c r="P113" s="18">
        <v>112</v>
      </c>
      <c r="Q113" s="18">
        <v>113</v>
      </c>
      <c r="R113" s="18">
        <v>114</v>
      </c>
      <c r="S113" s="18">
        <v>115</v>
      </c>
      <c r="T113" s="18">
        <v>121</v>
      </c>
      <c r="U113" s="18">
        <v>122</v>
      </c>
      <c r="V113" s="18">
        <v>123</v>
      </c>
      <c r="W113" s="18">
        <v>124</v>
      </c>
      <c r="X113" s="1005"/>
      <c r="Y113" s="1011"/>
      <c r="Z113" s="1009"/>
    </row>
    <row r="114" spans="1:49" x14ac:dyDescent="0.2">
      <c r="A114" s="1">
        <v>2011</v>
      </c>
      <c r="B114" s="6"/>
      <c r="C114" s="6"/>
      <c r="D114" s="6"/>
      <c r="E114" s="6"/>
      <c r="F114" s="6"/>
      <c r="G114" s="6"/>
      <c r="H114" s="6">
        <v>5</v>
      </c>
      <c r="I114" s="6"/>
      <c r="J114" s="6"/>
      <c r="K114" s="6">
        <v>11</v>
      </c>
      <c r="L114" s="6">
        <v>15</v>
      </c>
      <c r="M114" s="6"/>
      <c r="N114" s="6">
        <v>6</v>
      </c>
      <c r="O114" s="6">
        <v>5</v>
      </c>
      <c r="P114" s="6">
        <v>5</v>
      </c>
      <c r="Q114" s="6">
        <v>2</v>
      </c>
      <c r="R114" s="6"/>
      <c r="S114" s="6">
        <v>0</v>
      </c>
      <c r="T114" s="13"/>
      <c r="U114" s="13"/>
      <c r="V114" s="13"/>
      <c r="W114" s="13"/>
      <c r="X114" s="7">
        <v>15</v>
      </c>
      <c r="Y114" s="7" t="s">
        <v>5</v>
      </c>
      <c r="Z114" s="10"/>
      <c r="AA114" s="2">
        <f>X114/MAX(B114:W114)</f>
        <v>1</v>
      </c>
    </row>
    <row r="115" spans="1:49" x14ac:dyDescent="0.2">
      <c r="A115" s="13">
        <v>2012</v>
      </c>
      <c r="F115" s="2">
        <v>22</v>
      </c>
      <c r="G115" s="2">
        <v>20</v>
      </c>
      <c r="H115" s="2">
        <v>21</v>
      </c>
      <c r="I115" s="2">
        <v>21</v>
      </c>
      <c r="K115" s="2">
        <v>17</v>
      </c>
      <c r="M115" s="2">
        <v>13</v>
      </c>
      <c r="N115" s="2">
        <v>4</v>
      </c>
      <c r="O115" s="2">
        <v>4</v>
      </c>
      <c r="P115" s="2">
        <v>4</v>
      </c>
      <c r="Q115" s="2">
        <v>2</v>
      </c>
      <c r="R115" s="2">
        <v>2</v>
      </c>
      <c r="S115" s="2">
        <v>0</v>
      </c>
      <c r="X115" s="2">
        <v>37</v>
      </c>
      <c r="Y115" s="7" t="s">
        <v>5</v>
      </c>
      <c r="AA115" s="2">
        <f t="shared" ref="AA115:AA121" si="19">X115/MAX(B115:W115)</f>
        <v>1.6818181818181819</v>
      </c>
    </row>
    <row r="116" spans="1:49" x14ac:dyDescent="0.2">
      <c r="A116" s="13">
        <v>2013</v>
      </c>
      <c r="H116" s="2">
        <v>24</v>
      </c>
      <c r="I116" s="2">
        <v>19</v>
      </c>
      <c r="J116" s="2">
        <v>13</v>
      </c>
      <c r="K116" s="2">
        <v>12</v>
      </c>
      <c r="L116" s="2">
        <v>14</v>
      </c>
      <c r="M116" s="2">
        <v>16</v>
      </c>
      <c r="N116" s="2">
        <v>20</v>
      </c>
      <c r="O116" s="2">
        <v>12</v>
      </c>
      <c r="P116" s="2">
        <v>14</v>
      </c>
      <c r="X116" s="2">
        <v>40</v>
      </c>
      <c r="Y116" s="7" t="s">
        <v>5</v>
      </c>
      <c r="AA116" s="2">
        <f t="shared" si="19"/>
        <v>1.6666666666666667</v>
      </c>
    </row>
    <row r="117" spans="1:49" x14ac:dyDescent="0.2">
      <c r="A117" s="13">
        <v>2014</v>
      </c>
      <c r="H117" s="2">
        <v>52</v>
      </c>
      <c r="J117" s="2">
        <v>84</v>
      </c>
      <c r="K117" s="2">
        <v>177</v>
      </c>
      <c r="L117" s="2">
        <v>133</v>
      </c>
      <c r="N117" s="2">
        <v>122</v>
      </c>
      <c r="Q117" s="2">
        <v>91</v>
      </c>
      <c r="X117" s="2">
        <v>273</v>
      </c>
      <c r="AA117" s="2">
        <f t="shared" si="19"/>
        <v>1.5423728813559323</v>
      </c>
    </row>
    <row r="118" spans="1:49" x14ac:dyDescent="0.2">
      <c r="A118" s="13">
        <v>2015</v>
      </c>
      <c r="G118" s="2">
        <v>1680</v>
      </c>
      <c r="H118" s="2">
        <v>1834</v>
      </c>
      <c r="J118" s="2">
        <v>1542</v>
      </c>
      <c r="K118" s="2">
        <v>1750</v>
      </c>
      <c r="M118" s="2">
        <v>1774</v>
      </c>
      <c r="O118" s="2">
        <v>1250</v>
      </c>
      <c r="Z118" s="60">
        <v>50</v>
      </c>
      <c r="AA118" s="2">
        <f t="shared" si="19"/>
        <v>0</v>
      </c>
    </row>
    <row r="119" spans="1:49" x14ac:dyDescent="0.2">
      <c r="A119" s="13">
        <v>2016</v>
      </c>
      <c r="G119" s="123">
        <v>209</v>
      </c>
      <c r="I119" s="123">
        <v>194</v>
      </c>
      <c r="K119" s="123">
        <v>220</v>
      </c>
      <c r="O119" s="123">
        <v>44</v>
      </c>
      <c r="P119" s="123">
        <v>7</v>
      </c>
      <c r="X119" s="2">
        <v>295</v>
      </c>
      <c r="Y119" s="7" t="s">
        <v>5</v>
      </c>
      <c r="Z119" s="60">
        <v>40</v>
      </c>
      <c r="AA119" s="2">
        <f t="shared" si="19"/>
        <v>1.3409090909090908</v>
      </c>
    </row>
    <row r="120" spans="1:49" x14ac:dyDescent="0.2">
      <c r="A120" s="13">
        <v>2017</v>
      </c>
      <c r="F120" s="123">
        <v>32</v>
      </c>
      <c r="H120" s="123">
        <v>26</v>
      </c>
      <c r="I120" s="123">
        <v>36</v>
      </c>
      <c r="J120" s="123">
        <v>32</v>
      </c>
      <c r="K120" s="123">
        <v>29</v>
      </c>
      <c r="L120" s="123">
        <v>22</v>
      </c>
      <c r="M120" s="123">
        <v>13</v>
      </c>
      <c r="N120" s="123">
        <v>16</v>
      </c>
      <c r="O120" s="123">
        <v>18</v>
      </c>
      <c r="X120" s="2">
        <v>57</v>
      </c>
      <c r="Y120" s="7"/>
      <c r="Z120" s="60">
        <v>35</v>
      </c>
      <c r="AA120" s="2">
        <f t="shared" si="19"/>
        <v>1.5833333333333333</v>
      </c>
    </row>
    <row r="121" spans="1:49" x14ac:dyDescent="0.2">
      <c r="A121" s="13">
        <v>2018</v>
      </c>
      <c r="G121" s="123">
        <v>11</v>
      </c>
      <c r="I121" s="123">
        <v>11</v>
      </c>
      <c r="J121" s="123">
        <v>22</v>
      </c>
      <c r="K121" s="123">
        <v>22</v>
      </c>
      <c r="L121" s="123">
        <v>21</v>
      </c>
      <c r="M121" s="123">
        <v>22</v>
      </c>
      <c r="O121" s="123">
        <v>4</v>
      </c>
      <c r="X121" s="2">
        <v>31</v>
      </c>
      <c r="Y121" s="7"/>
      <c r="Z121" s="60">
        <v>35</v>
      </c>
      <c r="AA121" s="2">
        <f t="shared" si="19"/>
        <v>1.4090909090909092</v>
      </c>
    </row>
    <row r="122" spans="1:49" x14ac:dyDescent="0.2">
      <c r="A122" s="13">
        <v>2019</v>
      </c>
      <c r="F122" s="123">
        <v>13</v>
      </c>
      <c r="H122" s="123">
        <v>13</v>
      </c>
      <c r="J122" s="123">
        <v>8</v>
      </c>
      <c r="K122" s="123">
        <v>6</v>
      </c>
      <c r="L122" s="123">
        <v>9</v>
      </c>
      <c r="M122" s="550">
        <v>13</v>
      </c>
      <c r="N122" s="307">
        <v>8</v>
      </c>
      <c r="O122" s="1"/>
      <c r="P122" s="1"/>
      <c r="Q122" s="1"/>
      <c r="R122" s="1"/>
      <c r="S122" s="1"/>
      <c r="T122" s="1"/>
      <c r="U122" s="1"/>
      <c r="V122" s="1"/>
      <c r="W122" s="1"/>
      <c r="Y122" s="7"/>
      <c r="Z122" s="60"/>
    </row>
    <row r="123" spans="1:49" x14ac:dyDescent="0.2">
      <c r="A123" s="13">
        <v>2020</v>
      </c>
      <c r="F123" s="464">
        <v>13</v>
      </c>
      <c r="H123" s="464">
        <v>14</v>
      </c>
      <c r="I123" s="464">
        <v>12</v>
      </c>
      <c r="J123" s="464">
        <v>13</v>
      </c>
      <c r="K123" s="464">
        <v>12</v>
      </c>
      <c r="L123" s="464">
        <v>10</v>
      </c>
      <c r="N123" s="598">
        <v>5</v>
      </c>
      <c r="O123" s="156">
        <v>6</v>
      </c>
      <c r="Q123" s="1"/>
      <c r="R123" s="1"/>
      <c r="S123" s="1"/>
      <c r="T123" s="1"/>
      <c r="U123" s="1"/>
      <c r="V123" s="1"/>
      <c r="W123" s="1"/>
      <c r="X123" s="2">
        <v>25</v>
      </c>
      <c r="Y123" s="7" t="s">
        <v>5</v>
      </c>
      <c r="Z123" s="60">
        <v>35</v>
      </c>
    </row>
    <row r="124" spans="1:49" s="150" customFormat="1" x14ac:dyDescent="0.2">
      <c r="A124" s="89">
        <v>2021</v>
      </c>
      <c r="F124" s="743"/>
      <c r="H124" s="464">
        <v>16</v>
      </c>
      <c r="I124" s="464">
        <v>27</v>
      </c>
      <c r="J124" s="743"/>
      <c r="K124" s="464">
        <v>23</v>
      </c>
      <c r="L124" s="464">
        <v>25</v>
      </c>
      <c r="N124" s="783">
        <v>18</v>
      </c>
      <c r="O124" s="558"/>
      <c r="Q124" s="227"/>
      <c r="R124" s="227"/>
      <c r="S124" s="227"/>
      <c r="T124" s="227"/>
      <c r="U124" s="227"/>
      <c r="V124" s="227"/>
      <c r="W124" s="227"/>
      <c r="Y124" s="11"/>
      <c r="Z124" s="404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51"/>
    </row>
    <row r="125" spans="1:49" s="150" customFormat="1" x14ac:dyDescent="0.2">
      <c r="A125" s="89">
        <v>2022</v>
      </c>
      <c r="F125" s="743"/>
      <c r="G125" s="464">
        <v>11</v>
      </c>
      <c r="H125" s="743"/>
      <c r="I125" s="464">
        <v>14</v>
      </c>
      <c r="J125" s="464">
        <v>19</v>
      </c>
      <c r="K125" s="743"/>
      <c r="L125" s="464">
        <v>21</v>
      </c>
      <c r="N125" s="596">
        <v>17</v>
      </c>
      <c r="O125" s="156">
        <v>3</v>
      </c>
      <c r="P125" s="156">
        <v>7</v>
      </c>
      <c r="Q125" s="227"/>
      <c r="R125" s="227"/>
      <c r="S125" s="227"/>
      <c r="T125" s="227"/>
      <c r="U125" s="227"/>
      <c r="V125" s="227"/>
      <c r="W125" s="227"/>
      <c r="Y125" s="11"/>
      <c r="Z125" s="404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</row>
    <row r="126" spans="1:49" s="150" customFormat="1" x14ac:dyDescent="0.2">
      <c r="A126" s="89">
        <v>2023</v>
      </c>
      <c r="F126" s="743"/>
      <c r="G126" s="464">
        <v>16</v>
      </c>
      <c r="H126" s="464">
        <v>17</v>
      </c>
      <c r="I126" s="743"/>
      <c r="J126" s="596">
        <v>14</v>
      </c>
      <c r="K126" s="464">
        <v>4</v>
      </c>
      <c r="L126" s="464">
        <v>1</v>
      </c>
      <c r="M126" s="743"/>
      <c r="N126" s="596">
        <v>2</v>
      </c>
      <c r="O126" s="743"/>
      <c r="P126" s="464">
        <v>0</v>
      </c>
      <c r="Q126" s="227"/>
      <c r="R126" s="227"/>
      <c r="S126" s="227"/>
      <c r="T126" s="227"/>
      <c r="U126" s="227"/>
      <c r="V126" s="227"/>
      <c r="W126" s="227"/>
      <c r="Y126" s="11"/>
      <c r="Z126" s="404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  <c r="AT126" s="151"/>
      <c r="AU126" s="151"/>
      <c r="AV126" s="151"/>
      <c r="AW126" s="151"/>
    </row>
    <row r="127" spans="1:49" x14ac:dyDescent="0.2">
      <c r="A127" s="64" t="s">
        <v>17</v>
      </c>
      <c r="B127" s="16"/>
      <c r="C127" s="16"/>
      <c r="D127" s="16"/>
      <c r="E127" s="16"/>
      <c r="F127" s="16">
        <f>AVERAGE(F114:F119)</f>
        <v>22</v>
      </c>
      <c r="G127" s="16">
        <f t="shared" ref="G127:S127" si="20">AVERAGE(G114:G119)</f>
        <v>636.33333333333337</v>
      </c>
      <c r="H127" s="16">
        <f t="shared" si="20"/>
        <v>387.2</v>
      </c>
      <c r="I127" s="16">
        <f t="shared" si="20"/>
        <v>78</v>
      </c>
      <c r="J127" s="16">
        <f t="shared" si="20"/>
        <v>546.33333333333337</v>
      </c>
      <c r="K127" s="16">
        <f t="shared" si="20"/>
        <v>364.5</v>
      </c>
      <c r="L127" s="16">
        <f t="shared" si="20"/>
        <v>54</v>
      </c>
      <c r="M127" s="16">
        <f t="shared" si="20"/>
        <v>601</v>
      </c>
      <c r="N127" s="16">
        <f t="shared" si="20"/>
        <v>38</v>
      </c>
      <c r="O127" s="16">
        <f t="shared" si="20"/>
        <v>263</v>
      </c>
      <c r="P127" s="16">
        <f t="shared" si="20"/>
        <v>7.5</v>
      </c>
      <c r="Q127" s="16">
        <f t="shared" si="20"/>
        <v>31.666666666666668</v>
      </c>
      <c r="R127" s="16">
        <f t="shared" si="20"/>
        <v>2</v>
      </c>
      <c r="S127" s="16">
        <f t="shared" si="20"/>
        <v>0</v>
      </c>
      <c r="T127" s="16"/>
      <c r="U127" s="16"/>
      <c r="V127" s="16"/>
      <c r="W127" s="16"/>
      <c r="X127" s="16">
        <f>AVERAGE(X114:X121)</f>
        <v>106.85714285714286</v>
      </c>
      <c r="Y127" s="17"/>
      <c r="Z127" s="16">
        <f>AVERAGE(Z114:Z119)</f>
        <v>45</v>
      </c>
    </row>
  </sheetData>
  <mergeCells count="25">
    <mergeCell ref="AH3:BC3"/>
    <mergeCell ref="Y3:Y4"/>
    <mergeCell ref="Z3:Z4"/>
    <mergeCell ref="Y38:Y39"/>
    <mergeCell ref="Z38:Z39"/>
    <mergeCell ref="A1:I1"/>
    <mergeCell ref="B3:W3"/>
    <mergeCell ref="X3:X4"/>
    <mergeCell ref="A36:I36"/>
    <mergeCell ref="A3:A4"/>
    <mergeCell ref="A38:A39"/>
    <mergeCell ref="B38:W38"/>
    <mergeCell ref="X38:X39"/>
    <mergeCell ref="Y73:Y74"/>
    <mergeCell ref="Z73:Z74"/>
    <mergeCell ref="A110:I110"/>
    <mergeCell ref="A71:I71"/>
    <mergeCell ref="A73:A74"/>
    <mergeCell ref="B73:W73"/>
    <mergeCell ref="X73:X74"/>
    <mergeCell ref="A112:A113"/>
    <mergeCell ref="B112:W112"/>
    <mergeCell ref="X112:X113"/>
    <mergeCell ref="Y112:Y113"/>
    <mergeCell ref="Z112:Z113"/>
  </mergeCells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U104"/>
  <sheetViews>
    <sheetView topLeftCell="A67" zoomScale="85" zoomScaleNormal="85" workbookViewId="0">
      <selection activeCell="R111" sqref="R111"/>
    </sheetView>
  </sheetViews>
  <sheetFormatPr defaultColWidth="9.140625" defaultRowHeight="12.75" x14ac:dyDescent="0.2"/>
  <cols>
    <col min="1" max="1" width="10.28515625" style="2" customWidth="1"/>
    <col min="2" max="23" width="6.5703125" style="2" customWidth="1"/>
    <col min="24" max="25" width="9.140625" style="2"/>
    <col min="26" max="26" width="11.7109375" style="56" customWidth="1"/>
    <col min="27" max="27" width="14.5703125" style="2" bestFit="1" customWidth="1"/>
    <col min="28" max="28" width="21.140625" bestFit="1" customWidth="1"/>
    <col min="29" max="47" width="8.7109375" customWidth="1"/>
    <col min="48" max="16384" width="9.140625" style="2"/>
  </cols>
  <sheetData>
    <row r="1" spans="1:47" ht="18" customHeight="1" x14ac:dyDescent="0.2">
      <c r="A1" s="1002" t="s">
        <v>609</v>
      </c>
      <c r="B1" s="1003"/>
      <c r="C1" s="1003"/>
      <c r="D1" s="1003"/>
      <c r="E1" s="1003"/>
      <c r="F1" s="1003"/>
      <c r="G1" s="1003"/>
      <c r="H1" s="1003"/>
      <c r="I1" s="100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7" ht="18" customHeight="1" thickBo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</row>
    <row r="3" spans="1:47" ht="18" customHeight="1" thickTop="1" x14ac:dyDescent="0.2">
      <c r="A3" s="1004" t="s">
        <v>0</v>
      </c>
      <c r="B3" s="1006" t="s">
        <v>1</v>
      </c>
      <c r="C3" s="1006"/>
      <c r="D3" s="1006"/>
      <c r="E3" s="1006"/>
      <c r="F3" s="1006"/>
      <c r="G3" s="1006"/>
      <c r="H3" s="1006"/>
      <c r="I3" s="1006"/>
      <c r="J3" s="1006"/>
      <c r="K3" s="1006"/>
      <c r="L3" s="1006"/>
      <c r="M3" s="1006"/>
      <c r="N3" s="1006"/>
      <c r="O3" s="1006"/>
      <c r="P3" s="1006"/>
      <c r="Q3" s="1006"/>
      <c r="R3" s="1006"/>
      <c r="S3" s="1006"/>
      <c r="T3" s="1006"/>
      <c r="U3" s="1006"/>
      <c r="V3" s="1006"/>
      <c r="W3" s="1006"/>
      <c r="X3" s="1004" t="s">
        <v>2</v>
      </c>
      <c r="Y3" s="1010" t="s">
        <v>3</v>
      </c>
      <c r="Z3" s="1008" t="s">
        <v>4</v>
      </c>
    </row>
    <row r="4" spans="1:47" ht="18" customHeight="1" x14ac:dyDescent="0.2">
      <c r="A4" s="1005"/>
      <c r="B4" s="5">
        <v>81</v>
      </c>
      <c r="C4" s="5">
        <v>82</v>
      </c>
      <c r="D4" s="5">
        <v>83</v>
      </c>
      <c r="E4" s="5">
        <v>84</v>
      </c>
      <c r="F4" s="5">
        <v>91</v>
      </c>
      <c r="G4" s="5">
        <v>92</v>
      </c>
      <c r="H4" s="5">
        <v>93</v>
      </c>
      <c r="I4" s="5">
        <v>94</v>
      </c>
      <c r="J4" s="5">
        <v>101</v>
      </c>
      <c r="K4" s="5">
        <v>102</v>
      </c>
      <c r="L4" s="5">
        <v>103</v>
      </c>
      <c r="M4" s="5">
        <v>104</v>
      </c>
      <c r="N4" s="5">
        <v>105</v>
      </c>
      <c r="O4" s="5">
        <v>111</v>
      </c>
      <c r="P4" s="5">
        <v>112</v>
      </c>
      <c r="Q4" s="5">
        <v>113</v>
      </c>
      <c r="R4" s="5">
        <v>114</v>
      </c>
      <c r="S4" s="5">
        <v>115</v>
      </c>
      <c r="T4" s="5">
        <v>121</v>
      </c>
      <c r="U4" s="5">
        <v>122</v>
      </c>
      <c r="V4" s="5">
        <v>123</v>
      </c>
      <c r="W4" s="5">
        <v>124</v>
      </c>
      <c r="X4" s="1005"/>
      <c r="Y4" s="1011"/>
      <c r="Z4" s="1009"/>
      <c r="AA4" s="68"/>
      <c r="AC4" t="s">
        <v>142</v>
      </c>
    </row>
    <row r="5" spans="1:47" s="8" customFormat="1" ht="18" customHeight="1" x14ac:dyDescent="0.2">
      <c r="A5" s="1">
        <v>1995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"/>
      <c r="U5" s="1"/>
      <c r="V5" s="1"/>
      <c r="W5" s="1"/>
      <c r="X5" s="7">
        <v>6</v>
      </c>
      <c r="Y5" s="7"/>
      <c r="Z5" s="10"/>
      <c r="AA5" s="243" t="s">
        <v>154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s="8" customFormat="1" ht="18" customHeight="1" x14ac:dyDescent="0.2">
      <c r="A6" s="1">
        <v>1996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1"/>
      <c r="U6" s="1"/>
      <c r="V6" s="1"/>
      <c r="W6" s="1"/>
      <c r="X6" s="7">
        <v>10</v>
      </c>
      <c r="Y6" s="7"/>
      <c r="Z6" s="10"/>
      <c r="AA6" s="243" t="s">
        <v>154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s="8" customFormat="1" ht="18" customHeight="1" x14ac:dyDescent="0.2">
      <c r="A7" s="1">
        <v>1997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"/>
      <c r="U7" s="1"/>
      <c r="V7" s="1"/>
      <c r="W7" s="1"/>
      <c r="X7" s="7">
        <v>15</v>
      </c>
      <c r="Y7" s="7"/>
      <c r="Z7" s="61"/>
      <c r="AA7" s="243" t="s">
        <v>154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8" customFormat="1" ht="18" customHeight="1" x14ac:dyDescent="0.2">
      <c r="A8" s="1">
        <v>1998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"/>
      <c r="U8" s="1"/>
      <c r="V8" s="1"/>
      <c r="W8" s="1"/>
      <c r="X8" s="7">
        <v>20</v>
      </c>
      <c r="Y8" s="7"/>
      <c r="Z8" s="61"/>
      <c r="AA8" s="243" t="s">
        <v>154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s="8" customFormat="1" ht="18" customHeight="1" x14ac:dyDescent="0.2">
      <c r="A9" s="1">
        <v>1999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"/>
      <c r="U9" s="1"/>
      <c r="V9" s="1"/>
      <c r="W9" s="1"/>
      <c r="X9" s="9">
        <v>10</v>
      </c>
      <c r="Y9" s="7"/>
      <c r="Z9" s="62"/>
      <c r="AA9" s="243" t="s">
        <v>154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s="8" customFormat="1" ht="18" customHeight="1" x14ac:dyDescent="0.2">
      <c r="A10" s="1">
        <v>2000</v>
      </c>
      <c r="B10" s="6"/>
      <c r="C10" s="6"/>
      <c r="D10" s="6"/>
      <c r="E10" s="6"/>
      <c r="F10" s="6"/>
      <c r="G10" s="6"/>
      <c r="H10" s="6"/>
      <c r="I10" s="6"/>
      <c r="J10" s="6"/>
      <c r="K10" s="6">
        <v>408</v>
      </c>
      <c r="L10" s="6"/>
      <c r="M10" s="6"/>
      <c r="N10" s="6"/>
      <c r="O10" s="6">
        <v>30</v>
      </c>
      <c r="P10" s="6"/>
      <c r="Q10" s="6"/>
      <c r="R10" s="6">
        <v>0</v>
      </c>
      <c r="S10" s="6"/>
      <c r="T10" s="1"/>
      <c r="U10" s="1"/>
      <c r="V10" s="1"/>
      <c r="W10" s="1"/>
      <c r="X10" s="10">
        <v>408</v>
      </c>
      <c r="Y10" s="7" t="s">
        <v>9</v>
      </c>
      <c r="Z10" s="62">
        <v>20</v>
      </c>
      <c r="AA10" s="2"/>
      <c r="AC10">
        <f>X10/MAX(B10:W10)</f>
        <v>1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8" customFormat="1" ht="18" customHeight="1" x14ac:dyDescent="0.2">
      <c r="A11" s="1">
        <v>2001</v>
      </c>
      <c r="B11" s="6"/>
      <c r="C11" s="6"/>
      <c r="D11" s="6"/>
      <c r="E11" s="6"/>
      <c r="F11" s="6"/>
      <c r="G11" s="6"/>
      <c r="H11" s="6"/>
      <c r="I11" s="6">
        <v>1</v>
      </c>
      <c r="J11" s="6">
        <v>632</v>
      </c>
      <c r="K11" s="6"/>
      <c r="L11" s="6">
        <v>422</v>
      </c>
      <c r="M11" s="6"/>
      <c r="N11" s="6"/>
      <c r="O11" s="6">
        <v>7</v>
      </c>
      <c r="P11" s="6">
        <v>17</v>
      </c>
      <c r="Q11" s="6"/>
      <c r="R11" s="6"/>
      <c r="S11" s="6"/>
      <c r="T11" s="1"/>
      <c r="U11" s="1"/>
      <c r="V11" s="1"/>
      <c r="W11" s="1"/>
      <c r="X11" s="7">
        <v>641</v>
      </c>
      <c r="Y11" s="7" t="s">
        <v>5</v>
      </c>
      <c r="Z11" s="62">
        <v>15</v>
      </c>
      <c r="AA11" s="243" t="s">
        <v>158</v>
      </c>
      <c r="AC11">
        <f t="shared" ref="AC11:AC29" si="0">X11/MAX(B11:W11)</f>
        <v>1.014240506329114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8" customFormat="1" ht="18" customHeight="1" x14ac:dyDescent="0.2">
      <c r="A12" s="1">
        <v>2002</v>
      </c>
      <c r="B12" s="6"/>
      <c r="C12" s="6"/>
      <c r="D12" s="6"/>
      <c r="E12" s="6"/>
      <c r="F12" s="6"/>
      <c r="G12" s="6"/>
      <c r="H12" s="6"/>
      <c r="I12" s="6"/>
      <c r="J12" s="6"/>
      <c r="K12" s="6">
        <v>13</v>
      </c>
      <c r="L12" s="6">
        <v>10</v>
      </c>
      <c r="M12" s="6">
        <v>21</v>
      </c>
      <c r="N12" s="6"/>
      <c r="O12" s="6"/>
      <c r="P12" s="6"/>
      <c r="Q12" s="6"/>
      <c r="R12" s="6"/>
      <c r="S12" s="6">
        <v>2</v>
      </c>
      <c r="T12" s="1"/>
      <c r="U12" s="1"/>
      <c r="V12" s="1"/>
      <c r="W12" s="1"/>
      <c r="X12" s="7">
        <v>32</v>
      </c>
      <c r="Y12" s="7" t="s">
        <v>5</v>
      </c>
      <c r="Z12" s="62">
        <v>25</v>
      </c>
      <c r="AA12" s="2" t="s">
        <v>152</v>
      </c>
      <c r="AC12">
        <f t="shared" si="0"/>
        <v>1.5238095238095237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s="8" customFormat="1" ht="18" customHeight="1" x14ac:dyDescent="0.2">
      <c r="A13" s="1">
        <v>2003</v>
      </c>
      <c r="B13" s="6"/>
      <c r="C13" s="6"/>
      <c r="D13" s="6"/>
      <c r="E13" s="6"/>
      <c r="F13" s="6"/>
      <c r="G13" s="6"/>
      <c r="H13" s="6"/>
      <c r="I13" s="6"/>
      <c r="J13" s="6">
        <v>152</v>
      </c>
      <c r="K13" s="6"/>
      <c r="L13" s="6"/>
      <c r="M13" s="6"/>
      <c r="N13" s="6">
        <v>187</v>
      </c>
      <c r="O13" s="6"/>
      <c r="P13" s="6"/>
      <c r="Q13" s="6"/>
      <c r="R13" s="6"/>
      <c r="S13" s="6"/>
      <c r="T13" s="1"/>
      <c r="U13" s="1"/>
      <c r="V13" s="1"/>
      <c r="W13" s="1"/>
      <c r="X13" s="7">
        <v>500</v>
      </c>
      <c r="Y13" s="7" t="s">
        <v>6</v>
      </c>
      <c r="Z13" s="62"/>
      <c r="AA13" s="2" t="s">
        <v>152</v>
      </c>
      <c r="AC13">
        <f t="shared" si="0"/>
        <v>2.6737967914438503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s="8" customFormat="1" ht="18" customHeight="1" x14ac:dyDescent="0.2">
      <c r="A14" s="1">
        <v>2004</v>
      </c>
      <c r="B14" s="6"/>
      <c r="C14" s="6"/>
      <c r="D14" s="6"/>
      <c r="E14" s="6"/>
      <c r="F14" s="6"/>
      <c r="G14" s="6"/>
      <c r="H14" s="6"/>
      <c r="I14" s="6">
        <v>267</v>
      </c>
      <c r="J14" s="6"/>
      <c r="K14" s="6"/>
      <c r="L14" s="6">
        <v>460</v>
      </c>
      <c r="M14" s="6"/>
      <c r="N14" s="6"/>
      <c r="O14" s="6"/>
      <c r="P14" s="6"/>
      <c r="Q14" s="6"/>
      <c r="R14" s="6"/>
      <c r="S14" s="6">
        <v>0</v>
      </c>
      <c r="T14" s="1"/>
      <c r="U14" s="1"/>
      <c r="V14" s="1"/>
      <c r="W14" s="1"/>
      <c r="X14" s="11">
        <v>490</v>
      </c>
      <c r="Y14" s="7" t="s">
        <v>9</v>
      </c>
      <c r="Z14" s="62"/>
      <c r="AA14" s="2" t="s">
        <v>152</v>
      </c>
      <c r="AC14">
        <f t="shared" si="0"/>
        <v>1.0652173913043479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8" customFormat="1" ht="18" customHeight="1" x14ac:dyDescent="0.2">
      <c r="A15" s="1">
        <v>2005</v>
      </c>
      <c r="B15" s="6"/>
      <c r="C15" s="6"/>
      <c r="D15" s="6"/>
      <c r="E15" s="6"/>
      <c r="F15" s="6"/>
      <c r="G15" s="6"/>
      <c r="H15" s="6"/>
      <c r="I15" s="6">
        <v>6</v>
      </c>
      <c r="J15" s="6"/>
      <c r="K15" s="6"/>
      <c r="L15" s="6"/>
      <c r="M15" s="6"/>
      <c r="N15" s="6"/>
      <c r="O15" s="6"/>
      <c r="P15" s="6"/>
      <c r="Q15" s="6">
        <v>1</v>
      </c>
      <c r="R15" s="6"/>
      <c r="S15" s="6"/>
      <c r="T15" s="1"/>
      <c r="U15" s="1"/>
      <c r="V15" s="1"/>
      <c r="W15" s="1"/>
      <c r="X15" s="11">
        <v>500</v>
      </c>
      <c r="Y15" s="7" t="s">
        <v>6</v>
      </c>
      <c r="Z15" s="62"/>
      <c r="AA15" s="2" t="s">
        <v>152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8" customFormat="1" ht="18" customHeight="1" x14ac:dyDescent="0.2">
      <c r="A16" s="1">
        <v>2006</v>
      </c>
      <c r="B16" s="6"/>
      <c r="C16" s="6"/>
      <c r="D16" s="6"/>
      <c r="E16" s="6"/>
      <c r="F16" s="6"/>
      <c r="G16" s="6"/>
      <c r="H16" s="6"/>
      <c r="I16" s="6"/>
      <c r="J16" s="6">
        <v>82</v>
      </c>
      <c r="K16" s="6"/>
      <c r="L16" s="6">
        <v>303</v>
      </c>
      <c r="M16" s="6"/>
      <c r="N16" s="6">
        <v>238</v>
      </c>
      <c r="O16" s="6"/>
      <c r="P16" s="6"/>
      <c r="Q16" s="6"/>
      <c r="R16" s="6">
        <v>1</v>
      </c>
      <c r="S16" s="6"/>
      <c r="T16" s="1"/>
      <c r="U16" s="1"/>
      <c r="V16" s="1"/>
      <c r="W16" s="1"/>
      <c r="X16" s="12">
        <v>422</v>
      </c>
      <c r="Y16" s="7" t="s">
        <v>5</v>
      </c>
      <c r="Z16" s="62">
        <v>25</v>
      </c>
      <c r="AA16" s="2" t="s">
        <v>152</v>
      </c>
      <c r="AC16">
        <f t="shared" si="0"/>
        <v>1.3927392739273927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8" customFormat="1" ht="18" customHeight="1" x14ac:dyDescent="0.2">
      <c r="A17" s="1">
        <v>2007</v>
      </c>
      <c r="B17" s="6"/>
      <c r="C17" s="6"/>
      <c r="D17" s="6"/>
      <c r="E17" s="6"/>
      <c r="F17" s="6"/>
      <c r="G17" s="6"/>
      <c r="H17" s="6">
        <v>6</v>
      </c>
      <c r="I17" s="6"/>
      <c r="J17" s="6"/>
      <c r="K17" s="6">
        <v>762</v>
      </c>
      <c r="L17" s="6"/>
      <c r="M17" s="6">
        <v>343</v>
      </c>
      <c r="N17" s="6">
        <v>262</v>
      </c>
      <c r="O17" s="6"/>
      <c r="P17" s="6"/>
      <c r="Q17" s="6"/>
      <c r="R17" s="6">
        <v>0</v>
      </c>
      <c r="S17" s="6">
        <v>0</v>
      </c>
      <c r="T17" s="1"/>
      <c r="U17" s="1"/>
      <c r="V17" s="1"/>
      <c r="W17" s="1"/>
      <c r="X17" s="12">
        <v>869</v>
      </c>
      <c r="Y17" s="7" t="s">
        <v>5</v>
      </c>
      <c r="Z17" s="62">
        <v>22.5</v>
      </c>
      <c r="AA17" s="2" t="s">
        <v>152</v>
      </c>
      <c r="AC17">
        <f t="shared" si="0"/>
        <v>1.1404199475065617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8" customFormat="1" ht="18" customHeight="1" x14ac:dyDescent="0.2">
      <c r="A18" s="1">
        <v>2008</v>
      </c>
      <c r="B18" s="1"/>
      <c r="C18" s="1"/>
      <c r="D18" s="1"/>
      <c r="E18" s="1"/>
      <c r="F18" s="1"/>
      <c r="G18" s="1">
        <v>0</v>
      </c>
      <c r="H18" s="1"/>
      <c r="I18" s="1">
        <v>62</v>
      </c>
      <c r="J18" s="1"/>
      <c r="K18" s="1"/>
      <c r="L18" s="1">
        <v>379</v>
      </c>
      <c r="M18" s="1"/>
      <c r="N18" s="1"/>
      <c r="O18" s="1"/>
      <c r="P18" s="1"/>
      <c r="Q18" s="1"/>
      <c r="R18" s="1"/>
      <c r="S18" s="1">
        <v>0</v>
      </c>
      <c r="T18" s="1"/>
      <c r="U18" s="1"/>
      <c r="V18" s="1"/>
      <c r="W18" s="1"/>
      <c r="X18" s="1">
        <v>449</v>
      </c>
      <c r="Y18" s="7" t="s">
        <v>5</v>
      </c>
      <c r="Z18" s="54">
        <v>30</v>
      </c>
      <c r="AA18" s="8" t="s">
        <v>157</v>
      </c>
      <c r="AB18"/>
      <c r="AC18">
        <f t="shared" si="0"/>
        <v>1.1846965699208443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8" customFormat="1" ht="18" customHeight="1" x14ac:dyDescent="0.2">
      <c r="A19" s="1">
        <v>2009</v>
      </c>
      <c r="B19" s="1"/>
      <c r="C19" s="1"/>
      <c r="D19" s="1"/>
      <c r="E19" s="1"/>
      <c r="F19" s="1"/>
      <c r="G19" s="1"/>
      <c r="H19" s="1"/>
      <c r="I19" s="1"/>
      <c r="J19" s="1">
        <v>217</v>
      </c>
      <c r="K19" s="1"/>
      <c r="L19" s="1"/>
      <c r="M19" s="1">
        <v>45</v>
      </c>
      <c r="N19" s="1"/>
      <c r="O19" s="1"/>
      <c r="P19" s="1"/>
      <c r="Q19" s="1"/>
      <c r="R19" s="1"/>
      <c r="S19" s="1"/>
      <c r="T19" s="1"/>
      <c r="U19" s="1">
        <v>0</v>
      </c>
      <c r="V19" s="1"/>
      <c r="W19" s="1"/>
      <c r="X19" s="1">
        <v>245</v>
      </c>
      <c r="Y19" s="7" t="s">
        <v>9</v>
      </c>
      <c r="Z19" s="54"/>
      <c r="AA19" s="8" t="s">
        <v>159</v>
      </c>
      <c r="AB19"/>
      <c r="AC19">
        <f t="shared" si="0"/>
        <v>1.1290322580645162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8" customFormat="1" ht="18" customHeight="1" x14ac:dyDescent="0.2">
      <c r="A20" s="1">
        <v>2010</v>
      </c>
      <c r="B20" s="1"/>
      <c r="C20" s="1"/>
      <c r="D20" s="1"/>
      <c r="E20" s="1"/>
      <c r="F20" s="1"/>
      <c r="G20" s="1"/>
      <c r="H20" s="1"/>
      <c r="I20" s="1">
        <v>60</v>
      </c>
      <c r="J20" s="1"/>
      <c r="K20" s="1"/>
      <c r="L20" s="1">
        <v>240</v>
      </c>
      <c r="M20" s="1"/>
      <c r="N20" s="1"/>
      <c r="O20" s="1"/>
      <c r="P20" s="1"/>
      <c r="Q20" s="1">
        <v>4</v>
      </c>
      <c r="R20" s="1"/>
      <c r="S20" s="1"/>
      <c r="T20" s="1"/>
      <c r="U20" s="1"/>
      <c r="V20" s="1"/>
      <c r="W20" s="1"/>
      <c r="X20" s="1">
        <v>440</v>
      </c>
      <c r="Y20" s="7"/>
      <c r="Z20" s="54"/>
      <c r="AA20" s="2" t="s">
        <v>152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8" customFormat="1" ht="18" customHeight="1" x14ac:dyDescent="0.2">
      <c r="A21" s="1">
        <v>2011</v>
      </c>
      <c r="B21" s="1"/>
      <c r="C21" s="1"/>
      <c r="D21" s="1"/>
      <c r="E21" s="1"/>
      <c r="F21" s="1"/>
      <c r="G21" s="1"/>
      <c r="H21" s="1"/>
      <c r="I21" s="1">
        <v>73</v>
      </c>
      <c r="J21" s="1"/>
      <c r="K21" s="1"/>
      <c r="L21" s="1"/>
      <c r="M21" s="1">
        <v>930</v>
      </c>
      <c r="N21" s="1">
        <v>573</v>
      </c>
      <c r="O21" s="1">
        <v>252</v>
      </c>
      <c r="P21" s="1"/>
      <c r="Q21" s="1"/>
      <c r="R21" s="1"/>
      <c r="S21" s="1"/>
      <c r="T21" s="1"/>
      <c r="U21" s="1"/>
      <c r="V21" s="1"/>
      <c r="W21" s="1"/>
      <c r="X21" s="1">
        <v>1326</v>
      </c>
      <c r="Y21" s="7" t="s">
        <v>5</v>
      </c>
      <c r="Z21" s="54">
        <v>22.5</v>
      </c>
      <c r="AA21" s="2" t="s">
        <v>152</v>
      </c>
      <c r="AB21"/>
      <c r="AC21">
        <f t="shared" si="0"/>
        <v>1.4258064516129032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8" customFormat="1" ht="18" customHeight="1" x14ac:dyDescent="0.2">
      <c r="A22" s="1">
        <v>2012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599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663</v>
      </c>
      <c r="Y22" s="7"/>
      <c r="Z22" s="54"/>
      <c r="AA22" s="2" t="s">
        <v>152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s="8" customFormat="1" ht="18" customHeight="1" x14ac:dyDescent="0.2">
      <c r="A23" s="1">
        <v>2013</v>
      </c>
      <c r="B23" s="1"/>
      <c r="C23" s="1"/>
      <c r="D23" s="1"/>
      <c r="E23" s="1"/>
      <c r="F23" s="1"/>
      <c r="G23" s="1"/>
      <c r="H23" s="1">
        <v>504</v>
      </c>
      <c r="I23" s="1"/>
      <c r="J23" s="1"/>
      <c r="K23" s="1"/>
      <c r="L23" s="1">
        <v>2613</v>
      </c>
      <c r="M23" s="1">
        <v>2468</v>
      </c>
      <c r="N23" s="1"/>
      <c r="O23" s="1">
        <v>166</v>
      </c>
      <c r="P23" s="1"/>
      <c r="Q23" s="1"/>
      <c r="R23" s="1">
        <v>0</v>
      </c>
      <c r="S23" s="1"/>
      <c r="T23" s="1"/>
      <c r="U23" s="1"/>
      <c r="V23" s="1"/>
      <c r="W23" s="1"/>
      <c r="X23" s="1">
        <v>3630</v>
      </c>
      <c r="Y23" s="7" t="s">
        <v>5</v>
      </c>
      <c r="Z23" s="54">
        <v>25</v>
      </c>
      <c r="AA23" s="2" t="s">
        <v>152</v>
      </c>
      <c r="AB23"/>
      <c r="AC23">
        <f t="shared" si="0"/>
        <v>1.389207807118255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8" customFormat="1" ht="18" customHeight="1" x14ac:dyDescent="0.2">
      <c r="A24" s="1">
        <v>2014</v>
      </c>
      <c r="B24" s="1"/>
      <c r="C24" s="1"/>
      <c r="D24" s="1"/>
      <c r="E24" s="1"/>
      <c r="F24" s="1"/>
      <c r="G24" s="1"/>
      <c r="H24" s="1">
        <v>39</v>
      </c>
      <c r="I24" s="1"/>
      <c r="J24" s="1">
        <v>1101</v>
      </c>
      <c r="K24" s="1"/>
      <c r="L24" s="1"/>
      <c r="M24" s="1"/>
      <c r="N24" s="1"/>
      <c r="O24" s="1"/>
      <c r="P24" s="1">
        <v>0</v>
      </c>
      <c r="Q24" s="1"/>
      <c r="R24" s="1"/>
      <c r="S24" s="1"/>
      <c r="T24" s="1"/>
      <c r="U24" s="1"/>
      <c r="V24" s="1"/>
      <c r="W24" s="1"/>
      <c r="X24" s="1">
        <v>1223</v>
      </c>
      <c r="Y24" s="7" t="s">
        <v>9</v>
      </c>
      <c r="Z24" s="54"/>
      <c r="AB24"/>
      <c r="AC24">
        <f t="shared" si="0"/>
        <v>1.1108083560399638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s="8" customFormat="1" ht="18" customHeight="1" x14ac:dyDescent="0.2">
      <c r="A25" s="1">
        <v>2015</v>
      </c>
      <c r="B25" s="1"/>
      <c r="C25" s="1"/>
      <c r="D25" s="1"/>
      <c r="E25" s="1"/>
      <c r="F25" s="1"/>
      <c r="G25" s="1"/>
      <c r="H25" s="189">
        <v>1088</v>
      </c>
      <c r="I25" s="221"/>
      <c r="J25" s="189">
        <v>1962</v>
      </c>
      <c r="K25" s="187"/>
      <c r="L25" s="189">
        <v>1006</v>
      </c>
      <c r="M25" s="189">
        <v>524</v>
      </c>
      <c r="N25" s="187"/>
      <c r="O25" s="187"/>
      <c r="P25" s="187"/>
      <c r="Q25" s="189">
        <v>1</v>
      </c>
      <c r="R25" s="1"/>
      <c r="S25" s="1"/>
      <c r="T25" s="1"/>
      <c r="U25" s="1"/>
      <c r="V25" s="1"/>
      <c r="W25" s="1"/>
      <c r="X25" s="1">
        <v>2584</v>
      </c>
      <c r="Y25" s="7"/>
      <c r="Z25" s="54">
        <v>30</v>
      </c>
      <c r="AB25"/>
      <c r="AC25">
        <f t="shared" si="0"/>
        <v>1.3170234454638123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s="8" customFormat="1" ht="18" customHeight="1" x14ac:dyDescent="0.2">
      <c r="A26" s="1">
        <v>2016</v>
      </c>
      <c r="B26" s="1"/>
      <c r="C26" s="1"/>
      <c r="D26" s="1"/>
      <c r="E26" s="1"/>
      <c r="F26" s="1"/>
      <c r="G26" s="1"/>
      <c r="H26" s="189">
        <v>220</v>
      </c>
      <c r="I26" s="189">
        <v>961</v>
      </c>
      <c r="J26" s="1"/>
      <c r="K26" s="1"/>
      <c r="L26" s="1"/>
      <c r="M26" s="1"/>
      <c r="N26" s="1"/>
      <c r="O26" s="189">
        <v>59</v>
      </c>
      <c r="P26" s="1"/>
      <c r="Q26" s="1"/>
      <c r="R26" s="1"/>
      <c r="S26" s="1"/>
      <c r="T26" s="1"/>
      <c r="U26" s="1"/>
      <c r="V26" s="1"/>
      <c r="W26" s="1"/>
      <c r="X26" s="1">
        <v>1275</v>
      </c>
      <c r="Y26" s="7"/>
      <c r="Z26" s="54">
        <v>25</v>
      </c>
      <c r="AB26"/>
      <c r="AC26">
        <f t="shared" si="0"/>
        <v>1.3267429760665972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s="8" customFormat="1" ht="18" customHeight="1" x14ac:dyDescent="0.2">
      <c r="A27" s="1">
        <v>2017</v>
      </c>
      <c r="B27" s="1"/>
      <c r="C27" s="1"/>
      <c r="D27" s="1"/>
      <c r="E27" s="1"/>
      <c r="F27" s="189">
        <v>0</v>
      </c>
      <c r="G27" s="1"/>
      <c r="H27" s="189">
        <v>8</v>
      </c>
      <c r="I27" s="1"/>
      <c r="J27" s="189">
        <v>175</v>
      </c>
      <c r="K27" s="1"/>
      <c r="L27" s="1"/>
      <c r="M27" s="1"/>
      <c r="N27" s="106">
        <v>52</v>
      </c>
      <c r="O27" s="1"/>
      <c r="P27" s="1"/>
      <c r="Q27" s="1"/>
      <c r="R27" s="1"/>
      <c r="S27" s="1"/>
      <c r="T27" s="1"/>
      <c r="U27" s="1"/>
      <c r="V27" s="1"/>
      <c r="W27" s="1"/>
      <c r="X27" s="1">
        <v>219</v>
      </c>
      <c r="Y27" s="7" t="s">
        <v>9</v>
      </c>
      <c r="Z27" s="54"/>
      <c r="AB27"/>
      <c r="AC27">
        <f t="shared" si="0"/>
        <v>1.2514285714285713</v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8" customFormat="1" ht="18" customHeight="1" x14ac:dyDescent="0.2">
      <c r="A28" s="1">
        <v>2018</v>
      </c>
      <c r="B28" s="1"/>
      <c r="C28" s="1"/>
      <c r="D28" s="1"/>
      <c r="E28" s="1"/>
      <c r="F28" s="1"/>
      <c r="G28" s="189">
        <v>40</v>
      </c>
      <c r="H28" s="1"/>
      <c r="I28" s="189">
        <v>159</v>
      </c>
      <c r="J28" s="1"/>
      <c r="K28" s="1"/>
      <c r="L28" s="189">
        <v>168</v>
      </c>
      <c r="M28" s="1"/>
      <c r="N28" s="1"/>
      <c r="O28" s="1"/>
      <c r="P28" s="1"/>
      <c r="Q28" s="189">
        <v>1</v>
      </c>
      <c r="R28" s="1"/>
      <c r="S28" s="1"/>
      <c r="T28" s="1"/>
      <c r="U28" s="1"/>
      <c r="V28" s="1"/>
      <c r="W28" s="1"/>
      <c r="X28" s="1">
        <v>199</v>
      </c>
      <c r="Y28" s="7" t="s">
        <v>9</v>
      </c>
      <c r="Z28" s="54"/>
      <c r="AB28"/>
      <c r="AC28">
        <f t="shared" si="0"/>
        <v>1.1845238095238095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8" customFormat="1" ht="18" customHeight="1" x14ac:dyDescent="0.2">
      <c r="A29" s="1">
        <v>2019</v>
      </c>
      <c r="B29" s="1"/>
      <c r="C29" s="1"/>
      <c r="D29" s="1"/>
      <c r="E29" s="1"/>
      <c r="F29" s="189">
        <v>0</v>
      </c>
      <c r="G29" s="1"/>
      <c r="H29" s="189">
        <v>179</v>
      </c>
      <c r="I29" s="1"/>
      <c r="J29" s="345">
        <v>257</v>
      </c>
      <c r="K29" s="1"/>
      <c r="L29" s="1"/>
      <c r="M29" s="1"/>
      <c r="N29" s="106">
        <v>12</v>
      </c>
      <c r="O29" s="1"/>
      <c r="P29" s="1"/>
      <c r="Q29" s="1"/>
      <c r="R29" s="1"/>
      <c r="S29" s="1"/>
      <c r="T29" s="1"/>
      <c r="U29" s="1"/>
      <c r="V29" s="1"/>
      <c r="W29" s="1"/>
      <c r="X29" s="1">
        <v>333</v>
      </c>
      <c r="Y29" s="7" t="s">
        <v>5</v>
      </c>
      <c r="Z29" s="54">
        <v>25</v>
      </c>
      <c r="AB29"/>
      <c r="AC29">
        <f t="shared" si="0"/>
        <v>1.2957198443579767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8" customFormat="1" ht="18" customHeight="1" x14ac:dyDescent="0.2">
      <c r="A30" s="1">
        <v>2020</v>
      </c>
      <c r="B30" s="1"/>
      <c r="C30" s="1"/>
      <c r="D30" s="1"/>
      <c r="E30" s="1"/>
      <c r="F30" s="1"/>
      <c r="G30" s="106">
        <v>7</v>
      </c>
      <c r="H30" s="106">
        <v>10</v>
      </c>
      <c r="I30" s="1"/>
      <c r="J30" s="427">
        <v>44</v>
      </c>
      <c r="K30" s="1"/>
      <c r="L30" s="1"/>
      <c r="M30" s="106">
        <v>26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60</v>
      </c>
      <c r="Y30" s="7"/>
      <c r="Z30" s="54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94" customFormat="1" ht="18" customHeight="1" x14ac:dyDescent="0.2">
      <c r="A31" s="227">
        <v>2021</v>
      </c>
      <c r="B31" s="227"/>
      <c r="C31" s="227"/>
      <c r="D31" s="227"/>
      <c r="E31" s="227"/>
      <c r="F31" s="227"/>
      <c r="G31" s="227"/>
      <c r="H31" s="106">
        <v>5</v>
      </c>
      <c r="I31" s="106">
        <v>7</v>
      </c>
      <c r="J31" s="740"/>
      <c r="K31" s="106">
        <v>14</v>
      </c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>
        <v>16</v>
      </c>
      <c r="Y31" s="7" t="s">
        <v>9</v>
      </c>
      <c r="Z31" s="210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</row>
    <row r="32" spans="1:47" s="94" customFormat="1" ht="18" customHeight="1" x14ac:dyDescent="0.2">
      <c r="A32" s="227">
        <v>2022</v>
      </c>
      <c r="B32" s="227"/>
      <c r="C32" s="227"/>
      <c r="D32" s="227"/>
      <c r="E32" s="227"/>
      <c r="F32" s="227"/>
      <c r="G32" s="227"/>
      <c r="H32" s="106">
        <v>3</v>
      </c>
      <c r="I32" s="227"/>
      <c r="J32" s="240">
        <v>4</v>
      </c>
      <c r="K32" s="106">
        <v>3</v>
      </c>
      <c r="L32" s="227"/>
      <c r="M32" s="245">
        <v>0</v>
      </c>
      <c r="N32" s="227"/>
      <c r="O32" s="227"/>
      <c r="P32" s="227"/>
      <c r="Q32" s="106">
        <v>1</v>
      </c>
      <c r="R32" s="227"/>
      <c r="S32" s="227"/>
      <c r="T32" s="227"/>
      <c r="U32" s="227"/>
      <c r="V32" s="227"/>
      <c r="W32" s="227"/>
      <c r="X32" s="227">
        <v>4</v>
      </c>
      <c r="Y32" s="11"/>
      <c r="Z32" s="210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</row>
    <row r="33" spans="1:47" s="94" customFormat="1" ht="18" customHeight="1" x14ac:dyDescent="0.2">
      <c r="A33" s="227">
        <v>2023</v>
      </c>
      <c r="B33" s="227"/>
      <c r="C33" s="227"/>
      <c r="D33" s="227"/>
      <c r="E33" s="227"/>
      <c r="F33" s="227"/>
      <c r="G33" s="227"/>
      <c r="H33" s="106">
        <v>0</v>
      </c>
      <c r="I33" s="106">
        <v>11</v>
      </c>
      <c r="J33" s="227"/>
      <c r="K33" s="227"/>
      <c r="L33" s="227"/>
      <c r="M33" s="106">
        <v>7</v>
      </c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11"/>
      <c r="Z33" s="210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</row>
    <row r="34" spans="1:47" s="8" customFormat="1" ht="18" customHeight="1" x14ac:dyDescent="0.2">
      <c r="A34" s="64" t="s">
        <v>17</v>
      </c>
      <c r="B34" s="16"/>
      <c r="C34" s="16"/>
      <c r="D34" s="16"/>
      <c r="E34" s="16"/>
      <c r="F34" s="16"/>
      <c r="G34" s="16">
        <f>AVERAGE(G5:G25)</f>
        <v>0</v>
      </c>
      <c r="H34" s="16">
        <f>AVERAGE(H5:H25)</f>
        <v>409.25</v>
      </c>
      <c r="I34" s="16">
        <f t="shared" ref="I34:U34" si="1">AVERAGE(I5:I25)</f>
        <v>78.166666666666671</v>
      </c>
      <c r="J34" s="16">
        <f t="shared" si="1"/>
        <v>691</v>
      </c>
      <c r="K34" s="16">
        <f t="shared" si="1"/>
        <v>394.33333333333331</v>
      </c>
      <c r="L34" s="16">
        <f t="shared" si="1"/>
        <v>679.125</v>
      </c>
      <c r="M34" s="16">
        <f t="shared" si="1"/>
        <v>704.28571428571433</v>
      </c>
      <c r="N34" s="16">
        <f t="shared" si="1"/>
        <v>315</v>
      </c>
      <c r="O34" s="16">
        <f t="shared" si="1"/>
        <v>113.75</v>
      </c>
      <c r="P34" s="16">
        <f t="shared" si="1"/>
        <v>8.5</v>
      </c>
      <c r="Q34" s="16">
        <f t="shared" si="1"/>
        <v>2</v>
      </c>
      <c r="R34" s="16">
        <f t="shared" si="1"/>
        <v>0.25</v>
      </c>
      <c r="S34" s="16">
        <f t="shared" si="1"/>
        <v>0.5</v>
      </c>
      <c r="T34" s="16"/>
      <c r="U34" s="16">
        <f t="shared" si="1"/>
        <v>0</v>
      </c>
      <c r="V34" s="16"/>
      <c r="W34" s="16"/>
      <c r="X34" s="24">
        <f>AVERAGE(X5:X19)</f>
        <v>307.8</v>
      </c>
      <c r="Y34" s="17"/>
      <c r="Z34" s="16">
        <f>AVERAGE(Z5:Z19)</f>
        <v>22.916666666666668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ht="18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47" ht="18" customHeight="1" x14ac:dyDescent="0.2">
      <c r="A36" s="1002" t="s">
        <v>610</v>
      </c>
      <c r="B36" s="1003"/>
      <c r="C36" s="1003"/>
      <c r="D36" s="1003"/>
      <c r="E36" s="1003"/>
      <c r="F36" s="1003"/>
      <c r="G36" s="1003"/>
      <c r="H36" s="1003"/>
      <c r="I36" s="100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47" ht="18" customHeight="1" thickBo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"/>
    </row>
    <row r="38" spans="1:47" ht="18" customHeight="1" thickTop="1" x14ac:dyDescent="0.2">
      <c r="A38" s="1004" t="s">
        <v>0</v>
      </c>
      <c r="B38" s="1006" t="s">
        <v>1</v>
      </c>
      <c r="C38" s="1006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1006"/>
      <c r="P38" s="1006"/>
      <c r="Q38" s="1006"/>
      <c r="R38" s="1006"/>
      <c r="S38" s="1006"/>
      <c r="T38" s="1006"/>
      <c r="U38" s="1006"/>
      <c r="V38" s="1006"/>
      <c r="W38" s="1006"/>
      <c r="X38" s="1004" t="s">
        <v>2</v>
      </c>
      <c r="Y38" s="1010" t="s">
        <v>3</v>
      </c>
      <c r="Z38" s="1008" t="s">
        <v>4</v>
      </c>
    </row>
    <row r="39" spans="1:47" ht="18" customHeight="1" x14ac:dyDescent="0.2">
      <c r="A39" s="1005"/>
      <c r="B39" s="18">
        <v>81</v>
      </c>
      <c r="C39" s="18">
        <v>82</v>
      </c>
      <c r="D39" s="18">
        <v>83</v>
      </c>
      <c r="E39" s="18">
        <v>84</v>
      </c>
      <c r="F39" s="18">
        <v>91</v>
      </c>
      <c r="G39" s="18">
        <v>92</v>
      </c>
      <c r="H39" s="18">
        <v>93</v>
      </c>
      <c r="I39" s="18">
        <v>94</v>
      </c>
      <c r="J39" s="18">
        <v>101</v>
      </c>
      <c r="K39" s="18">
        <v>102</v>
      </c>
      <c r="L39" s="18">
        <v>103</v>
      </c>
      <c r="M39" s="18">
        <v>104</v>
      </c>
      <c r="N39" s="18">
        <v>105</v>
      </c>
      <c r="O39" s="18">
        <v>111</v>
      </c>
      <c r="P39" s="18">
        <v>112</v>
      </c>
      <c r="Q39" s="18">
        <v>113</v>
      </c>
      <c r="R39" s="18">
        <v>114</v>
      </c>
      <c r="S39" s="18">
        <v>115</v>
      </c>
      <c r="T39" s="18">
        <v>121</v>
      </c>
      <c r="U39" s="18">
        <v>122</v>
      </c>
      <c r="V39" s="18">
        <v>123</v>
      </c>
      <c r="W39" s="18">
        <v>124</v>
      </c>
      <c r="X39" s="1005"/>
      <c r="Y39" s="1011"/>
      <c r="Z39" s="1009"/>
      <c r="AC39" t="s">
        <v>142</v>
      </c>
    </row>
    <row r="40" spans="1:47" ht="18" customHeight="1" x14ac:dyDescent="0.2">
      <c r="A40" s="1">
        <v>1995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3"/>
      <c r="U40" s="13"/>
      <c r="V40" s="13"/>
      <c r="W40" s="13"/>
      <c r="X40" s="13">
        <v>1000</v>
      </c>
      <c r="Y40" s="7"/>
      <c r="Z40" s="58"/>
      <c r="AA40" s="243" t="s">
        <v>154</v>
      </c>
    </row>
    <row r="41" spans="1:47" ht="18" customHeight="1" x14ac:dyDescent="0.2">
      <c r="A41" s="1">
        <v>1996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3"/>
      <c r="U41" s="13"/>
      <c r="V41" s="13"/>
      <c r="W41" s="13"/>
      <c r="X41" s="13">
        <v>300</v>
      </c>
      <c r="Y41" s="7"/>
      <c r="Z41" s="60"/>
      <c r="AA41" s="243" t="s">
        <v>154</v>
      </c>
    </row>
    <row r="42" spans="1:47" ht="18" customHeight="1" x14ac:dyDescent="0.2">
      <c r="A42" s="1">
        <v>1997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3"/>
      <c r="U42" s="13"/>
      <c r="V42" s="13"/>
      <c r="W42" s="13"/>
      <c r="X42" s="13">
        <v>425</v>
      </c>
      <c r="Y42" s="7"/>
      <c r="Z42" s="58"/>
      <c r="AA42" s="243" t="s">
        <v>154</v>
      </c>
    </row>
    <row r="43" spans="1:47" ht="18" customHeight="1" x14ac:dyDescent="0.2">
      <c r="A43" s="1">
        <v>1998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3"/>
      <c r="U43" s="13"/>
      <c r="V43" s="13"/>
      <c r="W43" s="13"/>
      <c r="X43" s="13">
        <v>1000</v>
      </c>
      <c r="Y43" s="7"/>
      <c r="Z43" s="58"/>
      <c r="AA43" s="243" t="s">
        <v>154</v>
      </c>
    </row>
    <row r="44" spans="1:47" ht="18" customHeight="1" x14ac:dyDescent="0.2">
      <c r="A44" s="1">
        <v>1999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3"/>
      <c r="U44" s="13"/>
      <c r="V44" s="13"/>
      <c r="W44" s="13"/>
      <c r="X44" s="13">
        <v>650</v>
      </c>
      <c r="Y44" s="7"/>
      <c r="Z44" s="58"/>
      <c r="AA44" s="243" t="s">
        <v>154</v>
      </c>
    </row>
    <row r="45" spans="1:47" ht="18" customHeight="1" x14ac:dyDescent="0.2">
      <c r="A45" s="1">
        <v>2000</v>
      </c>
      <c r="B45" s="6"/>
      <c r="C45" s="6"/>
      <c r="D45" s="6"/>
      <c r="E45" s="6"/>
      <c r="F45" s="6"/>
      <c r="G45" s="6"/>
      <c r="H45" s="6"/>
      <c r="I45" s="6"/>
      <c r="J45" s="6"/>
      <c r="K45" s="6">
        <v>890</v>
      </c>
      <c r="L45" s="6"/>
      <c r="M45" s="6"/>
      <c r="N45" s="6"/>
      <c r="O45" s="6">
        <v>2060</v>
      </c>
      <c r="P45" s="6"/>
      <c r="Q45" s="6"/>
      <c r="R45" s="6">
        <v>1815</v>
      </c>
      <c r="S45" s="6"/>
      <c r="T45" s="13"/>
      <c r="U45" s="13"/>
      <c r="V45" s="13"/>
      <c r="W45" s="13"/>
      <c r="X45" s="13"/>
      <c r="Y45" s="7"/>
      <c r="Z45" s="58"/>
      <c r="AC45">
        <f>X45/MAX(B45:W45)</f>
        <v>0</v>
      </c>
    </row>
    <row r="46" spans="1:47" ht="18" customHeight="1" x14ac:dyDescent="0.2">
      <c r="A46" s="1">
        <v>2001</v>
      </c>
      <c r="B46" s="6"/>
      <c r="C46" s="6"/>
      <c r="D46" s="6"/>
      <c r="E46" s="6"/>
      <c r="F46" s="6"/>
      <c r="G46" s="6"/>
      <c r="H46" s="6"/>
      <c r="I46" s="6">
        <v>27</v>
      </c>
      <c r="J46" s="6">
        <v>314</v>
      </c>
      <c r="K46" s="6"/>
      <c r="L46" s="6">
        <v>695</v>
      </c>
      <c r="M46" s="6"/>
      <c r="N46" s="6"/>
      <c r="O46" s="6">
        <v>154</v>
      </c>
      <c r="P46" s="6">
        <v>2698</v>
      </c>
      <c r="Q46" s="6"/>
      <c r="R46" s="6">
        <v>2073</v>
      </c>
      <c r="S46" s="6"/>
      <c r="T46" s="13">
        <v>1259</v>
      </c>
      <c r="U46" s="13"/>
      <c r="V46" s="13"/>
      <c r="W46" s="13"/>
      <c r="X46" s="13">
        <v>2761</v>
      </c>
      <c r="Y46" s="7" t="s">
        <v>5</v>
      </c>
      <c r="Z46" s="58">
        <v>45</v>
      </c>
      <c r="AA46" s="243" t="s">
        <v>158</v>
      </c>
      <c r="AC46">
        <f t="shared" ref="AC46:AC61" si="2">X46/MAX(B46:W46)</f>
        <v>1.0233506300963677</v>
      </c>
    </row>
    <row r="47" spans="1:47" ht="18" customHeight="1" x14ac:dyDescent="0.2">
      <c r="A47" s="1">
        <v>2002</v>
      </c>
      <c r="B47" s="6"/>
      <c r="C47" s="6"/>
      <c r="D47" s="6"/>
      <c r="E47" s="6"/>
      <c r="F47" s="6"/>
      <c r="G47" s="6"/>
      <c r="H47" s="6"/>
      <c r="I47" s="6"/>
      <c r="J47" s="6"/>
      <c r="K47" s="6">
        <v>147</v>
      </c>
      <c r="L47" s="6">
        <v>111</v>
      </c>
      <c r="M47" s="6">
        <v>117</v>
      </c>
      <c r="N47" s="6"/>
      <c r="O47" s="6"/>
      <c r="P47" s="6"/>
      <c r="Q47" s="6"/>
      <c r="R47" s="6"/>
      <c r="S47" s="6">
        <v>1186</v>
      </c>
      <c r="T47" s="13"/>
      <c r="U47" s="13"/>
      <c r="V47" s="13"/>
      <c r="W47" s="13"/>
      <c r="X47" s="13">
        <v>1765</v>
      </c>
      <c r="Y47" s="7" t="s">
        <v>5</v>
      </c>
      <c r="Z47" s="60">
        <v>30</v>
      </c>
      <c r="AA47" s="2" t="s">
        <v>152</v>
      </c>
      <c r="AC47">
        <f t="shared" si="2"/>
        <v>1.4881956155143339</v>
      </c>
    </row>
    <row r="48" spans="1:47" ht="18" customHeight="1" x14ac:dyDescent="0.2">
      <c r="A48" s="1">
        <v>2003</v>
      </c>
      <c r="B48" s="6"/>
      <c r="C48" s="6"/>
      <c r="D48" s="6"/>
      <c r="E48" s="6"/>
      <c r="F48" s="6"/>
      <c r="G48" s="6"/>
      <c r="H48" s="6"/>
      <c r="I48" s="6"/>
      <c r="J48" s="6">
        <v>67</v>
      </c>
      <c r="K48" s="6"/>
      <c r="L48" s="6"/>
      <c r="M48" s="6"/>
      <c r="N48" s="6">
        <v>1449</v>
      </c>
      <c r="O48" s="6"/>
      <c r="P48" s="6"/>
      <c r="Q48" s="6"/>
      <c r="R48" s="6"/>
      <c r="S48" s="6"/>
      <c r="T48" s="13"/>
      <c r="U48" s="13"/>
      <c r="V48" s="13"/>
      <c r="W48" s="13"/>
      <c r="X48" s="13">
        <v>1479</v>
      </c>
      <c r="Y48" s="7" t="s">
        <v>9</v>
      </c>
      <c r="Z48" s="58"/>
      <c r="AA48" s="2" t="s">
        <v>152</v>
      </c>
      <c r="AC48">
        <f t="shared" si="2"/>
        <v>1.020703933747412</v>
      </c>
    </row>
    <row r="49" spans="1:47" ht="18" customHeight="1" x14ac:dyDescent="0.2">
      <c r="A49" s="1">
        <v>2004</v>
      </c>
      <c r="B49" s="6"/>
      <c r="C49" s="6"/>
      <c r="D49" s="6"/>
      <c r="E49" s="6"/>
      <c r="F49" s="6"/>
      <c r="G49" s="6"/>
      <c r="H49" s="6"/>
      <c r="I49" s="6">
        <v>142</v>
      </c>
      <c r="J49" s="6"/>
      <c r="K49" s="6"/>
      <c r="L49" s="6">
        <v>515</v>
      </c>
      <c r="M49" s="6"/>
      <c r="N49" s="6"/>
      <c r="O49" s="6"/>
      <c r="P49" s="6"/>
      <c r="Q49" s="6"/>
      <c r="R49" s="6"/>
      <c r="S49" s="6">
        <v>594</v>
      </c>
      <c r="T49" s="13"/>
      <c r="U49" s="13"/>
      <c r="V49" s="13"/>
      <c r="W49" s="13"/>
      <c r="X49" s="21">
        <v>607</v>
      </c>
      <c r="Y49" s="7" t="s">
        <v>9</v>
      </c>
      <c r="Z49" s="59"/>
      <c r="AA49" s="2" t="s">
        <v>152</v>
      </c>
      <c r="AC49">
        <f t="shared" si="2"/>
        <v>1.0218855218855218</v>
      </c>
    </row>
    <row r="50" spans="1:47" ht="18" customHeight="1" x14ac:dyDescent="0.2">
      <c r="A50" s="1">
        <v>2005</v>
      </c>
      <c r="B50" s="6"/>
      <c r="C50" s="6"/>
      <c r="D50" s="6"/>
      <c r="E50" s="6"/>
      <c r="F50" s="6"/>
      <c r="G50" s="6"/>
      <c r="H50" s="6"/>
      <c r="I50" s="6">
        <v>0</v>
      </c>
      <c r="J50" s="6"/>
      <c r="K50" s="6"/>
      <c r="L50" s="6"/>
      <c r="M50" s="6"/>
      <c r="N50" s="6"/>
      <c r="O50" s="6"/>
      <c r="P50" s="6"/>
      <c r="Q50" s="6">
        <v>1907</v>
      </c>
      <c r="R50" s="6"/>
      <c r="S50" s="6"/>
      <c r="T50" s="13"/>
      <c r="U50" s="13"/>
      <c r="V50" s="13"/>
      <c r="W50" s="13"/>
      <c r="X50" s="13">
        <v>2003</v>
      </c>
      <c r="Y50" s="7" t="s">
        <v>9</v>
      </c>
      <c r="Z50" s="60"/>
      <c r="AA50" s="2" t="s">
        <v>152</v>
      </c>
    </row>
    <row r="51" spans="1:47" ht="18" customHeight="1" x14ac:dyDescent="0.2">
      <c r="A51" s="1">
        <v>2006</v>
      </c>
      <c r="B51" s="6"/>
      <c r="C51" s="6"/>
      <c r="D51" s="6"/>
      <c r="E51" s="6"/>
      <c r="F51" s="6"/>
      <c r="G51" s="6"/>
      <c r="H51" s="6"/>
      <c r="I51" s="6"/>
      <c r="J51" s="6">
        <v>43</v>
      </c>
      <c r="K51" s="6"/>
      <c r="L51" s="6">
        <v>59</v>
      </c>
      <c r="M51" s="6"/>
      <c r="N51" s="6">
        <v>395</v>
      </c>
      <c r="O51" s="6"/>
      <c r="P51" s="6"/>
      <c r="Q51" s="6"/>
      <c r="R51" s="6">
        <v>175</v>
      </c>
      <c r="S51" s="6"/>
      <c r="T51" s="13"/>
      <c r="U51" s="13"/>
      <c r="V51" s="13"/>
      <c r="W51" s="13"/>
      <c r="X51" s="12">
        <v>501</v>
      </c>
      <c r="Y51" s="7" t="s">
        <v>5</v>
      </c>
      <c r="Z51" s="53">
        <v>30</v>
      </c>
      <c r="AA51" s="2" t="s">
        <v>152</v>
      </c>
      <c r="AC51">
        <f t="shared" si="2"/>
        <v>1.2683544303797469</v>
      </c>
    </row>
    <row r="52" spans="1:47" ht="18" customHeight="1" x14ac:dyDescent="0.2">
      <c r="A52" s="1">
        <v>2007</v>
      </c>
      <c r="B52" s="6"/>
      <c r="C52" s="6"/>
      <c r="D52" s="6"/>
      <c r="E52" s="6"/>
      <c r="F52" s="6"/>
      <c r="G52" s="6"/>
      <c r="H52" s="6">
        <v>22</v>
      </c>
      <c r="I52" s="6"/>
      <c r="J52" s="6"/>
      <c r="K52" s="6">
        <v>626</v>
      </c>
      <c r="L52" s="6"/>
      <c r="M52" s="6">
        <v>214</v>
      </c>
      <c r="N52" s="6">
        <v>1370</v>
      </c>
      <c r="O52" s="6"/>
      <c r="P52" s="6"/>
      <c r="Q52" s="6"/>
      <c r="R52" s="6">
        <v>571</v>
      </c>
      <c r="S52" s="6">
        <v>196</v>
      </c>
      <c r="T52" s="13"/>
      <c r="U52" s="13"/>
      <c r="V52" s="13"/>
      <c r="W52" s="13"/>
      <c r="X52" s="12">
        <v>1570</v>
      </c>
      <c r="Y52" s="7" t="s">
        <v>5</v>
      </c>
      <c r="Z52" s="60">
        <v>37.5</v>
      </c>
      <c r="AA52" s="2" t="s">
        <v>152</v>
      </c>
      <c r="AC52">
        <f t="shared" si="2"/>
        <v>1.1459854014598541</v>
      </c>
    </row>
    <row r="53" spans="1:47" s="55" customFormat="1" ht="18" customHeight="1" x14ac:dyDescent="0.2">
      <c r="A53" s="13">
        <v>2008</v>
      </c>
      <c r="B53" s="13"/>
      <c r="C53" s="13"/>
      <c r="D53" s="13"/>
      <c r="E53" s="13"/>
      <c r="F53" s="13"/>
      <c r="G53" s="13">
        <v>0</v>
      </c>
      <c r="H53" s="13"/>
      <c r="I53" s="13">
        <v>12</v>
      </c>
      <c r="J53" s="13"/>
      <c r="K53" s="13"/>
      <c r="L53" s="13">
        <v>522</v>
      </c>
      <c r="M53" s="13"/>
      <c r="N53" s="13"/>
      <c r="O53" s="13"/>
      <c r="P53" s="13"/>
      <c r="Q53" s="13"/>
      <c r="R53" s="13"/>
      <c r="S53" s="13">
        <v>631</v>
      </c>
      <c r="T53" s="13"/>
      <c r="U53" s="13"/>
      <c r="V53" s="13"/>
      <c r="W53" s="13"/>
      <c r="X53" s="13">
        <v>939</v>
      </c>
      <c r="Y53" s="7" t="s">
        <v>5</v>
      </c>
      <c r="Z53" s="58">
        <v>45</v>
      </c>
      <c r="AA53" s="2" t="s">
        <v>152</v>
      </c>
      <c r="AB53"/>
      <c r="AC53">
        <f t="shared" si="2"/>
        <v>1.4881141045958794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8" customHeight="1" x14ac:dyDescent="0.2">
      <c r="A54" s="13">
        <v>2009</v>
      </c>
      <c r="B54" s="13"/>
      <c r="C54" s="13"/>
      <c r="D54" s="13"/>
      <c r="E54" s="13"/>
      <c r="F54" s="13"/>
      <c r="G54" s="13"/>
      <c r="H54" s="13"/>
      <c r="I54" s="13"/>
      <c r="J54" s="13">
        <v>937</v>
      </c>
      <c r="K54" s="13"/>
      <c r="L54" s="13"/>
      <c r="M54" s="13">
        <v>189</v>
      </c>
      <c r="N54" s="13"/>
      <c r="O54" s="13"/>
      <c r="P54" s="13"/>
      <c r="Q54" s="13"/>
      <c r="R54" s="13"/>
      <c r="S54" s="13"/>
      <c r="T54" s="13"/>
      <c r="U54" s="13">
        <v>1063</v>
      </c>
      <c r="V54" s="13"/>
      <c r="W54" s="13"/>
      <c r="X54" s="13">
        <v>1725</v>
      </c>
      <c r="Y54" s="7" t="s">
        <v>5</v>
      </c>
      <c r="Z54" s="58">
        <v>40</v>
      </c>
      <c r="AA54" s="2" t="s">
        <v>153</v>
      </c>
      <c r="AC54">
        <f t="shared" si="2"/>
        <v>1.6227657572906868</v>
      </c>
    </row>
    <row r="55" spans="1:47" ht="18" customHeight="1" x14ac:dyDescent="0.2">
      <c r="A55" s="13">
        <v>2010</v>
      </c>
      <c r="B55" s="13"/>
      <c r="C55" s="13"/>
      <c r="D55" s="13"/>
      <c r="E55" s="13"/>
      <c r="F55" s="13"/>
      <c r="G55" s="13"/>
      <c r="H55" s="13"/>
      <c r="I55" s="1">
        <v>36</v>
      </c>
      <c r="J55" s="1"/>
      <c r="K55" s="1"/>
      <c r="L55" s="1">
        <v>373</v>
      </c>
      <c r="M55" s="1"/>
      <c r="N55" s="1"/>
      <c r="O55" s="1"/>
      <c r="P55" s="1"/>
      <c r="Q55" s="1">
        <v>945</v>
      </c>
      <c r="R55" s="13"/>
      <c r="S55" s="13"/>
      <c r="T55" s="13"/>
      <c r="U55" s="13"/>
      <c r="V55" s="13"/>
      <c r="W55" s="13"/>
      <c r="X55" s="13">
        <v>1660</v>
      </c>
      <c r="Y55" s="7" t="s">
        <v>5</v>
      </c>
      <c r="Z55" s="58">
        <v>25</v>
      </c>
      <c r="AA55" s="2" t="s">
        <v>153</v>
      </c>
    </row>
    <row r="56" spans="1:47" ht="18" customHeight="1" x14ac:dyDescent="0.2">
      <c r="A56" s="13">
        <v>2011</v>
      </c>
      <c r="B56" s="13"/>
      <c r="C56" s="13"/>
      <c r="D56" s="13"/>
      <c r="E56" s="13"/>
      <c r="F56" s="13"/>
      <c r="G56" s="13"/>
      <c r="H56" s="13"/>
      <c r="I56" s="13">
        <v>17</v>
      </c>
      <c r="J56" s="13"/>
      <c r="K56" s="13"/>
      <c r="L56" s="13"/>
      <c r="M56" s="13">
        <v>370</v>
      </c>
      <c r="N56" s="13">
        <v>1095</v>
      </c>
      <c r="O56" s="13">
        <v>1470</v>
      </c>
      <c r="P56" s="13"/>
      <c r="Q56" s="13"/>
      <c r="R56" s="13"/>
      <c r="S56" s="13"/>
      <c r="T56" s="13"/>
      <c r="U56" s="13"/>
      <c r="V56" s="13"/>
      <c r="W56" s="13"/>
      <c r="X56" s="13">
        <v>1631</v>
      </c>
      <c r="Y56" s="7" t="s">
        <v>9</v>
      </c>
      <c r="Z56" s="58"/>
      <c r="AA56" s="2" t="s">
        <v>152</v>
      </c>
      <c r="AC56">
        <f t="shared" si="2"/>
        <v>1.1095238095238096</v>
      </c>
    </row>
    <row r="57" spans="1:47" ht="18" customHeight="1" x14ac:dyDescent="0.2">
      <c r="A57" s="13">
        <v>2012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>
        <v>702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>
        <v>981</v>
      </c>
      <c r="Y57" s="7" t="s">
        <v>9</v>
      </c>
      <c r="Z57" s="58"/>
      <c r="AA57" s="2" t="s">
        <v>152</v>
      </c>
    </row>
    <row r="58" spans="1:47" ht="18" customHeight="1" x14ac:dyDescent="0.2">
      <c r="A58" s="13">
        <v>2013</v>
      </c>
      <c r="B58" s="13"/>
      <c r="C58" s="13"/>
      <c r="D58" s="13"/>
      <c r="E58" s="13"/>
      <c r="F58" s="13"/>
      <c r="G58" s="13"/>
      <c r="H58" s="13">
        <v>18</v>
      </c>
      <c r="I58" s="13"/>
      <c r="J58" s="13"/>
      <c r="K58" s="13"/>
      <c r="L58" s="13">
        <v>643</v>
      </c>
      <c r="M58" s="13">
        <v>897</v>
      </c>
      <c r="N58" s="13"/>
      <c r="O58" s="13">
        <v>260</v>
      </c>
      <c r="P58" s="13"/>
      <c r="Q58" s="13"/>
      <c r="R58" s="13">
        <v>596</v>
      </c>
      <c r="S58" s="13"/>
      <c r="T58" s="13"/>
      <c r="U58" s="13"/>
      <c r="V58" s="13"/>
      <c r="W58" s="13"/>
      <c r="X58" s="13">
        <v>1100</v>
      </c>
      <c r="Y58" s="7" t="s">
        <v>5</v>
      </c>
      <c r="Z58" s="58">
        <v>35</v>
      </c>
      <c r="AA58" s="2" t="s">
        <v>152</v>
      </c>
      <c r="AC58">
        <f t="shared" si="2"/>
        <v>1.2263099219620959</v>
      </c>
    </row>
    <row r="59" spans="1:47" ht="18" customHeight="1" x14ac:dyDescent="0.2">
      <c r="A59" s="13">
        <v>2014</v>
      </c>
      <c r="B59" s="13"/>
      <c r="C59" s="13"/>
      <c r="D59" s="13"/>
      <c r="E59" s="13"/>
      <c r="F59" s="13"/>
      <c r="G59" s="13"/>
      <c r="H59" s="13">
        <v>13</v>
      </c>
      <c r="I59" s="13"/>
      <c r="J59" s="13">
        <v>235</v>
      </c>
      <c r="K59" s="13"/>
      <c r="L59" s="13"/>
      <c r="M59" s="13"/>
      <c r="N59" s="13"/>
      <c r="O59" s="13"/>
      <c r="P59" s="13">
        <v>1060</v>
      </c>
      <c r="Q59" s="13"/>
      <c r="R59" s="13"/>
      <c r="S59" s="13"/>
      <c r="T59" s="13"/>
      <c r="U59" s="13"/>
      <c r="V59" s="13"/>
      <c r="W59" s="13"/>
      <c r="X59" s="13">
        <v>1178</v>
      </c>
      <c r="Y59" s="7" t="s">
        <v>9</v>
      </c>
      <c r="Z59" s="58"/>
      <c r="AC59">
        <f t="shared" si="2"/>
        <v>1.1113207547169812</v>
      </c>
    </row>
    <row r="60" spans="1:47" ht="18" customHeight="1" x14ac:dyDescent="0.2">
      <c r="A60" s="13">
        <v>2015</v>
      </c>
      <c r="B60" s="13"/>
      <c r="C60" s="13"/>
      <c r="D60" s="13"/>
      <c r="E60" s="13"/>
      <c r="F60" s="13"/>
      <c r="G60" s="13"/>
      <c r="H60" s="189">
        <v>21</v>
      </c>
      <c r="I60" s="221"/>
      <c r="J60" s="189">
        <v>147</v>
      </c>
      <c r="K60" s="187"/>
      <c r="L60" s="189">
        <v>64</v>
      </c>
      <c r="M60" s="189">
        <v>298</v>
      </c>
      <c r="N60" s="187"/>
      <c r="O60" s="187"/>
      <c r="P60" s="187"/>
      <c r="Q60" s="189">
        <v>400</v>
      </c>
      <c r="R60" s="13"/>
      <c r="S60" s="13"/>
      <c r="T60" s="13"/>
      <c r="U60" s="13"/>
      <c r="V60" s="13"/>
      <c r="W60" s="13"/>
      <c r="X60" s="13">
        <v>445</v>
      </c>
      <c r="Y60" s="7"/>
      <c r="Z60" s="58">
        <v>35</v>
      </c>
      <c r="AC60">
        <f t="shared" si="2"/>
        <v>1.1125</v>
      </c>
    </row>
    <row r="61" spans="1:47" ht="18" customHeight="1" x14ac:dyDescent="0.2">
      <c r="A61" s="13">
        <v>2016</v>
      </c>
      <c r="B61" s="13"/>
      <c r="C61" s="13"/>
      <c r="D61" s="13"/>
      <c r="E61" s="13"/>
      <c r="F61" s="13"/>
      <c r="G61" s="13"/>
      <c r="H61" s="189">
        <v>96</v>
      </c>
      <c r="I61" s="189">
        <v>428</v>
      </c>
      <c r="J61" s="13"/>
      <c r="K61" s="13"/>
      <c r="L61" s="13"/>
      <c r="M61" s="13"/>
      <c r="N61" s="13"/>
      <c r="O61" s="189">
        <v>1230</v>
      </c>
      <c r="P61" s="13"/>
      <c r="Q61" s="323">
        <v>1003</v>
      </c>
      <c r="R61" s="13"/>
      <c r="S61" s="13"/>
      <c r="T61" s="13"/>
      <c r="U61" s="13"/>
      <c r="V61" s="13"/>
      <c r="W61" s="13"/>
      <c r="X61" s="13">
        <v>2100</v>
      </c>
      <c r="Y61" s="7" t="s">
        <v>5</v>
      </c>
      <c r="Z61" s="58">
        <v>40</v>
      </c>
      <c r="AC61">
        <f t="shared" si="2"/>
        <v>1.7073170731707317</v>
      </c>
    </row>
    <row r="62" spans="1:47" ht="18" customHeight="1" x14ac:dyDescent="0.2">
      <c r="A62" s="13">
        <v>2017</v>
      </c>
      <c r="B62" s="13"/>
      <c r="C62" s="13"/>
      <c r="D62" s="13"/>
      <c r="E62" s="13"/>
      <c r="F62" s="189">
        <v>2</v>
      </c>
      <c r="G62" s="13"/>
      <c r="H62" s="189">
        <v>35</v>
      </c>
      <c r="I62" s="13"/>
      <c r="J62" s="189">
        <v>214</v>
      </c>
      <c r="K62" s="13"/>
      <c r="L62" s="13"/>
      <c r="M62" s="13"/>
      <c r="N62" s="109">
        <v>866</v>
      </c>
      <c r="O62" s="13"/>
      <c r="P62" s="13"/>
      <c r="Q62" s="13"/>
      <c r="R62" s="13"/>
      <c r="S62" s="13"/>
      <c r="T62" s="13"/>
      <c r="U62" s="13"/>
      <c r="V62" s="13"/>
      <c r="W62" s="13"/>
      <c r="X62" s="13">
        <v>962</v>
      </c>
      <c r="Y62" s="7" t="s">
        <v>9</v>
      </c>
      <c r="Z62" s="58"/>
      <c r="AC62">
        <f>X62/MAX(B62:W62)</f>
        <v>1.1108545034642032</v>
      </c>
    </row>
    <row r="63" spans="1:47" ht="18" customHeight="1" x14ac:dyDescent="0.2">
      <c r="A63" s="13">
        <v>2018</v>
      </c>
      <c r="B63" s="13"/>
      <c r="C63" s="13"/>
      <c r="D63" s="13"/>
      <c r="E63" s="13"/>
      <c r="F63" s="13"/>
      <c r="G63" s="189">
        <v>289</v>
      </c>
      <c r="H63" s="13"/>
      <c r="I63" s="189">
        <v>733</v>
      </c>
      <c r="J63" s="13"/>
      <c r="K63" s="13"/>
      <c r="L63" s="189">
        <v>869</v>
      </c>
      <c r="M63" s="13"/>
      <c r="N63" s="13"/>
      <c r="O63" s="13"/>
      <c r="P63" s="13"/>
      <c r="Q63" s="189">
        <v>799</v>
      </c>
      <c r="R63" s="13"/>
      <c r="S63" s="13"/>
      <c r="T63" s="13"/>
      <c r="U63" s="13"/>
      <c r="V63" s="13"/>
      <c r="W63" s="13"/>
      <c r="X63" s="13">
        <v>1849</v>
      </c>
      <c r="Y63" s="7" t="s">
        <v>5</v>
      </c>
      <c r="Z63" s="58">
        <v>35</v>
      </c>
      <c r="AC63">
        <f>X63/MAX(B63:W63)</f>
        <v>2.1277330264672036</v>
      </c>
    </row>
    <row r="64" spans="1:47" ht="18" customHeight="1" x14ac:dyDescent="0.2">
      <c r="A64" s="13">
        <v>2019</v>
      </c>
      <c r="B64" s="13"/>
      <c r="C64" s="13"/>
      <c r="D64" s="13"/>
      <c r="E64" s="13"/>
      <c r="F64" s="189">
        <v>0</v>
      </c>
      <c r="G64" s="13"/>
      <c r="H64" s="189">
        <v>106</v>
      </c>
      <c r="I64" s="13"/>
      <c r="J64" s="189">
        <v>241</v>
      </c>
      <c r="K64" s="13"/>
      <c r="L64" s="13"/>
      <c r="M64" s="13"/>
      <c r="N64" s="109">
        <v>259</v>
      </c>
      <c r="O64" s="13"/>
      <c r="P64" s="13"/>
      <c r="Q64" s="13"/>
      <c r="R64" s="13"/>
      <c r="S64" s="13"/>
      <c r="T64" s="13"/>
      <c r="U64" s="13"/>
      <c r="V64" s="13"/>
      <c r="W64" s="13"/>
      <c r="X64" s="13">
        <v>395</v>
      </c>
      <c r="Y64" s="7"/>
      <c r="Z64" s="58">
        <v>40</v>
      </c>
      <c r="AC64">
        <f>X64/MAX(B64:W64)</f>
        <v>1.5250965250965252</v>
      </c>
    </row>
    <row r="65" spans="1:47" ht="18" customHeight="1" x14ac:dyDescent="0.2">
      <c r="A65" s="13">
        <v>2020</v>
      </c>
      <c r="B65" s="13"/>
      <c r="C65" s="13"/>
      <c r="D65" s="13"/>
      <c r="E65" s="13"/>
      <c r="F65" s="13"/>
      <c r="G65" s="109">
        <v>8</v>
      </c>
      <c r="H65" s="109">
        <v>9</v>
      </c>
      <c r="I65" s="13"/>
      <c r="J65" s="109">
        <v>504</v>
      </c>
      <c r="K65" s="13"/>
      <c r="L65" s="13"/>
      <c r="M65" s="109">
        <v>331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>
        <v>590</v>
      </c>
      <c r="Y65" s="7"/>
      <c r="Z65" s="58"/>
      <c r="AC65">
        <f t="shared" ref="AC65:AC67" si="3">X65/MAX(B65:W65)</f>
        <v>1.1706349206349207</v>
      </c>
    </row>
    <row r="66" spans="1:47" s="150" customFormat="1" ht="18" customHeight="1" x14ac:dyDescent="0.2">
      <c r="A66" s="89">
        <v>2021</v>
      </c>
      <c r="B66" s="89"/>
      <c r="C66" s="89"/>
      <c r="D66" s="89"/>
      <c r="E66" s="89"/>
      <c r="F66" s="89"/>
      <c r="G66" s="89"/>
      <c r="H66" s="109">
        <v>23</v>
      </c>
      <c r="I66" s="109">
        <v>241</v>
      </c>
      <c r="J66" s="89"/>
      <c r="K66" s="109">
        <v>556</v>
      </c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>
        <v>618</v>
      </c>
      <c r="Y66" s="11"/>
      <c r="Z66" s="92"/>
      <c r="AB66" s="151"/>
      <c r="AC66">
        <f t="shared" si="3"/>
        <v>1.1115107913669064</v>
      </c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</row>
    <row r="67" spans="1:47" s="150" customFormat="1" ht="18" customHeight="1" x14ac:dyDescent="0.2">
      <c r="A67" s="89">
        <v>2022</v>
      </c>
      <c r="B67" s="89"/>
      <c r="C67" s="89"/>
      <c r="D67" s="89"/>
      <c r="E67" s="89"/>
      <c r="F67" s="89"/>
      <c r="G67" s="89"/>
      <c r="H67" s="109">
        <v>60</v>
      </c>
      <c r="I67" s="89"/>
      <c r="J67" s="109">
        <v>64</v>
      </c>
      <c r="K67" s="109">
        <v>76</v>
      </c>
      <c r="L67" s="89"/>
      <c r="M67" s="316">
        <v>12</v>
      </c>
      <c r="N67" s="89"/>
      <c r="O67" s="89"/>
      <c r="P67" s="89"/>
      <c r="Q67" s="109">
        <v>544</v>
      </c>
      <c r="R67" s="89"/>
      <c r="S67" s="89"/>
      <c r="T67" s="89"/>
      <c r="U67" s="89"/>
      <c r="V67" s="89"/>
      <c r="W67" s="89"/>
      <c r="X67" s="89">
        <v>604</v>
      </c>
      <c r="Y67" s="11"/>
      <c r="Z67" s="92"/>
      <c r="AB67" s="151"/>
      <c r="AC67">
        <f t="shared" si="3"/>
        <v>1.1102941176470589</v>
      </c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</row>
    <row r="68" spans="1:47" s="150" customFormat="1" ht="18" customHeight="1" x14ac:dyDescent="0.2">
      <c r="A68" s="89">
        <v>2023</v>
      </c>
      <c r="B68" s="89"/>
      <c r="C68" s="89"/>
      <c r="D68" s="89"/>
      <c r="E68" s="89"/>
      <c r="F68" s="89"/>
      <c r="G68" s="89"/>
      <c r="H68" s="109">
        <v>2</v>
      </c>
      <c r="I68" s="109">
        <v>395</v>
      </c>
      <c r="J68" s="89"/>
      <c r="K68" s="89"/>
      <c r="L68" s="89"/>
      <c r="M68" s="109">
        <v>747</v>
      </c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11"/>
      <c r="Z68" s="92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</row>
    <row r="69" spans="1:47" ht="18" customHeight="1" x14ac:dyDescent="0.2">
      <c r="A69" s="64" t="s">
        <v>17</v>
      </c>
      <c r="B69" s="16"/>
      <c r="C69" s="16"/>
      <c r="D69" s="16"/>
      <c r="E69" s="16"/>
      <c r="F69" s="16"/>
      <c r="G69" s="16">
        <f t="shared" ref="G69:U69" si="4">AVERAGE(G40:G54)</f>
        <v>0</v>
      </c>
      <c r="H69" s="16">
        <f t="shared" si="4"/>
        <v>22</v>
      </c>
      <c r="I69" s="16">
        <f t="shared" si="4"/>
        <v>45.25</v>
      </c>
      <c r="J69" s="16">
        <f t="shared" si="4"/>
        <v>340.25</v>
      </c>
      <c r="K69" s="16">
        <f t="shared" si="4"/>
        <v>554.33333333333337</v>
      </c>
      <c r="L69" s="16">
        <f t="shared" si="4"/>
        <v>380.4</v>
      </c>
      <c r="M69" s="16">
        <f t="shared" si="4"/>
        <v>173.33333333333334</v>
      </c>
      <c r="N69" s="16">
        <f t="shared" si="4"/>
        <v>1071.3333333333333</v>
      </c>
      <c r="O69" s="16">
        <f t="shared" si="4"/>
        <v>1107</v>
      </c>
      <c r="P69" s="16">
        <f t="shared" si="4"/>
        <v>2698</v>
      </c>
      <c r="Q69" s="16">
        <f t="shared" si="4"/>
        <v>1907</v>
      </c>
      <c r="R69" s="16">
        <f t="shared" si="4"/>
        <v>1158.5</v>
      </c>
      <c r="S69" s="16">
        <f t="shared" si="4"/>
        <v>651.75</v>
      </c>
      <c r="T69" s="16">
        <f t="shared" si="4"/>
        <v>1259</v>
      </c>
      <c r="U69" s="16">
        <f t="shared" si="4"/>
        <v>1063</v>
      </c>
      <c r="V69" s="16"/>
      <c r="W69" s="16"/>
      <c r="X69" s="24">
        <f>AVERAGE(X40:X54)</f>
        <v>1194.6428571428571</v>
      </c>
      <c r="Y69" s="17"/>
      <c r="Z69" s="16">
        <f>AVERAGE(Z40:Z54)</f>
        <v>37.916666666666664</v>
      </c>
    </row>
    <row r="70" spans="1:47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3"/>
    </row>
    <row r="71" spans="1:47" ht="18" customHeight="1" x14ac:dyDescent="0.2">
      <c r="A71" s="1002" t="s">
        <v>517</v>
      </c>
      <c r="B71" s="1003"/>
      <c r="C71" s="1003"/>
      <c r="D71" s="1003"/>
      <c r="E71" s="1003"/>
      <c r="F71" s="1003"/>
      <c r="G71" s="1003"/>
      <c r="H71" s="1003"/>
      <c r="I71" s="100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47" ht="18" customHeight="1" thickBo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"/>
    </row>
    <row r="73" spans="1:47" ht="18" customHeight="1" thickTop="1" x14ac:dyDescent="0.2">
      <c r="A73" s="1004" t="s">
        <v>0</v>
      </c>
      <c r="B73" s="1006" t="s">
        <v>1</v>
      </c>
      <c r="C73" s="1006"/>
      <c r="D73" s="1006"/>
      <c r="E73" s="1006"/>
      <c r="F73" s="1006"/>
      <c r="G73" s="1006"/>
      <c r="H73" s="1006"/>
      <c r="I73" s="1006"/>
      <c r="J73" s="1006"/>
      <c r="K73" s="1006"/>
      <c r="L73" s="1006"/>
      <c r="M73" s="1006"/>
      <c r="N73" s="1006"/>
      <c r="O73" s="1006"/>
      <c r="P73" s="1006"/>
      <c r="Q73" s="1006"/>
      <c r="R73" s="1006"/>
      <c r="S73" s="1006"/>
      <c r="T73" s="1006"/>
      <c r="U73" s="1006"/>
      <c r="V73" s="1006"/>
      <c r="W73" s="1006"/>
      <c r="X73" s="1004" t="s">
        <v>2</v>
      </c>
      <c r="Y73" s="1010" t="s">
        <v>3</v>
      </c>
      <c r="Z73" s="1008" t="s">
        <v>4</v>
      </c>
    </row>
    <row r="74" spans="1:47" ht="18" customHeight="1" x14ac:dyDescent="0.2">
      <c r="A74" s="1005"/>
      <c r="B74" s="18">
        <v>81</v>
      </c>
      <c r="C74" s="18">
        <v>82</v>
      </c>
      <c r="D74" s="18">
        <v>83</v>
      </c>
      <c r="E74" s="18">
        <v>84</v>
      </c>
      <c r="F74" s="18">
        <v>91</v>
      </c>
      <c r="G74" s="18">
        <v>92</v>
      </c>
      <c r="H74" s="18">
        <v>93</v>
      </c>
      <c r="I74" s="18">
        <v>94</v>
      </c>
      <c r="J74" s="18">
        <v>101</v>
      </c>
      <c r="K74" s="18">
        <v>102</v>
      </c>
      <c r="L74" s="18">
        <v>103</v>
      </c>
      <c r="M74" s="18">
        <v>104</v>
      </c>
      <c r="N74" s="18">
        <v>105</v>
      </c>
      <c r="O74" s="18">
        <v>111</v>
      </c>
      <c r="P74" s="18">
        <v>112</v>
      </c>
      <c r="Q74" s="18">
        <v>113</v>
      </c>
      <c r="R74" s="18">
        <v>114</v>
      </c>
      <c r="S74" s="18">
        <v>115</v>
      </c>
      <c r="T74" s="18">
        <v>121</v>
      </c>
      <c r="U74" s="18">
        <v>122</v>
      </c>
      <c r="V74" s="18">
        <v>123</v>
      </c>
      <c r="W74" s="18">
        <v>124</v>
      </c>
      <c r="X74" s="1005"/>
      <c r="Y74" s="1011"/>
      <c r="Z74" s="1009"/>
      <c r="AC74" t="s">
        <v>142</v>
      </c>
    </row>
    <row r="75" spans="1:47" ht="18" customHeight="1" x14ac:dyDescent="0.2">
      <c r="A75" s="1">
        <v>1995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3"/>
      <c r="U75" s="13"/>
      <c r="V75" s="13"/>
      <c r="W75" s="13"/>
      <c r="X75" s="7">
        <v>1800</v>
      </c>
      <c r="Y75" s="7" t="s">
        <v>7</v>
      </c>
      <c r="Z75" s="10"/>
    </row>
    <row r="76" spans="1:47" ht="18" customHeight="1" x14ac:dyDescent="0.2">
      <c r="A76" s="1">
        <v>1996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3"/>
      <c r="U76" s="13"/>
      <c r="V76" s="13"/>
      <c r="W76" s="13"/>
      <c r="X76" s="7">
        <v>5800</v>
      </c>
      <c r="Y76" s="7" t="s">
        <v>7</v>
      </c>
      <c r="Z76" s="10"/>
    </row>
    <row r="77" spans="1:47" ht="18" customHeight="1" x14ac:dyDescent="0.2">
      <c r="A77" s="1">
        <v>1997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3"/>
      <c r="U77" s="13"/>
      <c r="V77" s="13"/>
      <c r="W77" s="13"/>
      <c r="X77" s="7">
        <v>2000</v>
      </c>
      <c r="Y77" s="7" t="s">
        <v>7</v>
      </c>
      <c r="Z77" s="10"/>
    </row>
    <row r="78" spans="1:47" ht="18" customHeight="1" x14ac:dyDescent="0.2">
      <c r="A78" s="1">
        <v>1998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>
        <v>7200</v>
      </c>
      <c r="N78" s="6"/>
      <c r="O78" s="6"/>
      <c r="P78" s="6"/>
      <c r="Q78" s="6"/>
      <c r="R78" s="6"/>
      <c r="S78" s="6"/>
      <c r="T78" s="13"/>
      <c r="U78" s="13"/>
      <c r="V78" s="13"/>
      <c r="W78" s="13"/>
      <c r="X78" s="7">
        <v>2800</v>
      </c>
      <c r="Y78" s="7" t="s">
        <v>7</v>
      </c>
      <c r="Z78" s="10"/>
      <c r="AC78">
        <f>X78/MAX(B78:W78)</f>
        <v>0.3888888888888889</v>
      </c>
    </row>
    <row r="79" spans="1:47" ht="18" customHeight="1" x14ac:dyDescent="0.2">
      <c r="A79" s="1">
        <v>1999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13"/>
      <c r="U79" s="13"/>
      <c r="V79" s="13"/>
      <c r="W79" s="13"/>
      <c r="X79" s="9">
        <v>700</v>
      </c>
      <c r="Y79" s="7" t="s">
        <v>7</v>
      </c>
      <c r="Z79" s="60"/>
    </row>
    <row r="80" spans="1:47" ht="18" customHeight="1" x14ac:dyDescent="0.2">
      <c r="A80" s="1">
        <v>2000</v>
      </c>
      <c r="B80" s="6"/>
      <c r="C80" s="6"/>
      <c r="D80" s="6"/>
      <c r="E80" s="6"/>
      <c r="F80" s="6"/>
      <c r="G80" s="6"/>
      <c r="H80" s="6"/>
      <c r="I80" s="6"/>
      <c r="J80" s="6"/>
      <c r="K80" s="6">
        <v>381</v>
      </c>
      <c r="L80" s="6"/>
      <c r="M80" s="6"/>
      <c r="N80" s="6"/>
      <c r="O80" s="6">
        <v>471</v>
      </c>
      <c r="P80" s="6"/>
      <c r="Q80" s="6"/>
      <c r="R80" s="6">
        <v>135</v>
      </c>
      <c r="S80" s="6"/>
      <c r="T80" s="13"/>
      <c r="U80" s="13"/>
      <c r="V80" s="13"/>
      <c r="W80" s="13"/>
      <c r="X80" s="10">
        <v>471</v>
      </c>
      <c r="Y80" s="7" t="s">
        <v>9</v>
      </c>
      <c r="Z80" s="60"/>
      <c r="AC80">
        <f>X80/MAX(B80:W80)</f>
        <v>1</v>
      </c>
    </row>
    <row r="81" spans="1:47" ht="18" customHeight="1" x14ac:dyDescent="0.2">
      <c r="A81" s="1">
        <v>2001</v>
      </c>
      <c r="B81" s="6"/>
      <c r="C81" s="6"/>
      <c r="D81" s="6"/>
      <c r="E81" s="6"/>
      <c r="F81" s="6"/>
      <c r="G81" s="6"/>
      <c r="H81" s="6"/>
      <c r="I81" s="6">
        <v>38</v>
      </c>
      <c r="J81" s="6">
        <v>210</v>
      </c>
      <c r="K81" s="6"/>
      <c r="L81" s="6">
        <v>2106</v>
      </c>
      <c r="M81" s="6"/>
      <c r="N81" s="6"/>
      <c r="O81" s="6">
        <v>11</v>
      </c>
      <c r="P81" s="6">
        <v>3635</v>
      </c>
      <c r="Q81" s="6"/>
      <c r="R81" s="6">
        <v>79</v>
      </c>
      <c r="S81" s="6"/>
      <c r="T81" s="13">
        <v>0</v>
      </c>
      <c r="U81" s="13"/>
      <c r="V81" s="13"/>
      <c r="W81" s="13"/>
      <c r="X81" s="7">
        <v>5751</v>
      </c>
      <c r="Y81" s="7" t="s">
        <v>5</v>
      </c>
      <c r="Z81" s="60">
        <v>20</v>
      </c>
      <c r="AA81" s="2" t="s">
        <v>156</v>
      </c>
      <c r="AC81">
        <f t="shared" ref="AC81:AC102" si="5">X81/MAX(B81:W81)</f>
        <v>1.5821182943603851</v>
      </c>
    </row>
    <row r="82" spans="1:47" ht="18" customHeight="1" x14ac:dyDescent="0.2">
      <c r="A82" s="1">
        <v>2002</v>
      </c>
      <c r="B82" s="6"/>
      <c r="C82" s="6"/>
      <c r="D82" s="6"/>
      <c r="E82" s="6"/>
      <c r="F82" s="6"/>
      <c r="G82" s="6"/>
      <c r="H82" s="6"/>
      <c r="I82" s="6"/>
      <c r="J82" s="6"/>
      <c r="K82" s="6">
        <v>306</v>
      </c>
      <c r="L82" s="6">
        <v>720</v>
      </c>
      <c r="M82" s="6">
        <v>4560</v>
      </c>
      <c r="N82" s="6"/>
      <c r="O82" s="6"/>
      <c r="P82" s="6"/>
      <c r="Q82" s="6"/>
      <c r="R82" s="6"/>
      <c r="S82" s="6">
        <v>119</v>
      </c>
      <c r="T82" s="13"/>
      <c r="U82" s="13"/>
      <c r="V82" s="13"/>
      <c r="W82" s="13"/>
      <c r="X82" s="7">
        <v>6315</v>
      </c>
      <c r="Y82" s="7" t="s">
        <v>5</v>
      </c>
      <c r="Z82" s="60">
        <v>20</v>
      </c>
      <c r="AA82" s="2" t="s">
        <v>155</v>
      </c>
      <c r="AC82">
        <f t="shared" si="5"/>
        <v>1.3848684210526316</v>
      </c>
    </row>
    <row r="83" spans="1:47" ht="18" customHeight="1" x14ac:dyDescent="0.2">
      <c r="A83" s="1">
        <v>2003</v>
      </c>
      <c r="B83" s="6"/>
      <c r="C83" s="6"/>
      <c r="D83" s="6"/>
      <c r="E83" s="6"/>
      <c r="F83" s="6"/>
      <c r="G83" s="6"/>
      <c r="H83" s="6"/>
      <c r="I83" s="6"/>
      <c r="J83" s="6">
        <v>235</v>
      </c>
      <c r="K83" s="6"/>
      <c r="L83" s="6"/>
      <c r="M83" s="6"/>
      <c r="N83" s="6">
        <v>4783</v>
      </c>
      <c r="O83" s="6"/>
      <c r="P83" s="6"/>
      <c r="Q83" s="6"/>
      <c r="R83" s="6"/>
      <c r="S83" s="6"/>
      <c r="T83" s="13"/>
      <c r="U83" s="13"/>
      <c r="V83" s="13"/>
      <c r="W83" s="13"/>
      <c r="X83" s="7">
        <v>6009</v>
      </c>
      <c r="Y83" s="7" t="s">
        <v>9</v>
      </c>
      <c r="Z83" s="60"/>
      <c r="AA83" s="2" t="s">
        <v>155</v>
      </c>
      <c r="AC83">
        <f t="shared" si="5"/>
        <v>1.2563244825423374</v>
      </c>
    </row>
    <row r="84" spans="1:47" ht="18" customHeight="1" x14ac:dyDescent="0.2">
      <c r="A84" s="1">
        <v>2004</v>
      </c>
      <c r="B84" s="6"/>
      <c r="C84" s="6"/>
      <c r="D84" s="6"/>
      <c r="E84" s="6"/>
      <c r="F84" s="6"/>
      <c r="G84" s="6"/>
      <c r="H84" s="6"/>
      <c r="I84" s="6">
        <v>562</v>
      </c>
      <c r="J84" s="6"/>
      <c r="K84" s="6"/>
      <c r="L84" s="6">
        <v>3948</v>
      </c>
      <c r="M84" s="6"/>
      <c r="N84" s="6"/>
      <c r="O84" s="6"/>
      <c r="P84" s="6"/>
      <c r="Q84" s="6"/>
      <c r="R84" s="6"/>
      <c r="S84" s="6">
        <v>7</v>
      </c>
      <c r="T84" s="13"/>
      <c r="U84" s="13"/>
      <c r="V84" s="13"/>
      <c r="W84" s="13"/>
      <c r="X84" s="7">
        <v>4614</v>
      </c>
      <c r="Y84" s="7" t="s">
        <v>9</v>
      </c>
      <c r="Z84" s="60"/>
      <c r="AA84" s="2" t="s">
        <v>155</v>
      </c>
      <c r="AC84">
        <f t="shared" si="5"/>
        <v>1.168693009118541</v>
      </c>
    </row>
    <row r="85" spans="1:47" ht="18" customHeight="1" x14ac:dyDescent="0.2">
      <c r="A85" s="1">
        <v>2005</v>
      </c>
      <c r="B85" s="6"/>
      <c r="C85" s="6"/>
      <c r="D85" s="6"/>
      <c r="E85" s="6"/>
      <c r="F85" s="6"/>
      <c r="G85" s="6"/>
      <c r="H85" s="6"/>
      <c r="I85" s="6">
        <v>14</v>
      </c>
      <c r="J85" s="6"/>
      <c r="K85" s="6"/>
      <c r="L85" s="6"/>
      <c r="M85" s="6"/>
      <c r="N85" s="6"/>
      <c r="O85" s="6"/>
      <c r="P85" s="6"/>
      <c r="Q85" s="6">
        <v>41</v>
      </c>
      <c r="R85" s="6"/>
      <c r="S85" s="6"/>
      <c r="T85" s="13"/>
      <c r="U85" s="13"/>
      <c r="V85" s="13"/>
      <c r="W85" s="13"/>
      <c r="X85" s="11">
        <v>567</v>
      </c>
      <c r="Y85" s="7" t="s">
        <v>5</v>
      </c>
      <c r="Z85" s="60"/>
      <c r="AA85" s="2" t="s">
        <v>155</v>
      </c>
    </row>
    <row r="86" spans="1:47" ht="18" customHeight="1" x14ac:dyDescent="0.2">
      <c r="A86" s="1">
        <v>2006</v>
      </c>
      <c r="B86" s="6"/>
      <c r="C86" s="6"/>
      <c r="D86" s="6"/>
      <c r="E86" s="6"/>
      <c r="F86" s="6"/>
      <c r="G86" s="6"/>
      <c r="H86" s="6"/>
      <c r="I86" s="6"/>
      <c r="J86" s="6">
        <v>78</v>
      </c>
      <c r="K86" s="6"/>
      <c r="L86" s="6">
        <v>1910</v>
      </c>
      <c r="M86" s="6"/>
      <c r="N86" s="6">
        <v>2306</v>
      </c>
      <c r="O86" s="6"/>
      <c r="P86" s="6"/>
      <c r="Q86" s="6"/>
      <c r="R86" s="6">
        <v>1</v>
      </c>
      <c r="S86" s="6"/>
      <c r="T86" s="13"/>
      <c r="U86" s="13"/>
      <c r="V86" s="13"/>
      <c r="W86" s="13"/>
      <c r="X86" s="12">
        <v>4295</v>
      </c>
      <c r="Y86" s="7" t="s">
        <v>5</v>
      </c>
      <c r="Z86" s="53">
        <v>17.5</v>
      </c>
      <c r="AA86" s="2" t="s">
        <v>155</v>
      </c>
      <c r="AC86">
        <f t="shared" si="5"/>
        <v>1.8625325238508239</v>
      </c>
    </row>
    <row r="87" spans="1:47" ht="18" customHeight="1" x14ac:dyDescent="0.2">
      <c r="A87" s="1">
        <v>2007</v>
      </c>
      <c r="B87" s="6"/>
      <c r="C87" s="6"/>
      <c r="D87" s="6"/>
      <c r="E87" s="6"/>
      <c r="F87" s="6"/>
      <c r="G87" s="6"/>
      <c r="H87" s="6">
        <v>8</v>
      </c>
      <c r="I87" s="6"/>
      <c r="J87" s="6"/>
      <c r="K87" s="6">
        <v>840</v>
      </c>
      <c r="L87" s="6"/>
      <c r="M87" s="6">
        <v>2172</v>
      </c>
      <c r="N87" s="6">
        <v>1419</v>
      </c>
      <c r="O87" s="6"/>
      <c r="P87" s="6"/>
      <c r="Q87" s="6"/>
      <c r="R87" s="6">
        <v>0</v>
      </c>
      <c r="S87" s="6">
        <v>0</v>
      </c>
      <c r="T87" s="13"/>
      <c r="U87" s="13"/>
      <c r="V87" s="13"/>
      <c r="W87" s="13"/>
      <c r="X87" s="12">
        <v>3268</v>
      </c>
      <c r="Y87" s="7" t="s">
        <v>5</v>
      </c>
      <c r="Z87" s="60">
        <v>15</v>
      </c>
      <c r="AA87" s="2" t="s">
        <v>155</v>
      </c>
      <c r="AC87">
        <f t="shared" si="5"/>
        <v>1.5046040515653776</v>
      </c>
    </row>
    <row r="88" spans="1:47" s="55" customFormat="1" ht="18" customHeight="1" x14ac:dyDescent="0.2">
      <c r="A88" s="13">
        <v>2008</v>
      </c>
      <c r="B88" s="13"/>
      <c r="C88" s="13"/>
      <c r="D88" s="13"/>
      <c r="E88" s="13"/>
      <c r="F88" s="13"/>
      <c r="G88" s="13">
        <v>9</v>
      </c>
      <c r="H88" s="13"/>
      <c r="I88" s="13">
        <v>9</v>
      </c>
      <c r="J88" s="13"/>
      <c r="K88" s="13"/>
      <c r="L88" s="13">
        <v>361</v>
      </c>
      <c r="M88" s="13"/>
      <c r="N88" s="13"/>
      <c r="O88" s="13"/>
      <c r="P88" s="13"/>
      <c r="Q88" s="13"/>
      <c r="R88" s="13"/>
      <c r="S88" s="13">
        <v>0</v>
      </c>
      <c r="T88" s="13"/>
      <c r="U88" s="13"/>
      <c r="V88" s="13"/>
      <c r="W88" s="13"/>
      <c r="X88" s="13">
        <v>500</v>
      </c>
      <c r="Y88" s="7" t="s">
        <v>6</v>
      </c>
      <c r="Z88" s="58"/>
      <c r="AA88" s="55" t="s">
        <v>157</v>
      </c>
      <c r="AB88"/>
      <c r="AC88">
        <f t="shared" si="5"/>
        <v>1.3850415512465375</v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ht="18" customHeight="1" x14ac:dyDescent="0.2">
      <c r="A89" s="13">
        <v>2009</v>
      </c>
      <c r="B89" s="13"/>
      <c r="C89" s="13"/>
      <c r="D89" s="13"/>
      <c r="E89" s="13"/>
      <c r="F89" s="13"/>
      <c r="G89" s="13"/>
      <c r="H89" s="13"/>
      <c r="I89" s="13"/>
      <c r="J89" s="13">
        <v>34</v>
      </c>
      <c r="K89" s="13"/>
      <c r="L89" s="13"/>
      <c r="M89" s="13">
        <v>1827</v>
      </c>
      <c r="N89" s="13"/>
      <c r="O89" s="13"/>
      <c r="P89" s="13"/>
      <c r="Q89" s="13"/>
      <c r="R89" s="13"/>
      <c r="S89" s="13"/>
      <c r="T89" s="13"/>
      <c r="U89" s="13">
        <v>0</v>
      </c>
      <c r="V89" s="13"/>
      <c r="W89" s="13"/>
      <c r="X89" s="13">
        <v>1930</v>
      </c>
      <c r="Y89" s="7" t="s">
        <v>9</v>
      </c>
      <c r="Z89" s="58"/>
      <c r="AC89">
        <f t="shared" si="5"/>
        <v>1.0563765736179529</v>
      </c>
    </row>
    <row r="90" spans="1:47" ht="18" customHeight="1" x14ac:dyDescent="0.2">
      <c r="A90" s="13">
        <v>2010</v>
      </c>
      <c r="B90" s="13"/>
      <c r="C90" s="13"/>
      <c r="D90" s="13"/>
      <c r="E90" s="13"/>
      <c r="F90" s="13"/>
      <c r="G90" s="13"/>
      <c r="H90" s="13"/>
      <c r="I90" s="13">
        <v>6</v>
      </c>
      <c r="J90" s="13"/>
      <c r="K90" s="13"/>
      <c r="L90" s="13">
        <v>989</v>
      </c>
      <c r="M90" s="13"/>
      <c r="N90" s="13"/>
      <c r="O90" s="13"/>
      <c r="P90" s="13"/>
      <c r="Q90" s="13">
        <v>50</v>
      </c>
      <c r="R90" s="13"/>
      <c r="S90" s="13"/>
      <c r="T90" s="13"/>
      <c r="U90" s="13"/>
      <c r="V90" s="13"/>
      <c r="W90" s="13"/>
      <c r="X90" s="13">
        <v>1580</v>
      </c>
      <c r="Y90" s="7" t="s">
        <v>5</v>
      </c>
      <c r="Z90" s="58">
        <v>17.5</v>
      </c>
      <c r="AA90" s="55" t="s">
        <v>157</v>
      </c>
      <c r="AC90">
        <f t="shared" si="5"/>
        <v>1.5975733063700708</v>
      </c>
    </row>
    <row r="91" spans="1:47" ht="18" customHeight="1" x14ac:dyDescent="0.2">
      <c r="A91" s="13">
        <v>2011</v>
      </c>
      <c r="B91" s="13"/>
      <c r="C91" s="13"/>
      <c r="D91" s="13"/>
      <c r="E91" s="13"/>
      <c r="F91" s="13"/>
      <c r="G91" s="13"/>
      <c r="H91" s="13"/>
      <c r="I91" s="13">
        <v>10</v>
      </c>
      <c r="J91" s="13"/>
      <c r="K91" s="13"/>
      <c r="L91" s="13"/>
      <c r="M91" s="13">
        <v>2461</v>
      </c>
      <c r="N91" s="13">
        <v>3009</v>
      </c>
      <c r="O91" s="13">
        <v>2317</v>
      </c>
      <c r="P91" s="13"/>
      <c r="Q91" s="13"/>
      <c r="R91" s="13"/>
      <c r="S91" s="13"/>
      <c r="T91" s="13"/>
      <c r="U91" s="13"/>
      <c r="V91" s="13"/>
      <c r="W91" s="13"/>
      <c r="X91" s="13">
        <v>5159</v>
      </c>
      <c r="Y91" s="7" t="s">
        <v>5</v>
      </c>
      <c r="Z91" s="58">
        <v>17.5</v>
      </c>
      <c r="AA91" s="2" t="s">
        <v>155</v>
      </c>
      <c r="AC91">
        <f t="shared" si="5"/>
        <v>1.7145230973745431</v>
      </c>
    </row>
    <row r="92" spans="1:47" ht="18" customHeight="1" x14ac:dyDescent="0.2">
      <c r="A92" s="13">
        <v>2012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>
        <v>2764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>
        <v>3111</v>
      </c>
      <c r="Y92" s="7" t="s">
        <v>9</v>
      </c>
      <c r="Z92" s="58"/>
      <c r="AA92" s="2" t="s">
        <v>155</v>
      </c>
    </row>
    <row r="93" spans="1:47" ht="18" customHeight="1" x14ac:dyDescent="0.2">
      <c r="A93" s="13">
        <v>2013</v>
      </c>
      <c r="B93" s="13"/>
      <c r="C93" s="13"/>
      <c r="D93" s="13"/>
      <c r="E93" s="13"/>
      <c r="F93" s="13"/>
      <c r="G93" s="13"/>
      <c r="H93" s="13">
        <v>2</v>
      </c>
      <c r="I93" s="13"/>
      <c r="J93" s="13"/>
      <c r="K93" s="13"/>
      <c r="L93" s="13">
        <v>220</v>
      </c>
      <c r="M93" s="13">
        <v>112</v>
      </c>
      <c r="N93" s="13"/>
      <c r="O93" s="13">
        <v>228</v>
      </c>
      <c r="P93" s="13"/>
      <c r="Q93" s="13"/>
      <c r="R93" s="13">
        <v>2</v>
      </c>
      <c r="S93" s="13"/>
      <c r="T93" s="13"/>
      <c r="U93" s="13"/>
      <c r="V93" s="13"/>
      <c r="W93" s="13"/>
      <c r="X93" s="13">
        <v>454</v>
      </c>
      <c r="Y93" s="7" t="s">
        <v>5</v>
      </c>
      <c r="Z93" s="58">
        <v>20</v>
      </c>
      <c r="AA93" s="2" t="s">
        <v>155</v>
      </c>
      <c r="AC93">
        <f t="shared" si="5"/>
        <v>1.9912280701754386</v>
      </c>
    </row>
    <row r="94" spans="1:47" ht="18" customHeight="1" x14ac:dyDescent="0.2">
      <c r="A94" s="13">
        <v>2014</v>
      </c>
      <c r="B94" s="13"/>
      <c r="C94" s="13"/>
      <c r="D94" s="13"/>
      <c r="E94" s="13"/>
      <c r="F94" s="13"/>
      <c r="G94" s="13"/>
      <c r="H94" s="13">
        <v>3</v>
      </c>
      <c r="I94" s="13"/>
      <c r="J94" s="13">
        <v>37</v>
      </c>
      <c r="K94" s="13"/>
      <c r="L94" s="13"/>
      <c r="M94" s="13"/>
      <c r="N94" s="13"/>
      <c r="O94" s="13"/>
      <c r="P94" s="13"/>
      <c r="Q94" s="13">
        <v>1</v>
      </c>
      <c r="R94" s="13"/>
      <c r="S94" s="13"/>
      <c r="T94" s="13"/>
      <c r="U94" s="13"/>
      <c r="V94" s="13"/>
      <c r="W94" s="13"/>
      <c r="X94" s="13">
        <v>41</v>
      </c>
      <c r="Y94" s="7" t="s">
        <v>9</v>
      </c>
      <c r="Z94" s="58"/>
      <c r="AC94">
        <f t="shared" si="5"/>
        <v>1.1081081081081081</v>
      </c>
    </row>
    <row r="95" spans="1:47" ht="18" customHeight="1" x14ac:dyDescent="0.2">
      <c r="A95" s="13">
        <v>2015</v>
      </c>
      <c r="B95" s="13"/>
      <c r="C95" s="13"/>
      <c r="D95" s="13"/>
      <c r="E95" s="13"/>
      <c r="F95" s="13"/>
      <c r="G95" s="13"/>
      <c r="H95" s="189">
        <v>3</v>
      </c>
      <c r="I95" s="221"/>
      <c r="J95" s="189">
        <v>95</v>
      </c>
      <c r="K95" s="187"/>
      <c r="L95" s="189">
        <v>959</v>
      </c>
      <c r="M95" s="189">
        <v>517</v>
      </c>
      <c r="N95" s="187"/>
      <c r="O95" s="187"/>
      <c r="P95" s="187"/>
      <c r="Q95" s="189">
        <v>1</v>
      </c>
      <c r="R95" s="13"/>
      <c r="S95" s="13"/>
      <c r="T95" s="13"/>
      <c r="U95" s="13"/>
      <c r="V95" s="13"/>
      <c r="W95" s="13"/>
      <c r="X95" s="13">
        <v>1750</v>
      </c>
      <c r="Y95" s="7" t="s">
        <v>5</v>
      </c>
      <c r="Z95" s="58">
        <v>15</v>
      </c>
      <c r="AA95" s="2" t="s">
        <v>155</v>
      </c>
      <c r="AC95">
        <f t="shared" si="5"/>
        <v>1.8248175182481752</v>
      </c>
    </row>
    <row r="96" spans="1:47" ht="18" customHeight="1" x14ac:dyDescent="0.2">
      <c r="A96" s="13">
        <v>2016</v>
      </c>
      <c r="B96" s="13"/>
      <c r="C96" s="13"/>
      <c r="D96" s="13"/>
      <c r="E96" s="13"/>
      <c r="F96" s="13"/>
      <c r="G96" s="13"/>
      <c r="H96" s="189">
        <v>4</v>
      </c>
      <c r="I96" s="189">
        <v>16</v>
      </c>
      <c r="J96" s="13"/>
      <c r="K96" s="13"/>
      <c r="L96" s="13"/>
      <c r="M96" s="13"/>
      <c r="N96" s="13"/>
      <c r="O96" s="189">
        <v>2032</v>
      </c>
      <c r="P96" s="13"/>
      <c r="Q96" s="13">
        <v>96</v>
      </c>
      <c r="R96" s="13"/>
      <c r="S96" s="13"/>
      <c r="T96" s="13"/>
      <c r="U96" s="13"/>
      <c r="V96" s="13"/>
      <c r="W96" s="13"/>
      <c r="X96" s="13">
        <v>4176</v>
      </c>
      <c r="Y96" s="7"/>
      <c r="Z96" s="58"/>
      <c r="AC96">
        <f t="shared" si="5"/>
        <v>2.0551181102362204</v>
      </c>
    </row>
    <row r="97" spans="1:47" ht="18" customHeight="1" x14ac:dyDescent="0.2">
      <c r="A97" s="13">
        <v>2017</v>
      </c>
      <c r="B97" s="13"/>
      <c r="C97" s="13"/>
      <c r="D97" s="13"/>
      <c r="E97" s="13"/>
      <c r="F97" s="189">
        <v>0</v>
      </c>
      <c r="G97" s="13"/>
      <c r="H97" s="189">
        <v>18</v>
      </c>
      <c r="I97" s="13"/>
      <c r="J97" s="189">
        <v>87</v>
      </c>
      <c r="K97" s="13"/>
      <c r="L97" s="13"/>
      <c r="M97" s="13"/>
      <c r="N97" s="109">
        <v>900</v>
      </c>
      <c r="O97" s="13"/>
      <c r="P97" s="13"/>
      <c r="Q97" s="13"/>
      <c r="R97" s="13"/>
      <c r="S97" s="13"/>
      <c r="T97" s="13"/>
      <c r="U97" s="13"/>
      <c r="V97" s="13"/>
      <c r="W97" s="13"/>
      <c r="X97" s="13">
        <v>1050</v>
      </c>
      <c r="Y97" s="7"/>
      <c r="Z97" s="58"/>
      <c r="AC97">
        <f t="shared" si="5"/>
        <v>1.1666666666666667</v>
      </c>
    </row>
    <row r="98" spans="1:47" ht="18" customHeight="1" x14ac:dyDescent="0.2">
      <c r="A98" s="13">
        <v>2018</v>
      </c>
      <c r="B98" s="13"/>
      <c r="C98" s="13"/>
      <c r="D98" s="13"/>
      <c r="E98" s="13"/>
      <c r="F98" s="13"/>
      <c r="G98" s="189">
        <v>11</v>
      </c>
      <c r="H98" s="13"/>
      <c r="I98" s="189">
        <v>156</v>
      </c>
      <c r="J98" s="13"/>
      <c r="K98" s="13"/>
      <c r="L98" s="189">
        <v>257</v>
      </c>
      <c r="M98" s="13"/>
      <c r="N98" s="13"/>
      <c r="O98" s="13"/>
      <c r="P98" s="13"/>
      <c r="Q98" s="189">
        <v>0</v>
      </c>
      <c r="R98" s="13"/>
      <c r="S98" s="13"/>
      <c r="T98" s="13"/>
      <c r="U98" s="13"/>
      <c r="V98" s="13"/>
      <c r="W98" s="13"/>
      <c r="X98" s="13">
        <v>385</v>
      </c>
      <c r="Y98" s="7"/>
      <c r="Z98" s="58">
        <v>15</v>
      </c>
      <c r="AC98">
        <f t="shared" si="5"/>
        <v>1.4980544747081712</v>
      </c>
    </row>
    <row r="99" spans="1:47" ht="18" customHeight="1" x14ac:dyDescent="0.2">
      <c r="A99" s="13">
        <v>2019</v>
      </c>
      <c r="B99" s="13"/>
      <c r="C99" s="13"/>
      <c r="D99" s="13"/>
      <c r="E99" s="13"/>
      <c r="F99" s="189">
        <v>0</v>
      </c>
      <c r="G99" s="13"/>
      <c r="H99" s="109">
        <v>36</v>
      </c>
      <c r="I99" s="13"/>
      <c r="J99" s="109">
        <v>122</v>
      </c>
      <c r="K99" s="13"/>
      <c r="L99" s="13"/>
      <c r="M99" s="13"/>
      <c r="N99" s="155">
        <v>327</v>
      </c>
      <c r="O99" s="13"/>
      <c r="P99" s="13"/>
      <c r="Q99" s="13"/>
      <c r="R99" s="13"/>
      <c r="S99" s="13"/>
      <c r="T99" s="13"/>
      <c r="U99" s="13"/>
      <c r="V99" s="13"/>
      <c r="W99" s="13"/>
      <c r="X99" s="13">
        <v>637</v>
      </c>
      <c r="Y99" s="7"/>
      <c r="Z99" s="58">
        <v>20</v>
      </c>
      <c r="AC99">
        <f t="shared" si="5"/>
        <v>1.9480122324159022</v>
      </c>
    </row>
    <row r="100" spans="1:47" ht="18" customHeight="1" x14ac:dyDescent="0.2">
      <c r="A100" s="13">
        <v>2020</v>
      </c>
      <c r="B100" s="13"/>
      <c r="C100" s="13"/>
      <c r="D100" s="13"/>
      <c r="E100" s="13"/>
      <c r="F100" s="13"/>
      <c r="G100" s="109">
        <v>0</v>
      </c>
      <c r="H100" s="109">
        <v>0</v>
      </c>
      <c r="I100" s="13"/>
      <c r="J100" s="109">
        <v>198</v>
      </c>
      <c r="K100" s="13"/>
      <c r="L100" s="13"/>
      <c r="M100" s="155">
        <v>807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>
        <v>904</v>
      </c>
      <c r="Y100" s="7" t="s">
        <v>9</v>
      </c>
      <c r="Z100" s="58"/>
      <c r="AC100">
        <f t="shared" si="5"/>
        <v>1.1201982651796778</v>
      </c>
    </row>
    <row r="101" spans="1:47" s="150" customFormat="1" ht="18" customHeight="1" x14ac:dyDescent="0.2">
      <c r="A101" s="89">
        <v>2021</v>
      </c>
      <c r="B101" s="89"/>
      <c r="C101" s="89"/>
      <c r="D101" s="89"/>
      <c r="E101" s="89"/>
      <c r="F101" s="89"/>
      <c r="G101" s="89"/>
      <c r="H101" s="109">
        <v>2</v>
      </c>
      <c r="I101" s="109">
        <v>33</v>
      </c>
      <c r="J101" s="89"/>
      <c r="K101" s="109">
        <v>256</v>
      </c>
      <c r="L101" s="89"/>
      <c r="M101" s="737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>
        <v>284</v>
      </c>
      <c r="Y101" s="11"/>
      <c r="Z101" s="92"/>
      <c r="AB101" s="151"/>
      <c r="AC101">
        <f t="shared" si="5"/>
        <v>1.109375</v>
      </c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</row>
    <row r="102" spans="1:47" s="150" customFormat="1" ht="18" customHeight="1" x14ac:dyDescent="0.2">
      <c r="A102" s="89">
        <v>2022</v>
      </c>
      <c r="B102" s="89"/>
      <c r="C102" s="89"/>
      <c r="D102" s="89"/>
      <c r="E102" s="89"/>
      <c r="F102" s="89"/>
      <c r="G102" s="89"/>
      <c r="H102" s="109">
        <v>0</v>
      </c>
      <c r="I102" s="89"/>
      <c r="J102" s="155">
        <v>4</v>
      </c>
      <c r="K102" s="155">
        <v>47</v>
      </c>
      <c r="L102" s="89"/>
      <c r="M102" s="892">
        <v>27</v>
      </c>
      <c r="N102" s="89"/>
      <c r="O102" s="89"/>
      <c r="P102" s="89"/>
      <c r="Q102" s="155">
        <v>304</v>
      </c>
      <c r="R102" s="89"/>
      <c r="S102" s="89"/>
      <c r="T102" s="89"/>
      <c r="U102" s="89"/>
      <c r="V102" s="89"/>
      <c r="W102" s="89"/>
      <c r="X102" s="89">
        <v>383</v>
      </c>
      <c r="Y102" s="11"/>
      <c r="Z102" s="92"/>
      <c r="AB102" s="151"/>
      <c r="AC102">
        <f t="shared" si="5"/>
        <v>1.2598684210526316</v>
      </c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</row>
    <row r="103" spans="1:47" s="150" customFormat="1" ht="18" customHeight="1" x14ac:dyDescent="0.2">
      <c r="A103" s="89">
        <v>2023</v>
      </c>
      <c r="B103" s="89"/>
      <c r="C103" s="89"/>
      <c r="D103" s="89"/>
      <c r="E103" s="89"/>
      <c r="F103" s="89"/>
      <c r="G103" s="89"/>
      <c r="H103" s="109">
        <v>0</v>
      </c>
      <c r="I103" s="109">
        <v>123</v>
      </c>
      <c r="J103" s="89"/>
      <c r="K103" s="89"/>
      <c r="L103" s="89"/>
      <c r="M103" s="155">
        <v>1495</v>
      </c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11"/>
      <c r="Z103" s="92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</row>
    <row r="104" spans="1:47" ht="18" customHeight="1" x14ac:dyDescent="0.2">
      <c r="A104" s="64" t="s">
        <v>17</v>
      </c>
      <c r="B104" s="16"/>
      <c r="C104" s="16"/>
      <c r="D104" s="16"/>
      <c r="E104" s="16"/>
      <c r="F104" s="16"/>
      <c r="G104" s="16">
        <f t="shared" ref="G104:U104" si="6">AVERAGE(G75:G89)</f>
        <v>9</v>
      </c>
      <c r="H104" s="16">
        <f t="shared" si="6"/>
        <v>8</v>
      </c>
      <c r="I104" s="16">
        <f t="shared" si="6"/>
        <v>155.75</v>
      </c>
      <c r="J104" s="16">
        <f t="shared" si="6"/>
        <v>139.25</v>
      </c>
      <c r="K104" s="16">
        <f t="shared" si="6"/>
        <v>509</v>
      </c>
      <c r="L104" s="16">
        <f t="shared" si="6"/>
        <v>1809</v>
      </c>
      <c r="M104" s="16">
        <f t="shared" si="6"/>
        <v>3939.75</v>
      </c>
      <c r="N104" s="16">
        <f t="shared" si="6"/>
        <v>2836</v>
      </c>
      <c r="O104" s="16">
        <f t="shared" si="6"/>
        <v>241</v>
      </c>
      <c r="P104" s="16">
        <f t="shared" si="6"/>
        <v>3635</v>
      </c>
      <c r="Q104" s="16">
        <f t="shared" si="6"/>
        <v>41</v>
      </c>
      <c r="R104" s="16">
        <f t="shared" si="6"/>
        <v>53.75</v>
      </c>
      <c r="S104" s="16">
        <f t="shared" si="6"/>
        <v>31.5</v>
      </c>
      <c r="T104" s="16">
        <f t="shared" si="6"/>
        <v>0</v>
      </c>
      <c r="U104" s="16">
        <f t="shared" si="6"/>
        <v>0</v>
      </c>
      <c r="V104" s="16"/>
      <c r="W104" s="16"/>
      <c r="X104" s="24">
        <f>AVERAGE(X75:X89)</f>
        <v>3121.3333333333335</v>
      </c>
      <c r="Y104" s="17"/>
      <c r="Z104" s="16">
        <f>AVERAGE(Z75:Z89)</f>
        <v>18.125</v>
      </c>
    </row>
  </sheetData>
  <mergeCells count="18">
    <mergeCell ref="Z73:Z74"/>
    <mergeCell ref="Y3:Y4"/>
    <mergeCell ref="Z3:Z4"/>
    <mergeCell ref="Y38:Y39"/>
    <mergeCell ref="Z38:Z39"/>
    <mergeCell ref="Y73:Y74"/>
    <mergeCell ref="A1:I1"/>
    <mergeCell ref="B3:W3"/>
    <mergeCell ref="X3:X4"/>
    <mergeCell ref="A36:I36"/>
    <mergeCell ref="A3:A4"/>
    <mergeCell ref="B73:W73"/>
    <mergeCell ref="X73:X74"/>
    <mergeCell ref="A38:A39"/>
    <mergeCell ref="B38:W38"/>
    <mergeCell ref="X38:X39"/>
    <mergeCell ref="A71:I71"/>
    <mergeCell ref="A73:A74"/>
  </mergeCells>
  <phoneticPr fontId="4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Read Me</vt:lpstr>
      <vt:lpstr>No. Surveys</vt:lpstr>
      <vt:lpstr>Sarita</vt:lpstr>
      <vt:lpstr>Nahmint</vt:lpstr>
      <vt:lpstr>Bedwell</vt:lpstr>
      <vt:lpstr>Moyeha</vt:lpstr>
      <vt:lpstr>Megin</vt:lpstr>
      <vt:lpstr>Tranquil</vt:lpstr>
      <vt:lpstr>Cypre</vt:lpstr>
      <vt:lpstr>Burman</vt:lpstr>
      <vt:lpstr>Gold</vt:lpstr>
      <vt:lpstr>Tahsis</vt:lpstr>
      <vt:lpstr>Leiner</vt:lpstr>
      <vt:lpstr>Zeballos</vt:lpstr>
      <vt:lpstr>Kaouk</vt:lpstr>
      <vt:lpstr>Artlish</vt:lpstr>
      <vt:lpstr>Tahsish</vt:lpstr>
      <vt:lpstr>Malksope</vt:lpstr>
      <vt:lpstr>Marble</vt:lpstr>
      <vt:lpstr>Cayeghle</vt:lpstr>
      <vt:lpstr>Nitinat</vt:lpstr>
      <vt:lpstr>Conuma</vt:lpstr>
      <vt:lpstr>San Juan</vt:lpstr>
      <vt:lpstr>Clemens</vt:lpstr>
      <vt:lpstr>StatWk</vt:lpstr>
      <vt:lpstr>Pinks</vt:lpstr>
      <vt:lpstr>Kennedy Upper</vt:lpstr>
      <vt:lpstr>Toquaht</vt:lpstr>
      <vt:lpstr>Atleo</vt:lpstr>
      <vt:lpstr>Nahmint!Print_Area</vt:lpstr>
      <vt:lpstr>Sarita!Print_Area</vt:lpstr>
    </vt:vector>
  </TitlesOfParts>
  <Company>Fisheries &amp; Oceans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Seaton Taylor</dc:creator>
  <cp:lastModifiedBy>McHugh, Diana</cp:lastModifiedBy>
  <cp:lastPrinted>2009-04-08T22:08:15Z</cp:lastPrinted>
  <dcterms:created xsi:type="dcterms:W3CDTF">2009-04-08T19:13:07Z</dcterms:created>
  <dcterms:modified xsi:type="dcterms:W3CDTF">2023-12-01T20:46:18Z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2020-09-11T17:20:22Z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c7280c11-29ec-44d1-b5b9-000078dbbfda</vt:lpwstr>
  </property>
</Properties>
</file>