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data\enhancement-PNI\"/>
    </mc:Choice>
  </mc:AlternateContent>
  <xr:revisionPtr revIDLastSave="0" documentId="13_ncr:1_{E3917EFC-9679-4953-B3DA-45364DE94E5D}" xr6:coauthVersionLast="47" xr6:coauthVersionMax="47" xr10:uidLastSave="{00000000-0000-0000-0000-000000000000}"/>
  <bookViews>
    <workbookView xWindow="28680" yWindow="-120" windowWidth="29040" windowHeight="15990" activeTab="1" xr2:uid="{99D26236-5795-441E-B1F3-A9B23A6B67D4}"/>
  </bookViews>
  <sheets>
    <sheet name="Sheet1" sheetId="1" r:id="rId1"/>
    <sheet name="incl strays" sheetId="2" r:id="rId2"/>
    <sheet name="excl stra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0" i="2" l="1"/>
  <c r="BD17" i="2"/>
  <c r="BF20" i="2"/>
  <c r="BE20" i="2"/>
  <c r="AZ20" i="2"/>
  <c r="BA20" i="2"/>
  <c r="AY20" i="2"/>
  <c r="Q18" i="1"/>
  <c r="BQ9" i="3"/>
  <c r="BP9" i="3"/>
  <c r="BO9" i="3"/>
  <c r="BN9" i="3"/>
  <c r="BM9" i="3"/>
  <c r="BL9" i="3"/>
  <c r="BI9" i="3"/>
  <c r="BH9" i="3"/>
  <c r="BG9" i="3"/>
  <c r="BF9" i="3"/>
  <c r="BF9" i="2"/>
  <c r="BE9" i="3"/>
  <c r="BE9" i="2"/>
  <c r="BD9" i="2"/>
  <c r="BD9" i="3"/>
  <c r="BJ9" i="3" s="1"/>
  <c r="BK9" i="3" s="1"/>
  <c r="BD18" i="3"/>
  <c r="BF18" i="2"/>
  <c r="BE15" i="2"/>
  <c r="O11" i="1"/>
  <c r="P11" i="1"/>
  <c r="Q11" i="1" s="1"/>
  <c r="O12" i="1"/>
  <c r="P12" i="1"/>
  <c r="O13" i="1"/>
  <c r="P13" i="1"/>
  <c r="Q13" i="1" s="1"/>
  <c r="O14" i="1"/>
  <c r="P14" i="1"/>
  <c r="Q14" i="1" s="1"/>
  <c r="O15" i="1"/>
  <c r="P15" i="1"/>
  <c r="Q15" i="1" s="1"/>
  <c r="O16" i="1"/>
  <c r="P16" i="1"/>
  <c r="Q16" i="1" s="1"/>
  <c r="O17" i="1"/>
  <c r="Q17" i="1" s="1"/>
  <c r="P17" i="1"/>
  <c r="O18" i="1"/>
  <c r="P18" i="1"/>
  <c r="P8" i="1"/>
  <c r="Q8" i="1" s="1"/>
  <c r="O8" i="1"/>
  <c r="BQ19" i="3"/>
  <c r="BP19" i="3"/>
  <c r="BO19" i="3"/>
  <c r="BN19" i="3"/>
  <c r="BO18" i="3"/>
  <c r="BN18" i="3"/>
  <c r="BO17" i="3"/>
  <c r="BN17" i="3"/>
  <c r="BO16" i="3"/>
  <c r="BN16" i="3"/>
  <c r="BO12" i="3"/>
  <c r="BO13" i="3"/>
  <c r="BO14" i="3"/>
  <c r="BO15" i="3"/>
  <c r="BN13" i="3"/>
  <c r="BN14" i="3"/>
  <c r="BN15" i="3"/>
  <c r="BN12" i="3"/>
  <c r="BO11" i="3"/>
  <c r="BN11" i="3"/>
  <c r="BM19" i="3"/>
  <c r="BL19" i="3"/>
  <c r="BM18" i="3"/>
  <c r="BL18" i="3"/>
  <c r="BM17" i="3"/>
  <c r="BL17" i="3"/>
  <c r="BM16" i="3"/>
  <c r="BL16" i="3"/>
  <c r="BM15" i="3"/>
  <c r="BL15" i="3"/>
  <c r="BK19" i="3"/>
  <c r="BK18" i="3"/>
  <c r="BJ19" i="3"/>
  <c r="BJ18" i="3"/>
  <c r="BK17" i="3"/>
  <c r="BJ17" i="3"/>
  <c r="BK16" i="3"/>
  <c r="BJ16" i="3"/>
  <c r="BK15" i="3"/>
  <c r="BJ15" i="3"/>
  <c r="BK14" i="3"/>
  <c r="BJ14" i="3"/>
  <c r="BK12" i="3"/>
  <c r="BK11" i="3"/>
  <c r="BJ12" i="3"/>
  <c r="BJ11" i="3"/>
  <c r="BH15" i="3"/>
  <c r="BI15" i="3"/>
  <c r="BB19" i="3"/>
  <c r="BA17" i="3"/>
  <c r="BA18" i="3"/>
  <c r="BA19" i="3"/>
  <c r="BA16" i="3"/>
  <c r="BA14" i="3"/>
  <c r="BF14" i="3" s="1"/>
  <c r="BA15" i="3"/>
  <c r="BA12" i="3"/>
  <c r="BF12" i="3" s="1"/>
  <c r="AZ19" i="3"/>
  <c r="AZ16" i="3"/>
  <c r="AZ17" i="3"/>
  <c r="AZ18" i="3"/>
  <c r="AZ15" i="3"/>
  <c r="AZ14" i="3"/>
  <c r="BE14" i="3" s="1"/>
  <c r="AZ12" i="3"/>
  <c r="BE12" i="3" s="1"/>
  <c r="AZ11" i="3"/>
  <c r="BE11" i="3" s="1"/>
  <c r="AY19" i="3"/>
  <c r="AY18" i="3"/>
  <c r="AY15" i="3"/>
  <c r="AY16" i="3"/>
  <c r="AY17" i="3"/>
  <c r="AY14" i="3"/>
  <c r="AY12" i="3"/>
  <c r="AY11" i="3"/>
  <c r="AX15" i="3"/>
  <c r="BC11" i="3"/>
  <c r="BC12" i="3"/>
  <c r="BB9" i="3"/>
  <c r="BA9" i="3"/>
  <c r="AZ9" i="3"/>
  <c r="AY9" i="3"/>
  <c r="AX9" i="3"/>
  <c r="C21" i="3"/>
  <c r="L21" i="3" s="1"/>
  <c r="R20" i="3"/>
  <c r="Q20" i="3"/>
  <c r="P20" i="3"/>
  <c r="O20" i="3"/>
  <c r="N20" i="3"/>
  <c r="I20" i="3"/>
  <c r="C20" i="3"/>
  <c r="M20" i="3" s="1"/>
  <c r="AO19" i="3"/>
  <c r="AN19" i="3"/>
  <c r="AM19" i="3"/>
  <c r="BE19" i="3" s="1"/>
  <c r="AL19" i="3"/>
  <c r="AK19" i="3"/>
  <c r="R19" i="3"/>
  <c r="Q19" i="3"/>
  <c r="P19" i="3"/>
  <c r="O19" i="3"/>
  <c r="N19" i="3"/>
  <c r="C19" i="3"/>
  <c r="M19" i="3" s="1"/>
  <c r="BC18" i="3"/>
  <c r="AL18" i="3"/>
  <c r="R18" i="3"/>
  <c r="Q18" i="3"/>
  <c r="P18" i="3"/>
  <c r="O18" i="3"/>
  <c r="N18" i="3"/>
  <c r="C18" i="3"/>
  <c r="I18" i="3" s="1"/>
  <c r="BC17" i="3"/>
  <c r="R17" i="3"/>
  <c r="Q17" i="3"/>
  <c r="P17" i="3"/>
  <c r="O17" i="3"/>
  <c r="N17" i="3"/>
  <c r="C17" i="3"/>
  <c r="K17" i="3" s="1"/>
  <c r="BG16" i="3"/>
  <c r="R16" i="3"/>
  <c r="Q16" i="3"/>
  <c r="P16" i="3"/>
  <c r="O16" i="3"/>
  <c r="N16" i="3"/>
  <c r="C16" i="3"/>
  <c r="M16" i="3" s="1"/>
  <c r="BG15" i="3"/>
  <c r="BF15" i="3"/>
  <c r="BF19" i="3" s="1"/>
  <c r="R15" i="3"/>
  <c r="Q15" i="3"/>
  <c r="P15" i="3"/>
  <c r="O15" i="3"/>
  <c r="N15" i="3"/>
  <c r="J15" i="3"/>
  <c r="I15" i="3"/>
  <c r="C15" i="3"/>
  <c r="M15" i="3" s="1"/>
  <c r="BG14" i="3"/>
  <c r="R14" i="3"/>
  <c r="Q14" i="3"/>
  <c r="P14" i="3"/>
  <c r="O14" i="3"/>
  <c r="N14" i="3"/>
  <c r="C14" i="3"/>
  <c r="J14" i="3" s="1"/>
  <c r="R13" i="3"/>
  <c r="Q13" i="3"/>
  <c r="P13" i="3"/>
  <c r="O13" i="3"/>
  <c r="N13" i="3"/>
  <c r="C13" i="3"/>
  <c r="M13" i="3" s="1"/>
  <c r="BD12" i="3"/>
  <c r="R12" i="3"/>
  <c r="Q12" i="3"/>
  <c r="P12" i="3"/>
  <c r="O12" i="3"/>
  <c r="N12" i="3"/>
  <c r="I12" i="3"/>
  <c r="C12" i="3"/>
  <c r="M12" i="3" s="1"/>
  <c r="BG11" i="3"/>
  <c r="BA11" i="3"/>
  <c r="BD11" i="3"/>
  <c r="R11" i="3"/>
  <c r="Q11" i="3"/>
  <c r="P11" i="3"/>
  <c r="O11" i="3"/>
  <c r="N11" i="3"/>
  <c r="C11" i="3"/>
  <c r="J11" i="3" s="1"/>
  <c r="R10" i="3"/>
  <c r="Q10" i="3"/>
  <c r="P10" i="3"/>
  <c r="O10" i="3"/>
  <c r="N10" i="3"/>
  <c r="C10" i="3"/>
  <c r="M10" i="3" s="1"/>
  <c r="BC9" i="3"/>
  <c r="R9" i="3"/>
  <c r="Q9" i="3"/>
  <c r="P9" i="3"/>
  <c r="O9" i="3"/>
  <c r="N9" i="3"/>
  <c r="C9" i="3"/>
  <c r="J9" i="3" s="1"/>
  <c r="R8" i="3"/>
  <c r="Q8" i="3"/>
  <c r="P8" i="3"/>
  <c r="O8" i="3"/>
  <c r="N8" i="3"/>
  <c r="C8" i="3"/>
  <c r="M8" i="3" s="1"/>
  <c r="R7" i="3"/>
  <c r="Q7" i="3"/>
  <c r="P7" i="3"/>
  <c r="O7" i="3"/>
  <c r="N7" i="3"/>
  <c r="C7" i="3"/>
  <c r="M7" i="3" s="1"/>
  <c r="R6" i="3"/>
  <c r="Q6" i="3"/>
  <c r="P6" i="3"/>
  <c r="O6" i="3"/>
  <c r="N6" i="3"/>
  <c r="M6" i="3"/>
  <c r="J6" i="3"/>
  <c r="I6" i="3"/>
  <c r="C6" i="3"/>
  <c r="L6" i="3" s="1"/>
  <c r="R5" i="3"/>
  <c r="Q5" i="3"/>
  <c r="P5" i="3"/>
  <c r="O5" i="3"/>
  <c r="N5" i="3"/>
  <c r="C5" i="3"/>
  <c r="M5" i="3" s="1"/>
  <c r="BF18" i="3" l="1"/>
  <c r="BE18" i="3"/>
  <c r="BE17" i="3"/>
  <c r="BD19" i="3"/>
  <c r="BD17" i="3" s="1"/>
  <c r="K6" i="3"/>
  <c r="K15" i="3"/>
  <c r="I17" i="3"/>
  <c r="J17" i="3"/>
  <c r="L17" i="3"/>
  <c r="I16" i="3"/>
  <c r="K16" i="3"/>
  <c r="J18" i="3"/>
  <c r="I7" i="3"/>
  <c r="I10" i="3"/>
  <c r="K11" i="3"/>
  <c r="J7" i="3"/>
  <c r="K10" i="3"/>
  <c r="L11" i="3"/>
  <c r="K7" i="3"/>
  <c r="I8" i="3"/>
  <c r="K9" i="3"/>
  <c r="I13" i="3"/>
  <c r="K14" i="3"/>
  <c r="BE16" i="3"/>
  <c r="L15" i="3"/>
  <c r="K18" i="3"/>
  <c r="L7" i="3"/>
  <c r="K8" i="3"/>
  <c r="L9" i="3"/>
  <c r="K13" i="3"/>
  <c r="L14" i="3"/>
  <c r="M18" i="3"/>
  <c r="M21" i="3"/>
  <c r="M17" i="3"/>
  <c r="BD16" i="3"/>
  <c r="BD15" i="3"/>
  <c r="I5" i="3"/>
  <c r="M9" i="3"/>
  <c r="M11" i="3"/>
  <c r="J12" i="3"/>
  <c r="M14" i="3"/>
  <c r="BF16" i="3"/>
  <c r="L18" i="3"/>
  <c r="I19" i="3"/>
  <c r="J20" i="3"/>
  <c r="J5" i="3"/>
  <c r="K12" i="3"/>
  <c r="J19" i="3"/>
  <c r="K20" i="3"/>
  <c r="K5" i="3"/>
  <c r="J8" i="3"/>
  <c r="J10" i="3"/>
  <c r="L12" i="3"/>
  <c r="J13" i="3"/>
  <c r="J16" i="3"/>
  <c r="K19" i="3"/>
  <c r="L20" i="3"/>
  <c r="I21" i="3"/>
  <c r="L5" i="3"/>
  <c r="BF17" i="3"/>
  <c r="L19" i="3"/>
  <c r="J21" i="3"/>
  <c r="L8" i="3"/>
  <c r="I9" i="3"/>
  <c r="L10" i="3"/>
  <c r="I11" i="3"/>
  <c r="BF11" i="3"/>
  <c r="L13" i="3"/>
  <c r="I14" i="3"/>
  <c r="L16" i="3"/>
  <c r="K21" i="3"/>
  <c r="BE15" i="3"/>
  <c r="BD14" i="3" l="1"/>
  <c r="BF19" i="2" l="1"/>
  <c r="BF17" i="2"/>
  <c r="BF11" i="2"/>
  <c r="BF16" i="2"/>
  <c r="BE18" i="2"/>
  <c r="BE16" i="2"/>
  <c r="BE17" i="2"/>
  <c r="BD14" i="2"/>
  <c r="BD16" i="2"/>
  <c r="BD15" i="2"/>
  <c r="AZ14" i="2"/>
  <c r="AZ12" i="2"/>
  <c r="AY11" i="2"/>
  <c r="BE12" i="2"/>
  <c r="BE14" i="2"/>
  <c r="BC11" i="2"/>
  <c r="BC12" i="2"/>
  <c r="AZ11" i="2"/>
  <c r="BE11" i="2" s="1"/>
  <c r="BA11" i="2"/>
  <c r="AY12" i="2"/>
  <c r="BA12" i="2"/>
  <c r="AY14" i="2"/>
  <c r="BA14" i="2"/>
  <c r="BF14" i="2" s="1"/>
  <c r="AX15" i="2"/>
  <c r="AY15" i="2"/>
  <c r="AZ15" i="2"/>
  <c r="BA15" i="2"/>
  <c r="BF15" i="2" s="1"/>
  <c r="AY16" i="2"/>
  <c r="AZ16" i="2"/>
  <c r="BA16" i="2"/>
  <c r="AY17" i="2"/>
  <c r="AZ17" i="2"/>
  <c r="BA17" i="2"/>
  <c r="AY18" i="2"/>
  <c r="AZ18" i="2"/>
  <c r="BA18" i="2"/>
  <c r="AY19" i="2"/>
  <c r="AZ19" i="2"/>
  <c r="BA19" i="2"/>
  <c r="BB19" i="2"/>
  <c r="BB9" i="2"/>
  <c r="BA9" i="2"/>
  <c r="AZ9" i="2"/>
  <c r="AY9" i="2"/>
  <c r="AX9" i="2"/>
  <c r="BC9" i="2" s="1"/>
  <c r="BC18" i="2"/>
  <c r="BC17" i="2"/>
  <c r="BG16" i="2"/>
  <c r="BG15" i="2"/>
  <c r="BF12" i="2"/>
  <c r="BG11" i="2"/>
  <c r="BG9" i="2"/>
  <c r="BD11" i="2"/>
  <c r="BD12" i="2"/>
  <c r="BG14" i="2"/>
  <c r="BD18" i="2"/>
  <c r="C6" i="2"/>
  <c r="L6" i="2" s="1"/>
  <c r="C7" i="2"/>
  <c r="L7" i="2" s="1"/>
  <c r="C8" i="2"/>
  <c r="K8" i="2" s="1"/>
  <c r="C9" i="2"/>
  <c r="K9" i="2" s="1"/>
  <c r="C10" i="2"/>
  <c r="M10" i="2" s="1"/>
  <c r="C11" i="2"/>
  <c r="L11" i="2" s="1"/>
  <c r="C12" i="2"/>
  <c r="L12" i="2" s="1"/>
  <c r="C13" i="2"/>
  <c r="K13" i="2" s="1"/>
  <c r="C14" i="2"/>
  <c r="M14" i="2" s="1"/>
  <c r="C15" i="2"/>
  <c r="L15" i="2" s="1"/>
  <c r="C16" i="2"/>
  <c r="K16" i="2" s="1"/>
  <c r="C17" i="2"/>
  <c r="K17" i="2" s="1"/>
  <c r="C18" i="2"/>
  <c r="M18" i="2" s="1"/>
  <c r="C19" i="2"/>
  <c r="L19" i="2" s="1"/>
  <c r="C20" i="2"/>
  <c r="L20" i="2" s="1"/>
  <c r="C21" i="2"/>
  <c r="J21" i="2" s="1"/>
  <c r="C5" i="2"/>
  <c r="K5" i="2" s="1"/>
  <c r="AO19" i="2"/>
  <c r="AM19" i="2"/>
  <c r="AL18" i="2"/>
  <c r="AL19" i="2"/>
  <c r="AK19" i="2"/>
  <c r="AN19" i="2"/>
  <c r="R5" i="2"/>
  <c r="N10" i="2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R9" i="2"/>
  <c r="Q9" i="2"/>
  <c r="P9" i="2"/>
  <c r="O9" i="2"/>
  <c r="N9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Q5" i="2"/>
  <c r="P5" i="2"/>
  <c r="O5" i="2"/>
  <c r="N5" i="2"/>
  <c r="BE19" i="2" l="1"/>
  <c r="BD19" i="2"/>
  <c r="L10" i="2"/>
  <c r="M6" i="2"/>
  <c r="L18" i="2"/>
  <c r="L14" i="2"/>
  <c r="I13" i="2"/>
  <c r="K21" i="2"/>
  <c r="I20" i="2"/>
  <c r="I12" i="2"/>
  <c r="J20" i="2"/>
  <c r="J12" i="2"/>
  <c r="K20" i="2"/>
  <c r="K12" i="2"/>
  <c r="M21" i="2"/>
  <c r="M17" i="2"/>
  <c r="M13" i="2"/>
  <c r="M9" i="2"/>
  <c r="I5" i="2"/>
  <c r="I19" i="2"/>
  <c r="I11" i="2"/>
  <c r="J19" i="2"/>
  <c r="J11" i="2"/>
  <c r="K19" i="2"/>
  <c r="K11" i="2"/>
  <c r="L21" i="2"/>
  <c r="L17" i="2"/>
  <c r="L13" i="2"/>
  <c r="L9" i="2"/>
  <c r="J5" i="2"/>
  <c r="I18" i="2"/>
  <c r="I10" i="2"/>
  <c r="J18" i="2"/>
  <c r="J10" i="2"/>
  <c r="K18" i="2"/>
  <c r="K10" i="2"/>
  <c r="M20" i="2"/>
  <c r="M16" i="2"/>
  <c r="M12" i="2"/>
  <c r="M8" i="2"/>
  <c r="M5" i="2"/>
  <c r="I17" i="2"/>
  <c r="I9" i="2"/>
  <c r="J17" i="2"/>
  <c r="J9" i="2"/>
  <c r="L16" i="2"/>
  <c r="L8" i="2"/>
  <c r="I21" i="2"/>
  <c r="J13" i="2"/>
  <c r="L5" i="2"/>
  <c r="I16" i="2"/>
  <c r="I8" i="2"/>
  <c r="J16" i="2"/>
  <c r="J8" i="2"/>
  <c r="M19" i="2"/>
  <c r="M15" i="2"/>
  <c r="M11" i="2"/>
  <c r="M7" i="2"/>
  <c r="I15" i="2"/>
  <c r="I7" i="2"/>
  <c r="J15" i="2"/>
  <c r="J7" i="2"/>
  <c r="K15" i="2"/>
  <c r="K7" i="2"/>
  <c r="I6" i="2"/>
  <c r="I14" i="2"/>
  <c r="J6" i="2"/>
  <c r="J14" i="2"/>
  <c r="K6" i="2"/>
  <c r="K14" i="2"/>
  <c r="P10" i="1"/>
  <c r="Q10" i="1" s="1"/>
  <c r="O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</authors>
  <commentList>
    <comment ref="R5" authorId="0" shapeId="0" xr:uid="{35E0B233-80DA-4328-AB14-C95F5CD1AAA2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2001-2008 thermally marked, but no reference samples so quality unknown</t>
        </r>
      </text>
    </comment>
    <comment ref="BC15" authorId="0" shapeId="0" xr:uid="{54F0238A-A0FC-413C-9F2D-0A09FB17418C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just assume the jack is hatchery</t>
        </r>
      </text>
    </comment>
    <comment ref="AK16" authorId="0" shapeId="0" xr:uid="{9FD6083A-93FA-4455-B4E4-C54BA808E804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AM16" authorId="0" shapeId="0" xr:uid="{CF7DA1E8-254F-4095-9480-3041CCA4C327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N17" authorId="0" shapeId="0" xr:uid="{468749F9-A50B-43A1-983B-5D91A38379DD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FIRST FULL PBT YEAR</t>
        </r>
      </text>
    </comment>
    <comment ref="N20" authorId="0" shapeId="0" xr:uid="{895C0650-9429-40A6-82AB-7FF78D22E2A3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marked, but mark quality "poor"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</authors>
  <commentList>
    <comment ref="R5" authorId="0" shapeId="0" xr:uid="{EC70BE02-9C96-4325-8069-616D95C9C4CA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2001-2008 thermally marked, but no reference samples so quality unknown</t>
        </r>
      </text>
    </comment>
    <comment ref="BC15" authorId="0" shapeId="0" xr:uid="{9C6C2B27-5757-4DD9-B46C-911E4E3785CA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just assume the jack is hatchery</t>
        </r>
      </text>
    </comment>
    <comment ref="AK16" authorId="0" shapeId="0" xr:uid="{9D6A0E6D-64D3-41A5-9C95-B6DC0FA1FC22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AM16" authorId="0" shapeId="0" xr:uid="{6A2036F0-600F-4AF6-8ED2-69F9AF10DC49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BJ16" authorId="0" shapeId="0" xr:uid="{4E750C7E-7BDE-4A18-AB76-CA8D1AB387E2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BL16" authorId="0" shapeId="0" xr:uid="{46F480CE-3511-43E7-B4FE-19A78B13BFFF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N17" authorId="0" shapeId="0" xr:uid="{6C174D68-7F21-47C7-8C40-1C898730292E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FIRST FULL PBT YEAR</t>
        </r>
      </text>
    </comment>
    <comment ref="N20" authorId="0" shapeId="0" xr:uid="{E0B5A330-CA38-4611-9E00-DEE7740E7385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marked, but mark quality "poor" </t>
        </r>
      </text>
    </comment>
  </commentList>
</comments>
</file>

<file path=xl/sharedStrings.xml><?xml version="1.0" encoding="utf-8"?>
<sst xmlns="http://schemas.openxmlformats.org/spreadsheetml/2006/main" count="511" uniqueCount="86">
  <si>
    <t>Releases</t>
  </si>
  <si>
    <t>BY</t>
  </si>
  <si>
    <t>Return Year</t>
  </si>
  <si>
    <t>Age 2 NoMK</t>
  </si>
  <si>
    <t>Age 2 MK</t>
  </si>
  <si>
    <t>Age 3 NoMK</t>
  </si>
  <si>
    <t>Age 3 MK</t>
  </si>
  <si>
    <t>Age 4 NoMK</t>
  </si>
  <si>
    <t>Age 4 MK</t>
  </si>
  <si>
    <t>Age 5 NoMK</t>
  </si>
  <si>
    <t>Age 5 MK</t>
  </si>
  <si>
    <t>Age 6 NoMK</t>
  </si>
  <si>
    <t>Age 6 MK</t>
  </si>
  <si>
    <t>Total NoMK</t>
  </si>
  <si>
    <t>OTO RESULTS</t>
  </si>
  <si>
    <t>Total MK</t>
  </si>
  <si>
    <t>Enhanced Contribution</t>
  </si>
  <si>
    <t xml:space="preserve">* manually populated for now, but need to reproduce in R </t>
  </si>
  <si>
    <t>n broodstock biosamples</t>
  </si>
  <si>
    <t>% age 2</t>
  </si>
  <si>
    <t>% age 3</t>
  </si>
  <si>
    <t>% age 4</t>
  </si>
  <si>
    <t>% age 5</t>
  </si>
  <si>
    <t>% age 6</t>
  </si>
  <si>
    <t>n age 2</t>
  </si>
  <si>
    <t>n age 3</t>
  </si>
  <si>
    <t>n age 4</t>
  </si>
  <si>
    <t xml:space="preserve"> n age 5</t>
  </si>
  <si>
    <t xml:space="preserve"> n age 6</t>
  </si>
  <si>
    <t>OM quality age 2</t>
  </si>
  <si>
    <t>OM quality age 3</t>
  </si>
  <si>
    <t>OM quality age 4</t>
  </si>
  <si>
    <t>OM quality age 5</t>
  </si>
  <si>
    <t>OM quality age 6</t>
  </si>
  <si>
    <t>Total Release</t>
  </si>
  <si>
    <t>BY age 2</t>
  </si>
  <si>
    <t>BY age 4</t>
  </si>
  <si>
    <t>BY age 5</t>
  </si>
  <si>
    <t>BY age 6</t>
  </si>
  <si>
    <t>BY age3</t>
  </si>
  <si>
    <t>100% unk</t>
  </si>
  <si>
    <t>not marked</t>
  </si>
  <si>
    <t>80% good</t>
  </si>
  <si>
    <t>87% acceptable</t>
  </si>
  <si>
    <t>100% good</t>
  </si>
  <si>
    <t>90% good</t>
  </si>
  <si>
    <t>100% poor</t>
  </si>
  <si>
    <t>n hSJ age 2</t>
  </si>
  <si>
    <t>n hSJ age 3</t>
  </si>
  <si>
    <t>n nSJ age 2</t>
  </si>
  <si>
    <t>n nSJ age 3</t>
  </si>
  <si>
    <t>n hSJ age 4</t>
  </si>
  <si>
    <t>n nSJ age 4</t>
  </si>
  <si>
    <t>n hSJ age 5</t>
  </si>
  <si>
    <t>n nSJ age 5</t>
  </si>
  <si>
    <t>n hSJ age 6</t>
  </si>
  <si>
    <t>n nSJ age 6</t>
  </si>
  <si>
    <t>-</t>
  </si>
  <si>
    <t>% hSJ age 2</t>
  </si>
  <si>
    <t>% hSJ age 3</t>
  </si>
  <si>
    <t>% hSJ age 4</t>
  </si>
  <si>
    <t>% hSJ age 5</t>
  </si>
  <si>
    <t>% hSH age 6</t>
  </si>
  <si>
    <t>RAW</t>
  </si>
  <si>
    <t>CORRECTED</t>
  </si>
  <si>
    <t>RY</t>
  </si>
  <si>
    <t>cohort sum rel</t>
  </si>
  <si>
    <t>na</t>
  </si>
  <si>
    <t>2 samp</t>
  </si>
  <si>
    <t>3 samp</t>
  </si>
  <si>
    <t>5 samp</t>
  </si>
  <si>
    <t>6 samp</t>
  </si>
  <si>
    <t>4 samp</t>
  </si>
  <si>
    <t>% COHORT RELEASES</t>
  </si>
  <si>
    <t>BY age 3</t>
  </si>
  <si>
    <t>From run recon files</t>
  </si>
  <si>
    <t>From run recon metadata pivot tables</t>
  </si>
  <si>
    <t>From run recon files (all broodstock ages)</t>
  </si>
  <si>
    <t>From run recon files (all broodstock ages WITH stock IDs)</t>
  </si>
  <si>
    <t>Corrected back</t>
  </si>
  <si>
    <t>this year is very uncertain because no TM quality records preceeding</t>
  </si>
  <si>
    <t xml:space="preserve">no broodstock biosamples collected. </t>
  </si>
  <si>
    <t>% hatchery</t>
  </si>
  <si>
    <t>= corrected due to no otolith marks</t>
  </si>
  <si>
    <t xml:space="preserve">* these 5yo corrections could be a little hatchery strong… </t>
  </si>
  <si>
    <t xml:space="preserve">BROODSTOCK Age Props (all age samples, pooled sexes)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</si>
</sst>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b/>
      <sz val="10"/>
      <color rgb="FF00B0F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tted">
        <color auto="1"/>
      </right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9" fontId="9" fillId="0" borderId="4" xfId="3" applyFont="1" applyBorder="1" applyAlignment="1">
      <alignment horizontal="center"/>
    </xf>
    <xf numFmtId="9" fontId="9" fillId="0" borderId="0" xfId="3" applyFont="1" applyBorder="1" applyAlignment="1">
      <alignment horizontal="center"/>
    </xf>
    <xf numFmtId="9" fontId="9" fillId="0" borderId="5" xfId="3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9" fillId="0" borderId="0" xfId="3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6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9" fillId="0" borderId="5" xfId="0" applyFont="1" applyBorder="1"/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2" fontId="9" fillId="0" borderId="5" xfId="0" applyNumberFormat="1" applyFont="1" applyBorder="1"/>
    <xf numFmtId="1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/>
    <xf numFmtId="0" fontId="15" fillId="0" borderId="5" xfId="0" applyFont="1" applyFill="1" applyBorder="1"/>
    <xf numFmtId="0" fontId="10" fillId="3" borderId="0" xfId="0" applyFont="1" applyFill="1" applyAlignment="1">
      <alignment horizontal="center"/>
    </xf>
    <xf numFmtId="0" fontId="10" fillId="3" borderId="4" xfId="0" applyFont="1" applyFill="1" applyBorder="1" applyAlignment="1">
      <alignment horizontal="center"/>
    </xf>
    <xf numFmtId="1" fontId="10" fillId="3" borderId="0" xfId="0" applyNumberFormat="1" applyFont="1" applyFill="1" applyAlignment="1">
      <alignment horizontal="center"/>
    </xf>
    <xf numFmtId="1" fontId="10" fillId="3" borderId="6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9" fontId="11" fillId="0" borderId="0" xfId="3" applyFont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" fontId="10" fillId="3" borderId="5" xfId="0" applyNumberFormat="1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9" fillId="3" borderId="0" xfId="0" applyFont="1" applyFill="1"/>
    <xf numFmtId="9" fontId="10" fillId="0" borderId="0" xfId="3" applyFont="1" applyBorder="1" applyAlignment="1">
      <alignment horizontal="center"/>
    </xf>
    <xf numFmtId="0" fontId="9" fillId="3" borderId="5" xfId="0" applyFont="1" applyFill="1" applyBorder="1"/>
    <xf numFmtId="0" fontId="10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Border="1"/>
    <xf numFmtId="0" fontId="9" fillId="0" borderId="4" xfId="0" applyFont="1" applyBorder="1"/>
    <xf numFmtId="9" fontId="9" fillId="0" borderId="0" xfId="0" applyNumberFormat="1" applyFont="1" applyAlignment="1">
      <alignment horizontal="center"/>
    </xf>
    <xf numFmtId="9" fontId="9" fillId="0" borderId="5" xfId="0" applyNumberFormat="1" applyFont="1" applyBorder="1" applyAlignment="1">
      <alignment horizontal="center"/>
    </xf>
    <xf numFmtId="0" fontId="9" fillId="0" borderId="3" xfId="0" applyFont="1" applyBorder="1"/>
    <xf numFmtId="0" fontId="9" fillId="0" borderId="6" xfId="0" applyFont="1" applyBorder="1"/>
    <xf numFmtId="1" fontId="9" fillId="0" borderId="4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6" xfId="3" applyNumberFormat="1" applyFont="1" applyFill="1" applyBorder="1" applyAlignment="1">
      <alignment horizontal="center"/>
    </xf>
    <xf numFmtId="1" fontId="10" fillId="3" borderId="6" xfId="3" applyNumberFormat="1" applyFont="1" applyFill="1" applyBorder="1" applyAlignment="1">
      <alignment horizontal="center"/>
    </xf>
    <xf numFmtId="9" fontId="15" fillId="0" borderId="0" xfId="3" applyFont="1" applyFill="1" applyAlignment="1">
      <alignment horizontal="center"/>
    </xf>
    <xf numFmtId="9" fontId="10" fillId="3" borderId="0" xfId="3" applyFont="1" applyFill="1" applyAlignment="1">
      <alignment horizontal="center"/>
    </xf>
    <xf numFmtId="9" fontId="15" fillId="0" borderId="5" xfId="3" applyFont="1" applyFill="1" applyBorder="1" applyAlignment="1">
      <alignment horizontal="center"/>
    </xf>
    <xf numFmtId="9" fontId="15" fillId="0" borderId="0" xfId="3" applyFont="1" applyAlignment="1">
      <alignment horizontal="center"/>
    </xf>
    <xf numFmtId="9" fontId="11" fillId="0" borderId="0" xfId="3" applyNumberFormat="1" applyFont="1" applyAlignment="1">
      <alignment horizontal="center"/>
    </xf>
    <xf numFmtId="9" fontId="11" fillId="0" borderId="5" xfId="3" applyFont="1" applyBorder="1" applyAlignment="1">
      <alignment horizontal="center"/>
    </xf>
    <xf numFmtId="9" fontId="9" fillId="0" borderId="0" xfId="0" applyNumberFormat="1" applyFont="1"/>
    <xf numFmtId="0" fontId="15" fillId="0" borderId="0" xfId="0" applyFont="1" applyAlignment="1">
      <alignment horizontal="center"/>
    </xf>
    <xf numFmtId="9" fontId="10" fillId="3" borderId="5" xfId="3" applyFont="1" applyFill="1" applyBorder="1" applyAlignment="1">
      <alignment horizontal="center"/>
    </xf>
    <xf numFmtId="9" fontId="11" fillId="0" borderId="0" xfId="3" applyFont="1" applyFill="1" applyAlignment="1">
      <alignment horizontal="center"/>
    </xf>
    <xf numFmtId="1" fontId="10" fillId="3" borderId="0" xfId="0" quotePrefix="1" applyNumberFormat="1" applyFont="1" applyFill="1" applyAlignment="1">
      <alignment horizontal="center"/>
    </xf>
    <xf numFmtId="164" fontId="9" fillId="0" borderId="5" xfId="3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Border="1"/>
    <xf numFmtId="1" fontId="11" fillId="0" borderId="0" xfId="0" applyNumberFormat="1" applyFont="1" applyFill="1" applyAlignment="1">
      <alignment horizontal="center"/>
    </xf>
    <xf numFmtId="1" fontId="11" fillId="0" borderId="6" xfId="0" applyNumberFormat="1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6" fillId="2" borderId="1" xfId="0" quotePrefix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9" fontId="16" fillId="0" borderId="1" xfId="3" applyFon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Normal" xfId="0" builtinId="0"/>
    <cellStyle name="Normal 2" xfId="1" xr:uid="{DC4983EA-FCB6-4DAB-9F80-EB4535F1E091}"/>
    <cellStyle name="Percent" xfId="3" builtinId="5"/>
    <cellStyle name="Percent 2" xfId="2" xr:uid="{5586ACC4-5939-4C9B-ACF3-6D65059805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460D-2AEF-4128-ACC0-DC803AE58606}">
  <dimension ref="A1:Z20"/>
  <sheetViews>
    <sheetView workbookViewId="0">
      <selection activeCell="J27" sqref="J27"/>
    </sheetView>
  </sheetViews>
  <sheetFormatPr defaultRowHeight="15" x14ac:dyDescent="0.25"/>
  <cols>
    <col min="2" max="2" width="12" customWidth="1"/>
    <col min="4" max="4" width="10.7109375" customWidth="1"/>
    <col min="5" max="5" width="8.85546875" customWidth="1"/>
    <col min="15" max="15" width="9.7109375" customWidth="1"/>
    <col min="18" max="18" width="13" customWidth="1"/>
  </cols>
  <sheetData>
    <row r="1" spans="1:26" x14ac:dyDescent="0.25">
      <c r="A1" s="95"/>
      <c r="B1" s="7" t="s">
        <v>83</v>
      </c>
    </row>
    <row r="2" spans="1:26" x14ac:dyDescent="0.25">
      <c r="D2" s="2"/>
      <c r="E2" s="99" t="s">
        <v>14</v>
      </c>
      <c r="F2" s="99"/>
      <c r="G2" s="99"/>
      <c r="H2" s="99"/>
      <c r="I2" s="99"/>
      <c r="J2" s="99"/>
      <c r="K2" s="99"/>
      <c r="L2" s="99"/>
      <c r="M2" s="99"/>
      <c r="N2" s="99"/>
      <c r="O2" s="100"/>
      <c r="U2" s="2"/>
      <c r="V2" s="98" t="s">
        <v>85</v>
      </c>
      <c r="W2" s="98"/>
      <c r="X2" s="98"/>
      <c r="Y2" s="98"/>
      <c r="Z2" s="98"/>
    </row>
    <row r="3" spans="1:26" ht="45" x14ac:dyDescent="0.25">
      <c r="A3" t="s">
        <v>1</v>
      </c>
      <c r="B3" t="s">
        <v>0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6" t="s">
        <v>15</v>
      </c>
      <c r="Q3" s="6" t="s">
        <v>82</v>
      </c>
      <c r="R3" s="6" t="s">
        <v>16</v>
      </c>
      <c r="U3" s="5" t="s">
        <v>2</v>
      </c>
      <c r="V3" s="4">
        <v>2</v>
      </c>
      <c r="W3" s="4">
        <v>3</v>
      </c>
      <c r="X3" s="4">
        <v>4</v>
      </c>
      <c r="Y3" s="4">
        <v>5</v>
      </c>
      <c r="Z3" s="4">
        <v>6</v>
      </c>
    </row>
    <row r="4" spans="1:26" x14ac:dyDescent="0.25">
      <c r="A4">
        <v>2008</v>
      </c>
      <c r="B4" s="1">
        <v>945650</v>
      </c>
      <c r="C4" s="1"/>
      <c r="D4" s="2">
        <v>2008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  <c r="R4" s="8"/>
      <c r="U4">
        <v>2008</v>
      </c>
      <c r="V4" s="97">
        <v>6.8493150684931503E-2</v>
      </c>
      <c r="W4" s="97">
        <v>0.45205479452054792</v>
      </c>
      <c r="X4" s="97">
        <v>0.1095890410958904</v>
      </c>
      <c r="Y4" s="97">
        <v>0.35616438356164382</v>
      </c>
      <c r="Z4" s="97">
        <v>1.3698630136986301E-2</v>
      </c>
    </row>
    <row r="5" spans="1:26" x14ac:dyDescent="0.25">
      <c r="A5">
        <v>2009</v>
      </c>
      <c r="B5" s="1">
        <v>1038800</v>
      </c>
      <c r="C5" s="1"/>
      <c r="D5" s="2">
        <v>2009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U5">
        <v>2009</v>
      </c>
      <c r="V5" s="97"/>
      <c r="W5" s="97"/>
      <c r="X5" s="97"/>
      <c r="Y5" s="97"/>
      <c r="Z5" s="97"/>
    </row>
    <row r="6" spans="1:26" x14ac:dyDescent="0.25">
      <c r="A6">
        <v>2010</v>
      </c>
      <c r="B6" s="1">
        <v>840000</v>
      </c>
      <c r="C6" s="1"/>
      <c r="D6" s="2">
        <v>2010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U6">
        <v>2010</v>
      </c>
      <c r="V6" s="97"/>
      <c r="W6" s="97"/>
      <c r="X6" s="97"/>
      <c r="Y6" s="97"/>
      <c r="Z6" s="97"/>
    </row>
    <row r="7" spans="1:26" x14ac:dyDescent="0.25">
      <c r="A7">
        <v>2011</v>
      </c>
      <c r="B7" s="1">
        <v>245000</v>
      </c>
      <c r="C7" s="1"/>
      <c r="D7" s="2">
        <v>2011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8"/>
      <c r="U7">
        <v>2011</v>
      </c>
      <c r="V7" s="97"/>
      <c r="W7" s="97"/>
      <c r="X7" s="97"/>
      <c r="Y7" s="97"/>
      <c r="Z7" s="97"/>
    </row>
    <row r="8" spans="1:26" x14ac:dyDescent="0.25">
      <c r="A8">
        <v>2012</v>
      </c>
      <c r="B8" s="1">
        <v>1031800</v>
      </c>
      <c r="C8" s="1"/>
      <c r="D8" s="2">
        <v>2012</v>
      </c>
      <c r="E8" s="87">
        <v>3</v>
      </c>
      <c r="F8" s="87">
        <v>0</v>
      </c>
      <c r="G8" s="90">
        <v>1</v>
      </c>
      <c r="H8" s="90">
        <v>9</v>
      </c>
      <c r="I8" s="90">
        <v>2</v>
      </c>
      <c r="J8" s="90">
        <v>29</v>
      </c>
      <c r="K8" s="90">
        <v>6</v>
      </c>
      <c r="L8" s="90">
        <v>32</v>
      </c>
      <c r="M8" s="90">
        <v>1</v>
      </c>
      <c r="N8" s="90">
        <v>0</v>
      </c>
      <c r="O8" s="90">
        <f>SUM(M8,K8,I8,G8,E8)</f>
        <v>13</v>
      </c>
      <c r="P8" s="87">
        <f>SUM(N8,L8,J8,H8,F8)</f>
        <v>70</v>
      </c>
      <c r="Q8" s="96">
        <f>P8/SUM(O8:P8)</f>
        <v>0.84337349397590367</v>
      </c>
      <c r="R8" s="8"/>
      <c r="S8" s="94" t="s">
        <v>80</v>
      </c>
      <c r="U8">
        <v>2012</v>
      </c>
      <c r="V8" s="97">
        <v>3.4000000000000002E-2</v>
      </c>
      <c r="W8" s="97">
        <v>0.114</v>
      </c>
      <c r="X8" s="97">
        <v>0.38600000000000001</v>
      </c>
      <c r="Y8" s="97">
        <v>0.45500000000000002</v>
      </c>
      <c r="Z8" s="97">
        <v>1.0999999999999999E-2</v>
      </c>
    </row>
    <row r="9" spans="1:26" x14ac:dyDescent="0.25">
      <c r="A9">
        <v>2013</v>
      </c>
      <c r="B9" s="1">
        <v>319000</v>
      </c>
      <c r="C9" s="1"/>
      <c r="D9" s="2">
        <v>2013</v>
      </c>
      <c r="E9" s="8"/>
      <c r="F9" s="8"/>
      <c r="G9" s="8"/>
      <c r="H9" s="8"/>
      <c r="I9" s="89"/>
      <c r="J9" s="89"/>
      <c r="K9" s="8"/>
      <c r="L9" s="8"/>
      <c r="M9" s="8"/>
      <c r="N9" s="8"/>
      <c r="O9" s="8"/>
      <c r="P9" s="8"/>
      <c r="Q9" s="96"/>
      <c r="R9" s="8"/>
      <c r="S9" t="s">
        <v>81</v>
      </c>
      <c r="U9">
        <v>2013</v>
      </c>
      <c r="V9" s="97"/>
      <c r="W9" s="97"/>
      <c r="X9" s="97"/>
      <c r="Y9" s="97"/>
      <c r="Z9" s="97"/>
    </row>
    <row r="10" spans="1:26" x14ac:dyDescent="0.25">
      <c r="A10">
        <v>2014</v>
      </c>
      <c r="B10" s="1">
        <v>237435</v>
      </c>
      <c r="C10" s="1"/>
      <c r="D10" s="2">
        <v>2014</v>
      </c>
      <c r="E10" s="8">
        <v>0</v>
      </c>
      <c r="F10" s="8">
        <v>0</v>
      </c>
      <c r="G10" s="8">
        <v>1</v>
      </c>
      <c r="H10" s="8">
        <v>9</v>
      </c>
      <c r="I10" s="8">
        <v>2</v>
      </c>
      <c r="J10" s="8">
        <v>79</v>
      </c>
      <c r="K10" s="88">
        <v>1</v>
      </c>
      <c r="L10" s="88">
        <v>4</v>
      </c>
      <c r="M10" s="8">
        <v>0</v>
      </c>
      <c r="N10" s="8">
        <v>0</v>
      </c>
      <c r="O10" s="8">
        <f>SUM(E10,G10,I10,K10,M10)</f>
        <v>4</v>
      </c>
      <c r="P10" s="8">
        <f>SUM(F10,H10,J10,L10,N10)</f>
        <v>92</v>
      </c>
      <c r="Q10" s="96">
        <f t="shared" ref="Q10:Q18" si="0">P10/SUM(O10:P10)</f>
        <v>0.95833333333333337</v>
      </c>
      <c r="R10" s="8"/>
      <c r="U10">
        <v>2014</v>
      </c>
      <c r="V10" s="97">
        <v>0</v>
      </c>
      <c r="W10" s="97">
        <v>0.11428571428571428</v>
      </c>
      <c r="X10" s="97">
        <v>0.81904761904761902</v>
      </c>
      <c r="Y10" s="97">
        <v>6.6666666666666666E-2</v>
      </c>
      <c r="Z10" s="97">
        <v>0</v>
      </c>
    </row>
    <row r="11" spans="1:26" x14ac:dyDescent="0.25">
      <c r="A11">
        <v>2015</v>
      </c>
      <c r="B11" s="1">
        <v>219352</v>
      </c>
      <c r="C11" s="1"/>
      <c r="D11" s="2">
        <v>2015</v>
      </c>
      <c r="E11" s="8">
        <v>0</v>
      </c>
      <c r="F11" s="8">
        <v>0</v>
      </c>
      <c r="G11" s="8">
        <v>2</v>
      </c>
      <c r="H11" s="8">
        <v>21</v>
      </c>
      <c r="I11" s="8">
        <v>8</v>
      </c>
      <c r="J11" s="8">
        <v>26</v>
      </c>
      <c r="K11" s="8">
        <v>4</v>
      </c>
      <c r="L11" s="8">
        <v>26</v>
      </c>
      <c r="M11" s="89">
        <v>0</v>
      </c>
      <c r="N11" s="89">
        <v>0</v>
      </c>
      <c r="O11" s="9">
        <f t="shared" ref="O11:O18" si="1">SUM(E11,G11,I11,K11,M11)</f>
        <v>14</v>
      </c>
      <c r="P11" s="9">
        <f t="shared" ref="P11:P18" si="2">SUM(F11,H11,J11,L11,N11)</f>
        <v>73</v>
      </c>
      <c r="Q11" s="96">
        <f t="shared" si="0"/>
        <v>0.83908045977011492</v>
      </c>
      <c r="R11" s="9"/>
      <c r="U11">
        <v>2015</v>
      </c>
      <c r="V11" s="97">
        <v>0</v>
      </c>
      <c r="W11" s="97">
        <v>0.26666666666666666</v>
      </c>
      <c r="X11" s="97">
        <v>0.4</v>
      </c>
      <c r="Y11" s="97">
        <v>0.33333333333333331</v>
      </c>
      <c r="Z11" s="97">
        <v>0</v>
      </c>
    </row>
    <row r="12" spans="1:26" x14ac:dyDescent="0.25">
      <c r="A12">
        <v>2016</v>
      </c>
      <c r="B12" s="1">
        <v>542856</v>
      </c>
      <c r="C12" s="1"/>
      <c r="D12" s="2">
        <v>2016</v>
      </c>
      <c r="E12" s="89"/>
      <c r="F12" s="89"/>
      <c r="G12" s="8"/>
      <c r="H12" s="8"/>
      <c r="I12" s="8"/>
      <c r="J12" s="8"/>
      <c r="K12" s="8"/>
      <c r="L12" s="8"/>
      <c r="M12" s="8"/>
      <c r="N12" s="8"/>
      <c r="O12" s="9">
        <f t="shared" si="1"/>
        <v>0</v>
      </c>
      <c r="P12" s="9">
        <f t="shared" si="2"/>
        <v>0</v>
      </c>
      <c r="Q12" s="96"/>
      <c r="R12" s="9"/>
      <c r="S12" t="s">
        <v>81</v>
      </c>
      <c r="U12">
        <v>2016</v>
      </c>
      <c r="V12" s="97"/>
      <c r="W12" s="97"/>
      <c r="X12" s="97"/>
      <c r="Y12" s="97"/>
      <c r="Z12" s="97"/>
    </row>
    <row r="13" spans="1:26" x14ac:dyDescent="0.25">
      <c r="A13">
        <v>2017</v>
      </c>
      <c r="B13" s="1">
        <v>249899</v>
      </c>
      <c r="C13" s="1"/>
      <c r="D13" s="2">
        <v>2017</v>
      </c>
      <c r="E13" s="89">
        <v>0</v>
      </c>
      <c r="F13" s="89">
        <v>0</v>
      </c>
      <c r="G13" s="89">
        <v>5</v>
      </c>
      <c r="H13" s="89">
        <v>17</v>
      </c>
      <c r="I13" s="8">
        <v>13</v>
      </c>
      <c r="J13" s="8">
        <v>40</v>
      </c>
      <c r="K13" s="8">
        <v>3</v>
      </c>
      <c r="L13" s="8">
        <v>9</v>
      </c>
      <c r="M13" s="8">
        <v>0</v>
      </c>
      <c r="N13" s="8">
        <v>0</v>
      </c>
      <c r="O13" s="9">
        <f t="shared" si="1"/>
        <v>21</v>
      </c>
      <c r="P13" s="9">
        <f t="shared" si="2"/>
        <v>66</v>
      </c>
      <c r="Q13" s="96">
        <f t="shared" si="0"/>
        <v>0.75862068965517238</v>
      </c>
      <c r="R13" s="9"/>
      <c r="U13">
        <v>2017</v>
      </c>
      <c r="V13" s="97">
        <v>0</v>
      </c>
      <c r="W13" s="97">
        <v>0.26500000000000001</v>
      </c>
      <c r="X13" s="97">
        <v>0.56100000000000005</v>
      </c>
      <c r="Y13" s="97">
        <v>0.16300000000000001</v>
      </c>
      <c r="Z13" s="97">
        <v>0.01</v>
      </c>
    </row>
    <row r="14" spans="1:26" x14ac:dyDescent="0.25">
      <c r="A14">
        <v>2018</v>
      </c>
      <c r="B14" s="1">
        <v>66794</v>
      </c>
      <c r="C14" s="1"/>
      <c r="D14" s="2">
        <v>2018</v>
      </c>
      <c r="E14" s="89">
        <v>0</v>
      </c>
      <c r="F14" s="89">
        <v>1</v>
      </c>
      <c r="G14" s="89">
        <v>4</v>
      </c>
      <c r="H14" s="89">
        <v>9</v>
      </c>
      <c r="I14" s="89">
        <v>1</v>
      </c>
      <c r="J14" s="89">
        <v>2</v>
      </c>
      <c r="K14" s="8">
        <v>1</v>
      </c>
      <c r="L14" s="8">
        <v>4</v>
      </c>
      <c r="M14" s="8">
        <v>0</v>
      </c>
      <c r="N14" s="8">
        <v>0</v>
      </c>
      <c r="O14" s="9">
        <f t="shared" si="1"/>
        <v>6</v>
      </c>
      <c r="P14" s="9">
        <f t="shared" si="2"/>
        <v>16</v>
      </c>
      <c r="Q14" s="96">
        <f t="shared" si="0"/>
        <v>0.72727272727272729</v>
      </c>
      <c r="R14" s="9"/>
      <c r="U14">
        <v>2018</v>
      </c>
      <c r="V14" s="97">
        <v>4.2000000000000003E-2</v>
      </c>
      <c r="W14" s="97">
        <v>0.58299999999999996</v>
      </c>
      <c r="X14" s="97">
        <v>0.16700000000000001</v>
      </c>
      <c r="Y14" s="97">
        <v>0.20799999999999999</v>
      </c>
      <c r="Z14" s="97">
        <v>0</v>
      </c>
    </row>
    <row r="15" spans="1:26" x14ac:dyDescent="0.25">
      <c r="A15">
        <v>2019</v>
      </c>
      <c r="B15" s="1">
        <v>184597</v>
      </c>
      <c r="C15" s="1"/>
      <c r="D15" s="2">
        <v>2019</v>
      </c>
      <c r="E15" s="89">
        <v>0</v>
      </c>
      <c r="F15" s="89">
        <v>0</v>
      </c>
      <c r="G15" s="89">
        <v>1</v>
      </c>
      <c r="H15" s="89">
        <v>33</v>
      </c>
      <c r="I15" s="89">
        <v>19</v>
      </c>
      <c r="J15" s="89">
        <v>42</v>
      </c>
      <c r="K15" s="89">
        <v>0</v>
      </c>
      <c r="L15" s="89">
        <v>1</v>
      </c>
      <c r="M15" s="8">
        <v>0</v>
      </c>
      <c r="N15" s="8">
        <v>0</v>
      </c>
      <c r="O15" s="9">
        <f t="shared" si="1"/>
        <v>20</v>
      </c>
      <c r="P15" s="9">
        <f t="shared" si="2"/>
        <v>76</v>
      </c>
      <c r="Q15" s="96">
        <f t="shared" si="0"/>
        <v>0.79166666666666663</v>
      </c>
      <c r="R15" s="9"/>
      <c r="U15">
        <v>2019</v>
      </c>
      <c r="V15" s="97">
        <v>0</v>
      </c>
      <c r="W15" s="97">
        <v>0.371</v>
      </c>
      <c r="X15" s="97">
        <v>0.61</v>
      </c>
      <c r="Y15" s="97">
        <v>1.9E-2</v>
      </c>
      <c r="Z15" s="97">
        <v>0</v>
      </c>
    </row>
    <row r="16" spans="1:26" x14ac:dyDescent="0.25">
      <c r="A16">
        <v>2020</v>
      </c>
      <c r="B16" s="1">
        <v>422512</v>
      </c>
      <c r="C16" s="1"/>
      <c r="D16" s="2">
        <v>2020</v>
      </c>
      <c r="E16" s="8">
        <v>0</v>
      </c>
      <c r="F16" s="8">
        <v>0</v>
      </c>
      <c r="G16" s="89">
        <v>5</v>
      </c>
      <c r="H16" s="89">
        <v>23</v>
      </c>
      <c r="I16" s="89">
        <v>14</v>
      </c>
      <c r="J16" s="89">
        <v>150</v>
      </c>
      <c r="K16" s="89">
        <v>12</v>
      </c>
      <c r="L16" s="89">
        <v>14</v>
      </c>
      <c r="M16" s="89">
        <v>0</v>
      </c>
      <c r="N16" s="89">
        <v>0</v>
      </c>
      <c r="O16" s="9">
        <f t="shared" si="1"/>
        <v>31</v>
      </c>
      <c r="P16" s="9">
        <f t="shared" si="2"/>
        <v>187</v>
      </c>
      <c r="Q16" s="96">
        <f t="shared" si="0"/>
        <v>0.85779816513761464</v>
      </c>
      <c r="R16" s="9"/>
      <c r="U16">
        <v>2020</v>
      </c>
      <c r="V16" s="97">
        <v>0</v>
      </c>
      <c r="W16" s="97">
        <v>0.13100000000000001</v>
      </c>
      <c r="X16" s="97">
        <v>0.752</v>
      </c>
      <c r="Y16" s="97">
        <v>0.11700000000000001</v>
      </c>
      <c r="Z16" s="97">
        <v>0</v>
      </c>
    </row>
    <row r="17" spans="1:26" x14ac:dyDescent="0.25">
      <c r="A17">
        <v>2021</v>
      </c>
      <c r="B17" s="1">
        <v>500039</v>
      </c>
      <c r="C17" s="1"/>
      <c r="D17" s="2">
        <v>2021</v>
      </c>
      <c r="E17" s="8">
        <v>0</v>
      </c>
      <c r="F17" s="8">
        <v>0</v>
      </c>
      <c r="G17" s="8">
        <v>8</v>
      </c>
      <c r="H17" s="8">
        <v>10</v>
      </c>
      <c r="I17" s="89">
        <v>41</v>
      </c>
      <c r="J17" s="89">
        <v>140</v>
      </c>
      <c r="K17" s="89">
        <v>3</v>
      </c>
      <c r="L17" s="89">
        <v>17</v>
      </c>
      <c r="M17" s="89">
        <v>0</v>
      </c>
      <c r="N17" s="89">
        <v>0</v>
      </c>
      <c r="O17" s="9">
        <f t="shared" si="1"/>
        <v>52</v>
      </c>
      <c r="P17" s="9">
        <f t="shared" si="2"/>
        <v>167</v>
      </c>
      <c r="Q17" s="96">
        <f t="shared" si="0"/>
        <v>0.76255707762557079</v>
      </c>
      <c r="R17" s="9"/>
      <c r="U17">
        <v>2021</v>
      </c>
      <c r="V17" s="97">
        <v>0</v>
      </c>
      <c r="W17" s="97">
        <v>8.4000000000000005E-2</v>
      </c>
      <c r="X17" s="97">
        <v>0.81899999999999995</v>
      </c>
      <c r="Y17" s="97">
        <v>9.7000000000000003E-2</v>
      </c>
      <c r="Z17" s="97">
        <v>0</v>
      </c>
    </row>
    <row r="18" spans="1:26" x14ac:dyDescent="0.25">
      <c r="A18">
        <v>2022</v>
      </c>
      <c r="B18" s="1">
        <v>478224</v>
      </c>
      <c r="C18" s="1"/>
      <c r="D18" s="2">
        <v>2022</v>
      </c>
      <c r="E18" s="89">
        <v>0</v>
      </c>
      <c r="F18" s="89">
        <v>0</v>
      </c>
      <c r="G18" s="8">
        <v>42</v>
      </c>
      <c r="H18" s="8">
        <v>83</v>
      </c>
      <c r="I18" s="8">
        <v>42</v>
      </c>
      <c r="J18" s="8">
        <v>67</v>
      </c>
      <c r="K18" s="89">
        <v>18</v>
      </c>
      <c r="L18" s="89">
        <v>29</v>
      </c>
      <c r="M18" s="89">
        <v>1</v>
      </c>
      <c r="N18" s="89">
        <v>0</v>
      </c>
      <c r="O18" s="9">
        <f t="shared" si="1"/>
        <v>103</v>
      </c>
      <c r="P18" s="9">
        <f t="shared" si="2"/>
        <v>179</v>
      </c>
      <c r="Q18" s="96">
        <f t="shared" si="0"/>
        <v>0.63475177304964536</v>
      </c>
      <c r="R18" s="9"/>
      <c r="U18">
        <v>2022</v>
      </c>
      <c r="V18" s="97">
        <v>0</v>
      </c>
      <c r="W18" s="97">
        <v>0.42499999999999999</v>
      </c>
      <c r="X18" s="97">
        <v>0.40300000000000002</v>
      </c>
      <c r="Y18" s="97">
        <v>0.16800000000000001</v>
      </c>
      <c r="Z18" s="97">
        <v>3.2000000000000002E-3</v>
      </c>
    </row>
    <row r="20" spans="1:26" x14ac:dyDescent="0.25">
      <c r="K20" t="s">
        <v>84</v>
      </c>
    </row>
  </sheetData>
  <mergeCells count="2">
    <mergeCell ref="V2:Z2"/>
    <mergeCell ref="E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CE3F-2823-4239-823D-10FD7EA48E30}">
  <dimension ref="A1:BH33"/>
  <sheetViews>
    <sheetView tabSelected="1" zoomScale="85" zoomScaleNormal="85" workbookViewId="0">
      <pane xSplit="1" topLeftCell="B1" activePane="topRight" state="frozen"/>
      <selection pane="topRight" activeCell="F28" sqref="F28"/>
    </sheetView>
  </sheetViews>
  <sheetFormatPr defaultRowHeight="12.75" x14ac:dyDescent="0.2"/>
  <cols>
    <col min="1" max="1" width="6.42578125" style="10" customWidth="1"/>
    <col min="2" max="2" width="13" style="10" bestFit="1" customWidth="1"/>
    <col min="3" max="3" width="12.85546875" style="10" customWidth="1"/>
    <col min="4" max="8" width="9.42578125" style="10" bestFit="1" customWidth="1"/>
    <col min="9" max="9" width="8.28515625" style="10" customWidth="1"/>
    <col min="10" max="10" width="8" style="10" customWidth="1"/>
    <col min="11" max="13" width="8.28515625" style="10" customWidth="1"/>
    <col min="14" max="14" width="8.5703125" style="10" customWidth="1"/>
    <col min="15" max="15" width="8" style="10" customWidth="1"/>
    <col min="16" max="18" width="8.5703125" style="10" customWidth="1"/>
    <col min="19" max="23" width="16" style="10" hidden="1" customWidth="1"/>
    <col min="24" max="24" width="23.42578125" style="10" hidden="1" customWidth="1"/>
    <col min="25" max="27" width="7.28515625" style="10" hidden="1" customWidth="1"/>
    <col min="28" max="34" width="7.85546875" style="10" hidden="1" customWidth="1"/>
    <col min="35" max="44" width="10.5703125" style="10" hidden="1" customWidth="1"/>
    <col min="45" max="46" width="7.28515625" style="10" hidden="1" customWidth="1"/>
    <col min="47" max="47" width="8" style="10" hidden="1" customWidth="1"/>
    <col min="48" max="49" width="7.28515625" style="10" hidden="1" customWidth="1"/>
    <col min="50" max="53" width="11" style="10" customWidth="1"/>
    <col min="54" max="54" width="11.7109375" style="10" customWidth="1"/>
    <col min="55" max="56" width="11" style="10" bestFit="1" customWidth="1"/>
    <col min="57" max="57" width="11.42578125" style="10" bestFit="1" customWidth="1"/>
    <col min="58" max="58" width="11" style="10" bestFit="1" customWidth="1"/>
    <col min="59" max="59" width="11.7109375" style="10" bestFit="1" customWidth="1"/>
    <col min="60" max="16384" width="9.140625" style="10"/>
  </cols>
  <sheetData>
    <row r="1" spans="1:60" x14ac:dyDescent="0.2">
      <c r="A1" s="10" t="s">
        <v>17</v>
      </c>
    </row>
    <row r="3" spans="1:60" x14ac:dyDescent="0.2">
      <c r="J3" s="81" t="s">
        <v>73</v>
      </c>
      <c r="Y3" s="60" t="s">
        <v>75</v>
      </c>
      <c r="Z3" s="59"/>
      <c r="AA3" s="59"/>
      <c r="AB3" s="59"/>
      <c r="AC3" s="36"/>
      <c r="AD3" s="60" t="s">
        <v>75</v>
      </c>
      <c r="AI3" s="60" t="s">
        <v>76</v>
      </c>
      <c r="AJ3" s="59"/>
      <c r="AK3" s="59"/>
      <c r="AL3" s="59"/>
      <c r="AM3" s="59"/>
      <c r="AN3" s="59"/>
      <c r="AO3" s="59"/>
      <c r="AP3" s="59"/>
      <c r="AQ3" s="59"/>
      <c r="AR3" s="36"/>
      <c r="AZ3" s="11" t="s">
        <v>63</v>
      </c>
      <c r="BE3" s="12" t="s">
        <v>64</v>
      </c>
    </row>
    <row r="4" spans="1:60" s="13" customFormat="1" x14ac:dyDescent="0.2">
      <c r="A4" s="13" t="s">
        <v>65</v>
      </c>
      <c r="B4" s="13" t="s">
        <v>34</v>
      </c>
      <c r="C4" s="14" t="s">
        <v>66</v>
      </c>
      <c r="D4" s="15" t="s">
        <v>35</v>
      </c>
      <c r="E4" s="15" t="s">
        <v>39</v>
      </c>
      <c r="F4" s="15" t="s">
        <v>36</v>
      </c>
      <c r="G4" s="15" t="s">
        <v>37</v>
      </c>
      <c r="H4" s="16" t="s">
        <v>38</v>
      </c>
      <c r="I4" s="17" t="s">
        <v>35</v>
      </c>
      <c r="J4" s="15" t="s">
        <v>74</v>
      </c>
      <c r="K4" s="15" t="s">
        <v>36</v>
      </c>
      <c r="L4" s="15" t="s">
        <v>37</v>
      </c>
      <c r="M4" s="16" t="s">
        <v>38</v>
      </c>
      <c r="N4" s="17" t="s">
        <v>35</v>
      </c>
      <c r="O4" s="15" t="s">
        <v>39</v>
      </c>
      <c r="P4" s="15" t="s">
        <v>36</v>
      </c>
      <c r="Q4" s="15" t="s">
        <v>37</v>
      </c>
      <c r="R4" s="16" t="s">
        <v>38</v>
      </c>
      <c r="S4" s="17" t="s">
        <v>29</v>
      </c>
      <c r="T4" s="15" t="s">
        <v>30</v>
      </c>
      <c r="U4" s="15" t="s">
        <v>31</v>
      </c>
      <c r="V4" s="15" t="s">
        <v>32</v>
      </c>
      <c r="W4" s="16" t="s">
        <v>33</v>
      </c>
      <c r="X4" s="16" t="s">
        <v>18</v>
      </c>
      <c r="Y4" s="17" t="s">
        <v>24</v>
      </c>
      <c r="Z4" s="15" t="s">
        <v>25</v>
      </c>
      <c r="AA4" s="15" t="s">
        <v>26</v>
      </c>
      <c r="AB4" s="15" t="s">
        <v>27</v>
      </c>
      <c r="AC4" s="16" t="s">
        <v>28</v>
      </c>
      <c r="AD4" s="13" t="s">
        <v>19</v>
      </c>
      <c r="AE4" s="13" t="s">
        <v>20</v>
      </c>
      <c r="AF4" s="13" t="s">
        <v>21</v>
      </c>
      <c r="AG4" s="13" t="s">
        <v>22</v>
      </c>
      <c r="AH4" s="16" t="s">
        <v>23</v>
      </c>
      <c r="AI4" s="18" t="s">
        <v>47</v>
      </c>
      <c r="AJ4" s="19" t="s">
        <v>49</v>
      </c>
      <c r="AK4" s="18" t="s">
        <v>48</v>
      </c>
      <c r="AL4" s="19" t="s">
        <v>50</v>
      </c>
      <c r="AM4" s="18" t="s">
        <v>51</v>
      </c>
      <c r="AN4" s="19" t="s">
        <v>52</v>
      </c>
      <c r="AO4" s="18" t="s">
        <v>53</v>
      </c>
      <c r="AP4" s="19" t="s">
        <v>54</v>
      </c>
      <c r="AQ4" s="18" t="s">
        <v>55</v>
      </c>
      <c r="AR4" s="20" t="s">
        <v>56</v>
      </c>
      <c r="AS4" s="13" t="s">
        <v>68</v>
      </c>
      <c r="AT4" s="13" t="s">
        <v>69</v>
      </c>
      <c r="AU4" s="13" t="s">
        <v>72</v>
      </c>
      <c r="AV4" s="13" t="s">
        <v>70</v>
      </c>
      <c r="AW4" s="16" t="s">
        <v>71</v>
      </c>
      <c r="AX4" s="13" t="s">
        <v>58</v>
      </c>
      <c r="AY4" s="13" t="s">
        <v>59</v>
      </c>
      <c r="AZ4" s="13" t="s">
        <v>60</v>
      </c>
      <c r="BA4" s="13" t="s">
        <v>61</v>
      </c>
      <c r="BB4" s="16" t="s">
        <v>62</v>
      </c>
      <c r="BC4" s="13" t="s">
        <v>58</v>
      </c>
      <c r="BD4" s="13" t="s">
        <v>59</v>
      </c>
      <c r="BE4" s="13" t="s">
        <v>60</v>
      </c>
      <c r="BF4" s="13" t="s">
        <v>61</v>
      </c>
      <c r="BG4" s="16" t="s">
        <v>62</v>
      </c>
    </row>
    <row r="5" spans="1:60" x14ac:dyDescent="0.2">
      <c r="A5" s="21">
        <v>2008</v>
      </c>
      <c r="B5" s="21">
        <v>945650</v>
      </c>
      <c r="C5" s="22">
        <f>SUM(D5:H5)</f>
        <v>4204654</v>
      </c>
      <c r="D5" s="21">
        <v>985155</v>
      </c>
      <c r="E5" s="21">
        <v>373275</v>
      </c>
      <c r="F5" s="21">
        <v>1000000</v>
      </c>
      <c r="G5" s="21">
        <v>1074172</v>
      </c>
      <c r="H5" s="23">
        <v>772052</v>
      </c>
      <c r="I5" s="24">
        <f>D5/C$5</f>
        <v>0.23430108636762978</v>
      </c>
      <c r="J5" s="25">
        <f>E5/$C$5</f>
        <v>8.8776627042320241E-2</v>
      </c>
      <c r="K5" s="25">
        <f>F5/$C$5</f>
        <v>0.23783169792330117</v>
      </c>
      <c r="L5" s="25">
        <f>G5/$C$5</f>
        <v>0.25547215062166828</v>
      </c>
      <c r="M5" s="26">
        <f>H5/$C$5</f>
        <v>0.18361843804508052</v>
      </c>
      <c r="N5" s="27">
        <f>A5-2</f>
        <v>2006</v>
      </c>
      <c r="O5" s="28">
        <f>A5-3</f>
        <v>2005</v>
      </c>
      <c r="P5" s="28">
        <f>A5-4</f>
        <v>2004</v>
      </c>
      <c r="Q5" s="28">
        <f>A5-5</f>
        <v>2003</v>
      </c>
      <c r="R5" s="23">
        <f>A5-6</f>
        <v>2002</v>
      </c>
      <c r="S5" s="29" t="s">
        <v>40</v>
      </c>
      <c r="T5" s="30" t="s">
        <v>40</v>
      </c>
      <c r="U5" s="30" t="s">
        <v>40</v>
      </c>
      <c r="V5" s="30" t="s">
        <v>40</v>
      </c>
      <c r="W5" s="31" t="s">
        <v>40</v>
      </c>
      <c r="X5" s="23"/>
      <c r="Y5" s="27"/>
      <c r="Z5" s="28"/>
      <c r="AA5" s="28"/>
      <c r="AB5" s="28"/>
      <c r="AC5" s="23"/>
      <c r="AD5" s="32"/>
      <c r="AE5" s="32"/>
      <c r="AF5" s="32"/>
      <c r="AG5" s="32"/>
      <c r="AH5" s="26"/>
      <c r="AI5" s="33"/>
      <c r="AJ5" s="34"/>
      <c r="AK5" s="33"/>
      <c r="AL5" s="34"/>
      <c r="AM5" s="33"/>
      <c r="AN5" s="34"/>
      <c r="AO5" s="33"/>
      <c r="AP5" s="34"/>
      <c r="AQ5" s="33"/>
      <c r="AR5" s="35"/>
      <c r="AS5" s="33"/>
      <c r="AT5" s="21"/>
      <c r="AW5" s="36"/>
      <c r="AX5" s="33"/>
      <c r="AY5" s="21"/>
      <c r="BB5" s="36"/>
      <c r="BG5" s="36"/>
    </row>
    <row r="6" spans="1:60" x14ac:dyDescent="0.2">
      <c r="A6" s="21">
        <v>2009</v>
      </c>
      <c r="B6" s="28">
        <v>1038800</v>
      </c>
      <c r="C6" s="22">
        <f t="shared" ref="C6:C21" si="0">SUM(D6:H6)</f>
        <v>3951112</v>
      </c>
      <c r="D6" s="21">
        <v>518510</v>
      </c>
      <c r="E6" s="21">
        <v>985155</v>
      </c>
      <c r="F6" s="21">
        <v>373275</v>
      </c>
      <c r="G6" s="21">
        <v>1000000</v>
      </c>
      <c r="H6" s="23">
        <v>1074172</v>
      </c>
      <c r="I6" s="24">
        <f t="shared" ref="I6:I21" si="1">D6/C6</f>
        <v>0.13123141029664559</v>
      </c>
      <c r="J6" s="25">
        <f t="shared" ref="J6:J21" si="2">E6/C6</f>
        <v>0.24933613625733717</v>
      </c>
      <c r="K6" s="25">
        <f t="shared" ref="K6:K21" si="3">F6/C6</f>
        <v>9.4473403942991238E-2</v>
      </c>
      <c r="L6" s="25">
        <f t="shared" ref="L6:L21" si="4">G6/C6</f>
        <v>0.25309330639070721</v>
      </c>
      <c r="M6" s="26">
        <f t="shared" ref="M6:M21" si="5">H6/C6</f>
        <v>0.27186574311231876</v>
      </c>
      <c r="N6" s="27">
        <f>A6-2</f>
        <v>2007</v>
      </c>
      <c r="O6" s="28">
        <f>A6-3</f>
        <v>2006</v>
      </c>
      <c r="P6" s="28">
        <f>A6-4</f>
        <v>2005</v>
      </c>
      <c r="Q6" s="28">
        <f>A6-5</f>
        <v>2004</v>
      </c>
      <c r="R6" s="23">
        <f>A6-6</f>
        <v>2003</v>
      </c>
      <c r="S6" s="29" t="s">
        <v>40</v>
      </c>
      <c r="T6" s="30" t="s">
        <v>40</v>
      </c>
      <c r="U6" s="30" t="s">
        <v>40</v>
      </c>
      <c r="V6" s="30" t="s">
        <v>40</v>
      </c>
      <c r="W6" s="31" t="s">
        <v>40</v>
      </c>
      <c r="X6" s="23"/>
      <c r="Y6" s="27"/>
      <c r="Z6" s="28"/>
      <c r="AA6" s="28"/>
      <c r="AB6" s="28"/>
      <c r="AC6" s="23"/>
      <c r="AD6" s="32"/>
      <c r="AE6" s="32"/>
      <c r="AF6" s="32"/>
      <c r="AG6" s="32"/>
      <c r="AH6" s="26"/>
      <c r="AI6" s="33"/>
      <c r="AJ6" s="34"/>
      <c r="AK6" s="33"/>
      <c r="AL6" s="34"/>
      <c r="AM6" s="33"/>
      <c r="AN6" s="34"/>
      <c r="AO6" s="33"/>
      <c r="AP6" s="34"/>
      <c r="AQ6" s="33"/>
      <c r="AR6" s="35"/>
      <c r="AS6" s="37"/>
      <c r="AT6" s="37"/>
      <c r="AU6" s="38"/>
      <c r="AV6" s="38"/>
      <c r="AW6" s="39"/>
      <c r="AX6" s="33"/>
      <c r="AY6" s="21"/>
      <c r="BB6" s="36"/>
      <c r="BG6" s="36"/>
    </row>
    <row r="7" spans="1:60" x14ac:dyDescent="0.2">
      <c r="A7" s="21">
        <v>2010</v>
      </c>
      <c r="B7" s="28">
        <v>840000</v>
      </c>
      <c r="C7" s="22">
        <f t="shared" si="0"/>
        <v>3822590</v>
      </c>
      <c r="D7" s="21">
        <v>945650</v>
      </c>
      <c r="E7" s="21">
        <v>518510</v>
      </c>
      <c r="F7" s="21">
        <v>985155</v>
      </c>
      <c r="G7" s="21">
        <v>373275</v>
      </c>
      <c r="H7" s="23">
        <v>1000000</v>
      </c>
      <c r="I7" s="24">
        <f t="shared" si="1"/>
        <v>0.24738462665365629</v>
      </c>
      <c r="J7" s="25">
        <f t="shared" si="2"/>
        <v>0.13564363428984014</v>
      </c>
      <c r="K7" s="25">
        <f t="shared" si="3"/>
        <v>0.25771924271240182</v>
      </c>
      <c r="L7" s="25">
        <f t="shared" si="4"/>
        <v>9.7649761025901283E-2</v>
      </c>
      <c r="M7" s="26">
        <f t="shared" si="5"/>
        <v>0.2616027353182005</v>
      </c>
      <c r="N7" s="27">
        <f>A7-2</f>
        <v>2008</v>
      </c>
      <c r="O7" s="28">
        <f>A7-3</f>
        <v>2007</v>
      </c>
      <c r="P7" s="28">
        <f>A7-4</f>
        <v>2006</v>
      </c>
      <c r="Q7" s="28">
        <f>A7-5</f>
        <v>2005</v>
      </c>
      <c r="R7" s="23">
        <f>A7-6</f>
        <v>2004</v>
      </c>
      <c r="S7" s="29" t="s">
        <v>40</v>
      </c>
      <c r="T7" s="30" t="s">
        <v>40</v>
      </c>
      <c r="U7" s="30" t="s">
        <v>40</v>
      </c>
      <c r="V7" s="30" t="s">
        <v>40</v>
      </c>
      <c r="W7" s="31" t="s">
        <v>40</v>
      </c>
      <c r="X7" s="23"/>
      <c r="Y7" s="27"/>
      <c r="Z7" s="28"/>
      <c r="AA7" s="28"/>
      <c r="AB7" s="28"/>
      <c r="AC7" s="23"/>
      <c r="AD7" s="32"/>
      <c r="AE7" s="32"/>
      <c r="AF7" s="32"/>
      <c r="AG7" s="32"/>
      <c r="AH7" s="26"/>
      <c r="AI7" s="33"/>
      <c r="AJ7" s="34"/>
      <c r="AK7" s="33"/>
      <c r="AL7" s="34"/>
      <c r="AM7" s="33"/>
      <c r="AN7" s="34"/>
      <c r="AO7" s="33"/>
      <c r="AP7" s="34"/>
      <c r="AQ7" s="33"/>
      <c r="AR7" s="35"/>
      <c r="AS7" s="65"/>
      <c r="AT7" s="66"/>
      <c r="AU7" s="66"/>
      <c r="AV7" s="66"/>
      <c r="AW7" s="35"/>
      <c r="AX7" s="40"/>
      <c r="AY7" s="41"/>
      <c r="AZ7" s="42"/>
      <c r="BA7" s="42"/>
      <c r="BB7" s="43"/>
      <c r="BG7" s="36"/>
    </row>
    <row r="8" spans="1:60" x14ac:dyDescent="0.2">
      <c r="A8" s="21">
        <v>2011</v>
      </c>
      <c r="B8" s="28">
        <v>245000</v>
      </c>
      <c r="C8" s="22">
        <f t="shared" si="0"/>
        <v>3861390</v>
      </c>
      <c r="D8" s="44">
        <v>1038800</v>
      </c>
      <c r="E8" s="21">
        <v>945650</v>
      </c>
      <c r="F8" s="21">
        <v>518510</v>
      </c>
      <c r="G8" s="21">
        <v>985155</v>
      </c>
      <c r="H8" s="23">
        <v>373275</v>
      </c>
      <c r="I8" s="24">
        <f t="shared" si="1"/>
        <v>0.26902229508026904</v>
      </c>
      <c r="J8" s="25">
        <f t="shared" si="2"/>
        <v>0.24489885766524491</v>
      </c>
      <c r="K8" s="25">
        <f t="shared" si="3"/>
        <v>0.13428066059113428</v>
      </c>
      <c r="L8" s="25">
        <f t="shared" si="4"/>
        <v>0.25512962948575513</v>
      </c>
      <c r="M8" s="26">
        <f t="shared" si="5"/>
        <v>9.6668557177596662E-2</v>
      </c>
      <c r="N8" s="45">
        <f>A8-2</f>
        <v>2009</v>
      </c>
      <c r="O8" s="28">
        <f>A8-3</f>
        <v>2008</v>
      </c>
      <c r="P8" s="28">
        <f>A8-4</f>
        <v>2007</v>
      </c>
      <c r="Q8" s="28">
        <f>A8-5</f>
        <v>2006</v>
      </c>
      <c r="R8" s="23">
        <f>A8-6</f>
        <v>2005</v>
      </c>
      <c r="S8" s="29" t="s">
        <v>41</v>
      </c>
      <c r="T8" s="30" t="s">
        <v>40</v>
      </c>
      <c r="U8" s="30" t="s">
        <v>40</v>
      </c>
      <c r="V8" s="30" t="s">
        <v>40</v>
      </c>
      <c r="W8" s="31" t="s">
        <v>40</v>
      </c>
      <c r="X8" s="23"/>
      <c r="Y8" s="27"/>
      <c r="Z8" s="28"/>
      <c r="AA8" s="28"/>
      <c r="AB8" s="28"/>
      <c r="AC8" s="23"/>
      <c r="AD8" s="32"/>
      <c r="AE8" s="32"/>
      <c r="AF8" s="32"/>
      <c r="AG8" s="32"/>
      <c r="AH8" s="26"/>
      <c r="AI8" s="46"/>
      <c r="AJ8" s="47"/>
      <c r="AK8" s="33"/>
      <c r="AL8" s="34"/>
      <c r="AM8" s="33"/>
      <c r="AN8" s="34"/>
      <c r="AO8" s="33"/>
      <c r="AP8" s="34"/>
      <c r="AQ8" s="33"/>
      <c r="AR8" s="35"/>
      <c r="AS8" s="65"/>
      <c r="AT8" s="66"/>
      <c r="AU8" s="66"/>
      <c r="AV8" s="66"/>
      <c r="AW8" s="35"/>
      <c r="AX8" s="44"/>
      <c r="AY8" s="41"/>
      <c r="AZ8" s="41"/>
      <c r="BA8" s="41"/>
      <c r="BB8" s="31"/>
      <c r="BC8" s="21"/>
      <c r="BD8" s="21"/>
      <c r="BE8" s="21"/>
      <c r="BF8" s="21"/>
      <c r="BG8" s="23"/>
    </row>
    <row r="9" spans="1:60" x14ac:dyDescent="0.2">
      <c r="A9" s="21">
        <v>2012</v>
      </c>
      <c r="B9" s="28">
        <v>1031800</v>
      </c>
      <c r="C9" s="22">
        <f t="shared" si="0"/>
        <v>4328115</v>
      </c>
      <c r="D9" s="21">
        <v>840000</v>
      </c>
      <c r="E9" s="44">
        <v>1038800</v>
      </c>
      <c r="F9" s="21">
        <v>945650</v>
      </c>
      <c r="G9" s="21">
        <v>518510</v>
      </c>
      <c r="H9" s="23">
        <v>985155</v>
      </c>
      <c r="I9" s="24">
        <f t="shared" si="1"/>
        <v>0.19407987079825745</v>
      </c>
      <c r="J9" s="25">
        <f t="shared" si="2"/>
        <v>0.24001210688717836</v>
      </c>
      <c r="K9" s="25">
        <f t="shared" si="3"/>
        <v>0.21849003550044305</v>
      </c>
      <c r="L9" s="25">
        <f t="shared" si="4"/>
        <v>0.11980042119952912</v>
      </c>
      <c r="M9" s="26">
        <f t="shared" si="5"/>
        <v>0.22761756561459204</v>
      </c>
      <c r="N9" s="27">
        <f>A9-2</f>
        <v>2010</v>
      </c>
      <c r="O9" s="48">
        <f>A9-3</f>
        <v>2009</v>
      </c>
      <c r="P9" s="28">
        <f>A9-4</f>
        <v>2008</v>
      </c>
      <c r="Q9" s="28">
        <f>A9-5</f>
        <v>2007</v>
      </c>
      <c r="R9" s="23">
        <f>A9-6</f>
        <v>2006</v>
      </c>
      <c r="S9" s="29" t="s">
        <v>42</v>
      </c>
      <c r="T9" s="30" t="s">
        <v>41</v>
      </c>
      <c r="U9" s="30" t="s">
        <v>40</v>
      </c>
      <c r="V9" s="30" t="s">
        <v>40</v>
      </c>
      <c r="W9" s="31" t="s">
        <v>40</v>
      </c>
      <c r="X9" s="23">
        <v>102</v>
      </c>
      <c r="Y9" s="28">
        <v>3</v>
      </c>
      <c r="Z9" s="28">
        <v>10</v>
      </c>
      <c r="AA9" s="28">
        <v>34</v>
      </c>
      <c r="AB9" s="28">
        <v>40</v>
      </c>
      <c r="AC9" s="23">
        <v>1</v>
      </c>
      <c r="AD9" s="32">
        <v>3.4090909090909088E-2</v>
      </c>
      <c r="AE9" s="32">
        <v>0.11363636363636363</v>
      </c>
      <c r="AF9" s="32">
        <v>0.38636363636363635</v>
      </c>
      <c r="AG9" s="32">
        <v>0.45454545454545453</v>
      </c>
      <c r="AH9" s="26">
        <v>1.1363636363636364E-2</v>
      </c>
      <c r="AI9" s="33">
        <v>0</v>
      </c>
      <c r="AJ9" s="67">
        <v>3</v>
      </c>
      <c r="AK9" s="46">
        <v>0</v>
      </c>
      <c r="AL9" s="68">
        <v>10</v>
      </c>
      <c r="AM9" s="33">
        <v>0</v>
      </c>
      <c r="AN9" s="34">
        <v>31</v>
      </c>
      <c r="AO9" s="33">
        <v>0</v>
      </c>
      <c r="AP9" s="34">
        <v>38</v>
      </c>
      <c r="AQ9" s="33">
        <v>0</v>
      </c>
      <c r="AR9" s="35">
        <v>1</v>
      </c>
      <c r="AS9" s="65">
        <v>3</v>
      </c>
      <c r="AT9" s="66">
        <v>10</v>
      </c>
      <c r="AU9" s="66">
        <v>33</v>
      </c>
      <c r="AV9" s="66">
        <v>38</v>
      </c>
      <c r="AW9" s="35">
        <v>1</v>
      </c>
      <c r="AX9" s="69">
        <f>AI9/AS9</f>
        <v>0</v>
      </c>
      <c r="AY9" s="70">
        <f>AK9/AT9</f>
        <v>0</v>
      </c>
      <c r="AZ9" s="69">
        <f>AM9/AU9</f>
        <v>0</v>
      </c>
      <c r="BA9" s="69">
        <f>AO9/AV9</f>
        <v>0</v>
      </c>
      <c r="BB9" s="71">
        <f>AQ9/AW9</f>
        <v>0</v>
      </c>
      <c r="BC9" s="72">
        <f>AX9</f>
        <v>0</v>
      </c>
      <c r="BD9" s="73">
        <f>(SUM(BD11*E11+BD12*E12)/SUM(E11:E12))*(E9/E12)</f>
        <v>0.90091169057788012</v>
      </c>
      <c r="BE9" s="49">
        <f>AVERAGE(BE11,BE17)</f>
        <v>0.9053705067421014</v>
      </c>
      <c r="BF9" s="49">
        <f>SUM(BF12*G12+BF15*G15)/SUM(G12,G15)</f>
        <v>0.84831751509922348</v>
      </c>
      <c r="BG9" s="74">
        <f t="shared" ref="BG9" si="6">BB9</f>
        <v>0</v>
      </c>
      <c r="BH9" s="75"/>
    </row>
    <row r="10" spans="1:60" x14ac:dyDescent="0.2">
      <c r="A10" s="21">
        <v>2013</v>
      </c>
      <c r="B10" s="28">
        <v>319000</v>
      </c>
      <c r="C10" s="22">
        <f t="shared" si="0"/>
        <v>3587960</v>
      </c>
      <c r="D10" s="21">
        <v>245000</v>
      </c>
      <c r="E10" s="21">
        <v>840000</v>
      </c>
      <c r="F10" s="44">
        <v>1038800</v>
      </c>
      <c r="G10" s="21">
        <v>945650</v>
      </c>
      <c r="H10" s="23">
        <v>518510</v>
      </c>
      <c r="I10" s="24">
        <f t="shared" si="1"/>
        <v>6.828392735704969E-2</v>
      </c>
      <c r="J10" s="25">
        <f t="shared" si="2"/>
        <v>0.23411632236702751</v>
      </c>
      <c r="K10" s="25">
        <f t="shared" si="3"/>
        <v>0.28952385199389069</v>
      </c>
      <c r="L10" s="25">
        <f t="shared" si="4"/>
        <v>0.2635620241028328</v>
      </c>
      <c r="M10" s="26">
        <f t="shared" si="5"/>
        <v>0.14451387417919931</v>
      </c>
      <c r="N10" s="27">
        <f t="shared" ref="N10:N20" si="7">A10-2</f>
        <v>2011</v>
      </c>
      <c r="O10" s="30">
        <f t="shared" ref="O10:O20" si="8">A10-3</f>
        <v>2010</v>
      </c>
      <c r="P10" s="48">
        <f t="shared" ref="P10:P20" si="9">A10-4</f>
        <v>2009</v>
      </c>
      <c r="Q10" s="28">
        <f t="shared" ref="Q10:Q20" si="10">A10-5</f>
        <v>2008</v>
      </c>
      <c r="R10" s="23">
        <f t="shared" ref="R10:R20" si="11">A10-6</f>
        <v>2007</v>
      </c>
      <c r="S10" s="29" t="s">
        <v>43</v>
      </c>
      <c r="T10" s="30" t="s">
        <v>42</v>
      </c>
      <c r="U10" s="30" t="s">
        <v>41</v>
      </c>
      <c r="V10" s="30" t="s">
        <v>40</v>
      </c>
      <c r="W10" s="31" t="s">
        <v>40</v>
      </c>
      <c r="X10" s="23">
        <v>0</v>
      </c>
      <c r="Y10" s="21"/>
      <c r="Z10" s="21"/>
      <c r="AA10" s="21"/>
      <c r="AB10" s="21"/>
      <c r="AC10" s="23"/>
      <c r="AD10" s="32"/>
      <c r="AE10" s="32"/>
      <c r="AF10" s="32"/>
      <c r="AG10" s="32"/>
      <c r="AH10" s="26"/>
      <c r="AI10" s="33" t="s">
        <v>57</v>
      </c>
      <c r="AJ10" s="34" t="s">
        <v>57</v>
      </c>
      <c r="AK10" s="33" t="s">
        <v>57</v>
      </c>
      <c r="AL10" s="34" t="s">
        <v>57</v>
      </c>
      <c r="AM10" s="46" t="s">
        <v>57</v>
      </c>
      <c r="AN10" s="47" t="s">
        <v>57</v>
      </c>
      <c r="AO10" s="33" t="s">
        <v>57</v>
      </c>
      <c r="AP10" s="34" t="s">
        <v>57</v>
      </c>
      <c r="AQ10" s="33" t="s">
        <v>57</v>
      </c>
      <c r="AR10" s="35" t="s">
        <v>57</v>
      </c>
      <c r="AS10" s="65" t="s">
        <v>57</v>
      </c>
      <c r="AT10" s="66" t="s">
        <v>57</v>
      </c>
      <c r="AU10" s="66" t="s">
        <v>57</v>
      </c>
      <c r="AV10" s="66" t="s">
        <v>57</v>
      </c>
      <c r="AW10" s="35" t="s">
        <v>57</v>
      </c>
      <c r="AX10" s="69" t="s">
        <v>57</v>
      </c>
      <c r="AY10" s="69" t="s">
        <v>57</v>
      </c>
      <c r="AZ10" s="70" t="s">
        <v>57</v>
      </c>
      <c r="BA10" s="69" t="s">
        <v>57</v>
      </c>
      <c r="BB10" s="71" t="s">
        <v>57</v>
      </c>
      <c r="BC10" s="32" t="s">
        <v>57</v>
      </c>
      <c r="BD10" s="32" t="s">
        <v>57</v>
      </c>
      <c r="BE10" s="49" t="s">
        <v>57</v>
      </c>
      <c r="BF10" s="32" t="s">
        <v>57</v>
      </c>
      <c r="BG10" s="26" t="s">
        <v>57</v>
      </c>
      <c r="BH10" s="75"/>
    </row>
    <row r="11" spans="1:60" x14ac:dyDescent="0.2">
      <c r="A11" s="21">
        <v>2014</v>
      </c>
      <c r="B11" s="28">
        <v>237435</v>
      </c>
      <c r="C11" s="22">
        <f t="shared" si="0"/>
        <v>4101250</v>
      </c>
      <c r="D11" s="21">
        <v>1031800</v>
      </c>
      <c r="E11" s="76">
        <v>245000</v>
      </c>
      <c r="F11" s="21">
        <v>840000</v>
      </c>
      <c r="G11" s="44">
        <v>1038800</v>
      </c>
      <c r="H11" s="23">
        <v>945650</v>
      </c>
      <c r="I11" s="24">
        <f t="shared" si="1"/>
        <v>0.25158183480646146</v>
      </c>
      <c r="J11" s="25">
        <f t="shared" si="2"/>
        <v>5.973788479122219E-2</v>
      </c>
      <c r="K11" s="25">
        <f t="shared" si="3"/>
        <v>0.20481560499847606</v>
      </c>
      <c r="L11" s="25">
        <f t="shared" si="4"/>
        <v>0.25328863151478209</v>
      </c>
      <c r="M11" s="26">
        <f t="shared" si="5"/>
        <v>0.23057604388905822</v>
      </c>
      <c r="N11" s="27">
        <f t="shared" si="7"/>
        <v>2012</v>
      </c>
      <c r="O11" s="30">
        <f t="shared" si="8"/>
        <v>2011</v>
      </c>
      <c r="P11" s="28">
        <f t="shared" si="9"/>
        <v>2010</v>
      </c>
      <c r="Q11" s="48">
        <f t="shared" si="10"/>
        <v>2009</v>
      </c>
      <c r="R11" s="23">
        <f t="shared" si="11"/>
        <v>2008</v>
      </c>
      <c r="S11" s="29" t="s">
        <v>44</v>
      </c>
      <c r="T11" s="30" t="s">
        <v>43</v>
      </c>
      <c r="U11" s="30" t="s">
        <v>42</v>
      </c>
      <c r="V11" s="30" t="s">
        <v>41</v>
      </c>
      <c r="W11" s="31" t="s">
        <v>40</v>
      </c>
      <c r="X11" s="23">
        <v>131</v>
      </c>
      <c r="Y11" s="28"/>
      <c r="Z11" s="28">
        <v>12</v>
      </c>
      <c r="AA11" s="28">
        <v>86</v>
      </c>
      <c r="AB11" s="28">
        <v>7</v>
      </c>
      <c r="AC11" s="23"/>
      <c r="AD11" s="32">
        <v>0</v>
      </c>
      <c r="AE11" s="32">
        <v>0.11428571428571428</v>
      </c>
      <c r="AF11" s="32">
        <v>0.81904761904761902</v>
      </c>
      <c r="AG11" s="32">
        <v>6.6666666666666666E-2</v>
      </c>
      <c r="AH11" s="26">
        <v>0</v>
      </c>
      <c r="AI11" s="33">
        <v>0</v>
      </c>
      <c r="AJ11" s="34">
        <v>0</v>
      </c>
      <c r="AK11" s="33">
        <v>9</v>
      </c>
      <c r="AL11" s="34">
        <v>1</v>
      </c>
      <c r="AM11" s="33">
        <v>79</v>
      </c>
      <c r="AN11" s="34">
        <v>2</v>
      </c>
      <c r="AO11" s="46">
        <v>0</v>
      </c>
      <c r="AP11" s="47">
        <v>5</v>
      </c>
      <c r="AQ11" s="33">
        <v>0</v>
      </c>
      <c r="AR11" s="35">
        <v>0</v>
      </c>
      <c r="AS11" s="65">
        <v>0</v>
      </c>
      <c r="AT11" s="66">
        <v>11</v>
      </c>
      <c r="AU11" s="66">
        <v>85</v>
      </c>
      <c r="AV11" s="66">
        <v>7</v>
      </c>
      <c r="AW11" s="35">
        <v>0</v>
      </c>
      <c r="AX11" s="69" t="s">
        <v>67</v>
      </c>
      <c r="AY11" s="69">
        <f>AK11/AT11</f>
        <v>0.81818181818181823</v>
      </c>
      <c r="AZ11" s="69">
        <f t="shared" ref="AZ11:AZ19" si="12">AM11/AU11</f>
        <v>0.92941176470588238</v>
      </c>
      <c r="BA11" s="70">
        <f t="shared" ref="BA11:BA19" si="13">AO11/AV11</f>
        <v>0</v>
      </c>
      <c r="BB11" s="71" t="s">
        <v>67</v>
      </c>
      <c r="BC11" s="32" t="str">
        <f>AX11</f>
        <v>na</v>
      </c>
      <c r="BD11" s="32">
        <f t="shared" ref="BD11:BE12" si="14">AY11</f>
        <v>0.81818181818181823</v>
      </c>
      <c r="BE11" s="32">
        <f t="shared" si="14"/>
        <v>0.92941176470588238</v>
      </c>
      <c r="BF11" s="49">
        <f>SUM(BF12*G12+BF14*G14)/SUM(G12,G14)*(G11/G14)</f>
        <v>0.72455333991631565</v>
      </c>
      <c r="BG11" s="26" t="str">
        <f>BB11</f>
        <v>na</v>
      </c>
      <c r="BH11" s="75"/>
    </row>
    <row r="12" spans="1:60" x14ac:dyDescent="0.2">
      <c r="A12" s="21">
        <v>2015</v>
      </c>
      <c r="B12" s="28">
        <v>219352</v>
      </c>
      <c r="C12" s="22">
        <f t="shared" si="0"/>
        <v>3474600</v>
      </c>
      <c r="D12" s="21">
        <v>319000</v>
      </c>
      <c r="E12" s="76">
        <v>1031800</v>
      </c>
      <c r="F12" s="21">
        <v>245000</v>
      </c>
      <c r="G12" s="21">
        <v>840000</v>
      </c>
      <c r="H12" s="50">
        <v>1038800</v>
      </c>
      <c r="I12" s="24">
        <f t="shared" si="1"/>
        <v>9.1809129108386581E-2</v>
      </c>
      <c r="J12" s="25">
        <f t="shared" si="2"/>
        <v>0.29695504518505728</v>
      </c>
      <c r="K12" s="25">
        <f t="shared" si="3"/>
        <v>7.0511713578541413E-2</v>
      </c>
      <c r="L12" s="25">
        <f t="shared" si="4"/>
        <v>0.24175444655499914</v>
      </c>
      <c r="M12" s="26">
        <f t="shared" si="5"/>
        <v>0.29896966557301557</v>
      </c>
      <c r="N12" s="27">
        <f t="shared" si="7"/>
        <v>2013</v>
      </c>
      <c r="O12" s="30">
        <f t="shared" si="8"/>
        <v>2012</v>
      </c>
      <c r="P12" s="28">
        <f t="shared" si="9"/>
        <v>2011</v>
      </c>
      <c r="Q12" s="28">
        <f t="shared" si="10"/>
        <v>2010</v>
      </c>
      <c r="R12" s="50">
        <f t="shared" si="11"/>
        <v>2009</v>
      </c>
      <c r="S12" s="29" t="s">
        <v>44</v>
      </c>
      <c r="T12" s="30" t="s">
        <v>44</v>
      </c>
      <c r="U12" s="30" t="s">
        <v>43</v>
      </c>
      <c r="V12" s="30" t="s">
        <v>42</v>
      </c>
      <c r="W12" s="31" t="s">
        <v>41</v>
      </c>
      <c r="X12" s="23">
        <v>95</v>
      </c>
      <c r="Y12" s="28"/>
      <c r="Z12" s="28">
        <v>24</v>
      </c>
      <c r="AA12" s="28">
        <v>36</v>
      </c>
      <c r="AB12" s="28">
        <v>30</v>
      </c>
      <c r="AC12" s="23"/>
      <c r="AD12" s="32">
        <v>0</v>
      </c>
      <c r="AE12" s="32">
        <v>0.26666666666666666</v>
      </c>
      <c r="AF12" s="32">
        <v>0.4</v>
      </c>
      <c r="AG12" s="32">
        <v>0.33333333333333331</v>
      </c>
      <c r="AH12" s="26">
        <v>0</v>
      </c>
      <c r="AI12" s="33">
        <v>0</v>
      </c>
      <c r="AJ12" s="34">
        <v>0</v>
      </c>
      <c r="AK12" s="33">
        <v>21</v>
      </c>
      <c r="AL12" s="34">
        <v>2</v>
      </c>
      <c r="AM12" s="33">
        <v>26</v>
      </c>
      <c r="AN12" s="34">
        <v>8</v>
      </c>
      <c r="AO12" s="33">
        <v>26</v>
      </c>
      <c r="AP12" s="34">
        <v>4</v>
      </c>
      <c r="AQ12" s="46">
        <v>0</v>
      </c>
      <c r="AR12" s="52">
        <v>0</v>
      </c>
      <c r="AS12" s="65">
        <v>0</v>
      </c>
      <c r="AT12" s="66">
        <v>23</v>
      </c>
      <c r="AU12" s="66">
        <v>36</v>
      </c>
      <c r="AV12" s="66">
        <v>30</v>
      </c>
      <c r="AW12" s="35">
        <v>0</v>
      </c>
      <c r="AX12" s="69" t="s">
        <v>67</v>
      </c>
      <c r="AY12" s="69">
        <f t="shared" ref="AY12:AY20" si="15">AK12/AT12</f>
        <v>0.91304347826086951</v>
      </c>
      <c r="AZ12" s="69">
        <f>AM12/AU12</f>
        <v>0.72222222222222221</v>
      </c>
      <c r="BA12" s="69">
        <f t="shared" si="13"/>
        <v>0.8666666666666667</v>
      </c>
      <c r="BB12" s="77" t="s">
        <v>67</v>
      </c>
      <c r="BC12" s="32" t="str">
        <f>AX12</f>
        <v>na</v>
      </c>
      <c r="BD12" s="32">
        <f t="shared" si="14"/>
        <v>0.91304347826086951</v>
      </c>
      <c r="BE12" s="32">
        <f t="shared" si="14"/>
        <v>0.72222222222222221</v>
      </c>
      <c r="BF12" s="32">
        <f t="shared" ref="BF12" si="16">BA12</f>
        <v>0.8666666666666667</v>
      </c>
      <c r="BG12" s="74" t="s">
        <v>67</v>
      </c>
      <c r="BH12" s="75"/>
    </row>
    <row r="13" spans="1:60" x14ac:dyDescent="0.2">
      <c r="A13" s="21">
        <v>2016</v>
      </c>
      <c r="B13" s="28">
        <v>542856</v>
      </c>
      <c r="C13" s="22">
        <f t="shared" si="0"/>
        <v>2673235</v>
      </c>
      <c r="D13" s="44">
        <v>237435</v>
      </c>
      <c r="E13" s="21">
        <v>319000</v>
      </c>
      <c r="F13" s="21">
        <v>1031800</v>
      </c>
      <c r="G13" s="21">
        <v>245000</v>
      </c>
      <c r="H13" s="23">
        <v>840000</v>
      </c>
      <c r="I13" s="24">
        <f t="shared" si="1"/>
        <v>8.8819351834013849E-2</v>
      </c>
      <c r="J13" s="25">
        <f t="shared" si="2"/>
        <v>0.11933107265167485</v>
      </c>
      <c r="K13" s="25">
        <f t="shared" si="3"/>
        <v>0.38597429705955516</v>
      </c>
      <c r="L13" s="25">
        <f t="shared" si="4"/>
        <v>9.1649256425267514E-2</v>
      </c>
      <c r="M13" s="26">
        <f t="shared" si="5"/>
        <v>0.31422602202948863</v>
      </c>
      <c r="N13" s="45">
        <f t="shared" si="7"/>
        <v>2014</v>
      </c>
      <c r="O13" s="30">
        <f t="shared" si="8"/>
        <v>2013</v>
      </c>
      <c r="P13" s="28">
        <f t="shared" si="9"/>
        <v>2012</v>
      </c>
      <c r="Q13" s="28">
        <f t="shared" si="10"/>
        <v>2011</v>
      </c>
      <c r="R13" s="23">
        <f t="shared" si="11"/>
        <v>2010</v>
      </c>
      <c r="S13" s="29" t="s">
        <v>41</v>
      </c>
      <c r="T13" s="30" t="s">
        <v>44</v>
      </c>
      <c r="U13" s="30" t="s">
        <v>44</v>
      </c>
      <c r="V13" s="30" t="s">
        <v>43</v>
      </c>
      <c r="W13" s="31" t="s">
        <v>42</v>
      </c>
      <c r="X13" s="23">
        <v>0</v>
      </c>
      <c r="Y13" s="21"/>
      <c r="Z13" s="21"/>
      <c r="AA13" s="21"/>
      <c r="AB13" s="21"/>
      <c r="AC13" s="23"/>
      <c r="AD13" s="32"/>
      <c r="AE13" s="32"/>
      <c r="AF13" s="32"/>
      <c r="AG13" s="32"/>
      <c r="AH13" s="26"/>
      <c r="AI13" s="46" t="s">
        <v>57</v>
      </c>
      <c r="AJ13" s="47" t="s">
        <v>57</v>
      </c>
      <c r="AK13" s="33" t="s">
        <v>57</v>
      </c>
      <c r="AL13" s="34" t="s">
        <v>57</v>
      </c>
      <c r="AM13" s="33" t="s">
        <v>57</v>
      </c>
      <c r="AN13" s="34" t="s">
        <v>57</v>
      </c>
      <c r="AO13" s="33" t="s">
        <v>57</v>
      </c>
      <c r="AP13" s="34" t="s">
        <v>57</v>
      </c>
      <c r="AQ13" s="33" t="s">
        <v>57</v>
      </c>
      <c r="AR13" s="35" t="s">
        <v>57</v>
      </c>
      <c r="AS13" s="65" t="s">
        <v>57</v>
      </c>
      <c r="AT13" s="66" t="s">
        <v>57</v>
      </c>
      <c r="AU13" s="66" t="s">
        <v>57</v>
      </c>
      <c r="AV13" s="66" t="s">
        <v>57</v>
      </c>
      <c r="AW13" s="35" t="s">
        <v>57</v>
      </c>
      <c r="AX13" s="70" t="s">
        <v>57</v>
      </c>
      <c r="AY13" s="69" t="s">
        <v>57</v>
      </c>
      <c r="AZ13" s="69" t="s">
        <v>57</v>
      </c>
      <c r="BA13" s="69" t="s">
        <v>57</v>
      </c>
      <c r="BB13" s="71" t="s">
        <v>57</v>
      </c>
      <c r="BC13" s="49" t="s">
        <v>57</v>
      </c>
      <c r="BD13" s="32" t="s">
        <v>57</v>
      </c>
      <c r="BE13" s="32" t="s">
        <v>57</v>
      </c>
      <c r="BF13" s="32" t="s">
        <v>57</v>
      </c>
      <c r="BG13" s="26" t="s">
        <v>57</v>
      </c>
      <c r="BH13" s="75"/>
    </row>
    <row r="14" spans="1:60" x14ac:dyDescent="0.2">
      <c r="A14" s="21">
        <v>2017</v>
      </c>
      <c r="B14" s="28">
        <v>249899</v>
      </c>
      <c r="C14" s="22">
        <f t="shared" si="0"/>
        <v>2052587</v>
      </c>
      <c r="D14" s="44">
        <v>219352</v>
      </c>
      <c r="E14" s="44">
        <v>237435</v>
      </c>
      <c r="F14" s="21">
        <v>319000</v>
      </c>
      <c r="G14" s="21">
        <v>1031800</v>
      </c>
      <c r="H14" s="23">
        <v>245000</v>
      </c>
      <c r="I14" s="24">
        <f t="shared" si="1"/>
        <v>0.10686611578461717</v>
      </c>
      <c r="J14" s="25">
        <f t="shared" si="2"/>
        <v>0.11567597378332807</v>
      </c>
      <c r="K14" s="25">
        <f t="shared" si="3"/>
        <v>0.1554136316755392</v>
      </c>
      <c r="L14" s="25">
        <f t="shared" si="4"/>
        <v>0.50268271210915783</v>
      </c>
      <c r="M14" s="26">
        <f t="shared" si="5"/>
        <v>0.1193615666473577</v>
      </c>
      <c r="N14" s="45">
        <f t="shared" si="7"/>
        <v>2015</v>
      </c>
      <c r="O14" s="48">
        <f t="shared" si="8"/>
        <v>2014</v>
      </c>
      <c r="P14" s="28">
        <f t="shared" si="9"/>
        <v>2013</v>
      </c>
      <c r="Q14" s="28">
        <f t="shared" si="10"/>
        <v>2012</v>
      </c>
      <c r="R14" s="23">
        <f t="shared" si="11"/>
        <v>2011</v>
      </c>
      <c r="S14" s="29" t="s">
        <v>41</v>
      </c>
      <c r="T14" s="30" t="s">
        <v>41</v>
      </c>
      <c r="U14" s="30" t="s">
        <v>44</v>
      </c>
      <c r="V14" s="30" t="s">
        <v>44</v>
      </c>
      <c r="W14" s="31" t="s">
        <v>43</v>
      </c>
      <c r="X14" s="23">
        <v>102</v>
      </c>
      <c r="Y14" s="28"/>
      <c r="Z14" s="28">
        <v>26</v>
      </c>
      <c r="AA14" s="28">
        <v>55</v>
      </c>
      <c r="AB14" s="28">
        <v>16</v>
      </c>
      <c r="AC14" s="23">
        <v>1</v>
      </c>
      <c r="AD14" s="32">
        <v>0</v>
      </c>
      <c r="AE14" s="32">
        <v>0.26530612244897961</v>
      </c>
      <c r="AF14" s="32">
        <v>0.56122448979591832</v>
      </c>
      <c r="AG14" s="32">
        <v>0.16326530612244897</v>
      </c>
      <c r="AH14" s="26">
        <v>1.020408163265306E-2</v>
      </c>
      <c r="AI14" s="46">
        <v>0</v>
      </c>
      <c r="AJ14" s="47">
        <v>0</v>
      </c>
      <c r="AK14" s="46">
        <v>3</v>
      </c>
      <c r="AL14" s="47">
        <v>19</v>
      </c>
      <c r="AM14" s="33">
        <v>40</v>
      </c>
      <c r="AN14" s="34">
        <v>13</v>
      </c>
      <c r="AO14" s="33">
        <v>9</v>
      </c>
      <c r="AP14" s="34">
        <v>3</v>
      </c>
      <c r="AQ14" s="33">
        <v>0</v>
      </c>
      <c r="AR14" s="35">
        <v>0</v>
      </c>
      <c r="AS14" s="65">
        <v>0</v>
      </c>
      <c r="AT14" s="66">
        <v>25</v>
      </c>
      <c r="AU14" s="66">
        <v>53</v>
      </c>
      <c r="AV14" s="66">
        <v>15</v>
      </c>
      <c r="AW14" s="35">
        <v>1</v>
      </c>
      <c r="AX14" s="70" t="s">
        <v>67</v>
      </c>
      <c r="AY14" s="70">
        <f t="shared" si="15"/>
        <v>0.12</v>
      </c>
      <c r="AZ14" s="69">
        <f>AM14/AU14</f>
        <v>0.75471698113207553</v>
      </c>
      <c r="BA14" s="69">
        <f t="shared" si="13"/>
        <v>0.6</v>
      </c>
      <c r="BB14" s="71" t="s">
        <v>67</v>
      </c>
      <c r="BC14" s="49" t="s">
        <v>67</v>
      </c>
      <c r="BD14" s="73">
        <f>SUM(BD11*E11+BD19*E19)/SUM(E11,E19)*(E14/E11)</f>
        <v>0.71014088954534793</v>
      </c>
      <c r="BE14" s="32">
        <f>AZ14</f>
        <v>0.75471698113207553</v>
      </c>
      <c r="BF14" s="32">
        <f t="shared" ref="BF14:BG14" si="17">BA14</f>
        <v>0.6</v>
      </c>
      <c r="BG14" s="26" t="str">
        <f t="shared" si="17"/>
        <v>na</v>
      </c>
      <c r="BH14" s="75"/>
    </row>
    <row r="15" spans="1:60" x14ac:dyDescent="0.2">
      <c r="A15" s="21">
        <v>2018</v>
      </c>
      <c r="B15" s="28">
        <v>66794</v>
      </c>
      <c r="C15" s="22">
        <f t="shared" si="0"/>
        <v>2350443</v>
      </c>
      <c r="D15" s="44">
        <v>542856</v>
      </c>
      <c r="E15" s="44">
        <v>219352</v>
      </c>
      <c r="F15" s="44">
        <v>237435</v>
      </c>
      <c r="G15" s="21">
        <v>319000</v>
      </c>
      <c r="H15" s="23">
        <v>1031800</v>
      </c>
      <c r="I15" s="24">
        <f t="shared" si="1"/>
        <v>0.23095901496015858</v>
      </c>
      <c r="J15" s="25">
        <f t="shared" si="2"/>
        <v>9.3323684088488845E-2</v>
      </c>
      <c r="K15" s="25">
        <f t="shared" si="3"/>
        <v>0.10101712740959895</v>
      </c>
      <c r="L15" s="25">
        <f t="shared" si="4"/>
        <v>0.13571909635758025</v>
      </c>
      <c r="M15" s="26">
        <f t="shared" si="5"/>
        <v>0.43898107718417334</v>
      </c>
      <c r="N15" s="45">
        <f t="shared" si="7"/>
        <v>2016</v>
      </c>
      <c r="O15" s="48">
        <f t="shared" si="8"/>
        <v>2015</v>
      </c>
      <c r="P15" s="48">
        <f t="shared" si="9"/>
        <v>2014</v>
      </c>
      <c r="Q15" s="28">
        <f t="shared" si="10"/>
        <v>2013</v>
      </c>
      <c r="R15" s="23">
        <f t="shared" si="11"/>
        <v>2012</v>
      </c>
      <c r="S15" s="29" t="s">
        <v>41</v>
      </c>
      <c r="T15" s="30" t="s">
        <v>41</v>
      </c>
      <c r="U15" s="30" t="s">
        <v>41</v>
      </c>
      <c r="V15" s="30" t="s">
        <v>44</v>
      </c>
      <c r="W15" s="31" t="s">
        <v>44</v>
      </c>
      <c r="X15" s="23">
        <v>48</v>
      </c>
      <c r="Y15" s="28">
        <v>1</v>
      </c>
      <c r="Z15" s="28">
        <v>14</v>
      </c>
      <c r="AA15" s="28">
        <v>4</v>
      </c>
      <c r="AB15" s="28">
        <v>5</v>
      </c>
      <c r="AC15" s="23"/>
      <c r="AD15" s="32">
        <v>4.1666666666666664E-2</v>
      </c>
      <c r="AE15" s="32">
        <v>0.58333333333333337</v>
      </c>
      <c r="AF15" s="32">
        <v>0.16666666666666666</v>
      </c>
      <c r="AG15" s="32">
        <v>0.20833333333333334</v>
      </c>
      <c r="AH15" s="26">
        <v>0</v>
      </c>
      <c r="AI15" s="46">
        <v>0</v>
      </c>
      <c r="AJ15" s="47">
        <v>1</v>
      </c>
      <c r="AK15" s="46">
        <v>0</v>
      </c>
      <c r="AL15" s="47">
        <v>13</v>
      </c>
      <c r="AM15" s="46">
        <v>0</v>
      </c>
      <c r="AN15" s="47">
        <v>3</v>
      </c>
      <c r="AO15" s="33">
        <v>4</v>
      </c>
      <c r="AP15" s="34">
        <v>1</v>
      </c>
      <c r="AQ15" s="21">
        <v>0</v>
      </c>
      <c r="AR15" s="23">
        <v>0</v>
      </c>
      <c r="AS15" s="65">
        <v>1</v>
      </c>
      <c r="AT15" s="66">
        <v>13</v>
      </c>
      <c r="AU15" s="66">
        <v>3</v>
      </c>
      <c r="AV15" s="66">
        <v>5</v>
      </c>
      <c r="AW15" s="35">
        <v>0</v>
      </c>
      <c r="AX15" s="70">
        <f t="shared" ref="AX15" si="18">AI15/AS15</f>
        <v>0</v>
      </c>
      <c r="AY15" s="70">
        <f t="shared" si="15"/>
        <v>0</v>
      </c>
      <c r="AZ15" s="70">
        <f t="shared" si="12"/>
        <v>0</v>
      </c>
      <c r="BA15" s="69">
        <f t="shared" si="13"/>
        <v>0.8</v>
      </c>
      <c r="BB15" s="71" t="s">
        <v>67</v>
      </c>
      <c r="BC15" s="78">
        <v>1</v>
      </c>
      <c r="BD15" s="49">
        <f>SUM(BD11*E11+BD19*E19)/SUM(E11,E19)*(E15/E11)</f>
        <v>0.65605670774549307</v>
      </c>
      <c r="BE15" s="49">
        <f>SUM(BE12*F12+BE14*F14)/SUM(F12,F14)*(F15/F12)</f>
        <v>0.71773339407354009</v>
      </c>
      <c r="BF15" s="32">
        <f>BA15</f>
        <v>0.8</v>
      </c>
      <c r="BG15" s="26" t="str">
        <f>BB15</f>
        <v>na</v>
      </c>
      <c r="BH15" s="75"/>
    </row>
    <row r="16" spans="1:60" x14ac:dyDescent="0.2">
      <c r="A16" s="21">
        <v>2019</v>
      </c>
      <c r="B16" s="28">
        <v>184597</v>
      </c>
      <c r="C16" s="22">
        <f t="shared" si="0"/>
        <v>1568542</v>
      </c>
      <c r="D16" s="44">
        <v>249899</v>
      </c>
      <c r="E16" s="44">
        <v>542856</v>
      </c>
      <c r="F16" s="44">
        <v>219352</v>
      </c>
      <c r="G16" s="44">
        <v>237435</v>
      </c>
      <c r="H16" s="23">
        <v>319000</v>
      </c>
      <c r="I16" s="24">
        <f t="shared" si="1"/>
        <v>0.15931929141840001</v>
      </c>
      <c r="J16" s="25">
        <f t="shared" si="2"/>
        <v>0.34608955322841212</v>
      </c>
      <c r="K16" s="25">
        <f t="shared" si="3"/>
        <v>0.13984451803011969</v>
      </c>
      <c r="L16" s="25">
        <f t="shared" si="4"/>
        <v>0.15137305854736438</v>
      </c>
      <c r="M16" s="26">
        <f t="shared" si="5"/>
        <v>0.20337357877570381</v>
      </c>
      <c r="N16" s="45">
        <f t="shared" si="7"/>
        <v>2017</v>
      </c>
      <c r="O16" s="48">
        <f t="shared" si="8"/>
        <v>2016</v>
      </c>
      <c r="P16" s="48">
        <f t="shared" si="9"/>
        <v>2015</v>
      </c>
      <c r="Q16" s="48">
        <f t="shared" si="10"/>
        <v>2014</v>
      </c>
      <c r="R16" s="23">
        <f t="shared" si="11"/>
        <v>2013</v>
      </c>
      <c r="S16" s="29" t="s">
        <v>41</v>
      </c>
      <c r="T16" s="30" t="s">
        <v>41</v>
      </c>
      <c r="U16" s="30" t="s">
        <v>41</v>
      </c>
      <c r="V16" s="30" t="s">
        <v>41</v>
      </c>
      <c r="W16" s="31" t="s">
        <v>44</v>
      </c>
      <c r="X16" s="23">
        <v>161</v>
      </c>
      <c r="Y16" s="28"/>
      <c r="Z16" s="28">
        <v>39</v>
      </c>
      <c r="AA16" s="28">
        <v>64</v>
      </c>
      <c r="AB16" s="28">
        <v>2</v>
      </c>
      <c r="AC16" s="23"/>
      <c r="AD16" s="32">
        <v>0</v>
      </c>
      <c r="AE16" s="32">
        <v>0.37142857142857144</v>
      </c>
      <c r="AF16" s="32">
        <v>0.60952380952380958</v>
      </c>
      <c r="AG16" s="32">
        <v>1.9047619047619049E-2</v>
      </c>
      <c r="AH16" s="26">
        <v>0</v>
      </c>
      <c r="AI16" s="46">
        <v>0</v>
      </c>
      <c r="AJ16" s="47">
        <v>0</v>
      </c>
      <c r="AK16" s="79">
        <v>24</v>
      </c>
      <c r="AL16" s="47">
        <v>10</v>
      </c>
      <c r="AM16" s="79">
        <v>3</v>
      </c>
      <c r="AN16" s="47">
        <v>58</v>
      </c>
      <c r="AO16" s="46">
        <v>0</v>
      </c>
      <c r="AP16" s="47">
        <v>1</v>
      </c>
      <c r="AQ16" s="21">
        <v>0</v>
      </c>
      <c r="AR16" s="23">
        <v>0</v>
      </c>
      <c r="AS16" s="65">
        <v>0</v>
      </c>
      <c r="AT16" s="66">
        <v>37</v>
      </c>
      <c r="AU16" s="66">
        <v>62</v>
      </c>
      <c r="AV16" s="66">
        <v>1</v>
      </c>
      <c r="AW16" s="35">
        <v>0</v>
      </c>
      <c r="AX16" s="70" t="s">
        <v>67</v>
      </c>
      <c r="AY16" s="70">
        <f t="shared" si="15"/>
        <v>0.64864864864864868</v>
      </c>
      <c r="AZ16" s="70">
        <f t="shared" si="12"/>
        <v>4.8387096774193547E-2</v>
      </c>
      <c r="BA16" s="70">
        <f t="shared" si="13"/>
        <v>0</v>
      </c>
      <c r="BB16" s="71" t="s">
        <v>67</v>
      </c>
      <c r="BC16" s="49" t="s">
        <v>67</v>
      </c>
      <c r="BD16" s="49">
        <f>SUM(BD11*E11+BD12*E12)/SUM(E11,E12)</f>
        <v>0.89484085708341998</v>
      </c>
      <c r="BE16" s="49">
        <f>SUM(BE12*F12+BE14*F14)/SUM(F12,F14)*(F16/F12)</f>
        <v>0.6630709687148868</v>
      </c>
      <c r="BF16" s="49">
        <f>BF15*G16/G15</f>
        <v>0.59544827586206894</v>
      </c>
      <c r="BG16" s="26" t="str">
        <f>BB16</f>
        <v>na</v>
      </c>
      <c r="BH16" s="75"/>
    </row>
    <row r="17" spans="1:60" x14ac:dyDescent="0.2">
      <c r="A17" s="21">
        <v>2020</v>
      </c>
      <c r="B17" s="28">
        <v>422512</v>
      </c>
      <c r="C17" s="22">
        <f t="shared" si="0"/>
        <v>1316336</v>
      </c>
      <c r="D17" s="21">
        <v>66794</v>
      </c>
      <c r="E17" s="44">
        <v>249899</v>
      </c>
      <c r="F17" s="44">
        <v>542856</v>
      </c>
      <c r="G17" s="44">
        <v>219352</v>
      </c>
      <c r="H17" s="50">
        <v>237435</v>
      </c>
      <c r="I17" s="24">
        <f t="shared" si="1"/>
        <v>5.0742363651833572E-2</v>
      </c>
      <c r="J17" s="25">
        <f t="shared" si="2"/>
        <v>0.18984438623573313</v>
      </c>
      <c r="K17" s="25">
        <f t="shared" si="3"/>
        <v>0.41239926584094033</v>
      </c>
      <c r="L17" s="25">
        <f t="shared" si="4"/>
        <v>0.16663830511358801</v>
      </c>
      <c r="M17" s="26">
        <f t="shared" si="5"/>
        <v>0.18037567915790498</v>
      </c>
      <c r="N17" s="27">
        <f t="shared" si="7"/>
        <v>2018</v>
      </c>
      <c r="O17" s="48">
        <f t="shared" si="8"/>
        <v>2017</v>
      </c>
      <c r="P17" s="48">
        <f t="shared" si="9"/>
        <v>2016</v>
      </c>
      <c r="Q17" s="48">
        <f t="shared" si="10"/>
        <v>2015</v>
      </c>
      <c r="R17" s="50">
        <f t="shared" si="11"/>
        <v>2014</v>
      </c>
      <c r="S17" s="29" t="s">
        <v>44</v>
      </c>
      <c r="T17" s="30" t="s">
        <v>41</v>
      </c>
      <c r="U17" s="30" t="s">
        <v>41</v>
      </c>
      <c r="V17" s="30" t="s">
        <v>41</v>
      </c>
      <c r="W17" s="31" t="s">
        <v>41</v>
      </c>
      <c r="X17" s="23">
        <v>244</v>
      </c>
      <c r="Y17" s="28"/>
      <c r="Z17" s="28">
        <v>29</v>
      </c>
      <c r="AA17" s="28">
        <v>167</v>
      </c>
      <c r="AB17" s="28">
        <v>26</v>
      </c>
      <c r="AC17" s="23"/>
      <c r="AD17" s="32">
        <v>0</v>
      </c>
      <c r="AE17" s="32">
        <v>0.13063063063063063</v>
      </c>
      <c r="AF17" s="32">
        <v>0.75225225225225223</v>
      </c>
      <c r="AG17" s="32">
        <v>0.11711711711711711</v>
      </c>
      <c r="AH17" s="26">
        <v>0</v>
      </c>
      <c r="AI17" s="33">
        <v>0</v>
      </c>
      <c r="AJ17" s="34">
        <v>0</v>
      </c>
      <c r="AK17" s="46">
        <v>0</v>
      </c>
      <c r="AL17" s="47">
        <v>28</v>
      </c>
      <c r="AM17" s="46">
        <v>0</v>
      </c>
      <c r="AN17" s="47">
        <v>164</v>
      </c>
      <c r="AO17" s="46">
        <v>0</v>
      </c>
      <c r="AP17" s="47">
        <v>26</v>
      </c>
      <c r="AQ17" s="44">
        <v>0</v>
      </c>
      <c r="AR17" s="50">
        <v>0</v>
      </c>
      <c r="AS17" s="65">
        <v>0</v>
      </c>
      <c r="AT17" s="66">
        <v>29</v>
      </c>
      <c r="AU17" s="66">
        <v>166</v>
      </c>
      <c r="AV17" s="66">
        <v>26</v>
      </c>
      <c r="AW17" s="35">
        <v>0</v>
      </c>
      <c r="AX17" s="69" t="s">
        <v>67</v>
      </c>
      <c r="AY17" s="70">
        <f t="shared" si="15"/>
        <v>0</v>
      </c>
      <c r="AZ17" s="70">
        <f t="shared" si="12"/>
        <v>0</v>
      </c>
      <c r="BA17" s="70">
        <f t="shared" si="13"/>
        <v>0</v>
      </c>
      <c r="BB17" s="77" t="s">
        <v>67</v>
      </c>
      <c r="BC17" s="32" t="str">
        <f>AX17</f>
        <v>na</v>
      </c>
      <c r="BD17" s="49">
        <f>SUM(BD11*E11+BD19*E19)/SUM(E11,E19)*(E17/E11)</f>
        <v>0.74741928593717399</v>
      </c>
      <c r="BE17" s="49">
        <f>SUM(BE11*F11+BE14*F14)/SUM(F11,F14)</f>
        <v>0.88132924877832031</v>
      </c>
      <c r="BF17" s="49">
        <f>BF15*G17/G15</f>
        <v>0.55009905956112859</v>
      </c>
      <c r="BG17" s="74" t="s">
        <v>67</v>
      </c>
      <c r="BH17" s="75"/>
    </row>
    <row r="18" spans="1:60" x14ac:dyDescent="0.2">
      <c r="A18" s="21">
        <v>2021</v>
      </c>
      <c r="B18" s="28">
        <v>500039</v>
      </c>
      <c r="C18" s="22">
        <f t="shared" si="0"/>
        <v>1263498</v>
      </c>
      <c r="D18" s="21">
        <v>184597</v>
      </c>
      <c r="E18" s="76">
        <v>66794</v>
      </c>
      <c r="F18" s="44">
        <v>249899</v>
      </c>
      <c r="G18" s="44">
        <v>542856</v>
      </c>
      <c r="H18" s="50">
        <v>219352</v>
      </c>
      <c r="I18" s="24">
        <f t="shared" si="1"/>
        <v>0.14609995425398378</v>
      </c>
      <c r="J18" s="25">
        <f t="shared" si="2"/>
        <v>5.2864349607201593E-2</v>
      </c>
      <c r="K18" s="25">
        <f t="shared" si="3"/>
        <v>0.19778345513803741</v>
      </c>
      <c r="L18" s="25">
        <f t="shared" si="4"/>
        <v>0.42964531799812899</v>
      </c>
      <c r="M18" s="26">
        <f t="shared" si="5"/>
        <v>0.17360692300264821</v>
      </c>
      <c r="N18" s="27">
        <f t="shared" si="7"/>
        <v>2019</v>
      </c>
      <c r="O18" s="30">
        <f t="shared" si="8"/>
        <v>2018</v>
      </c>
      <c r="P18" s="48">
        <f t="shared" si="9"/>
        <v>2017</v>
      </c>
      <c r="Q18" s="48">
        <f t="shared" si="10"/>
        <v>2016</v>
      </c>
      <c r="R18" s="50">
        <f t="shared" si="11"/>
        <v>2015</v>
      </c>
      <c r="S18" s="29" t="s">
        <v>45</v>
      </c>
      <c r="T18" s="30" t="s">
        <v>44</v>
      </c>
      <c r="U18" s="30" t="s">
        <v>41</v>
      </c>
      <c r="V18" s="30" t="s">
        <v>41</v>
      </c>
      <c r="W18" s="31" t="s">
        <v>41</v>
      </c>
      <c r="X18" s="23">
        <v>299</v>
      </c>
      <c r="Y18" s="28"/>
      <c r="Z18" s="28">
        <v>19</v>
      </c>
      <c r="AA18" s="28">
        <v>185</v>
      </c>
      <c r="AB18" s="28">
        <v>22</v>
      </c>
      <c r="AC18" s="23"/>
      <c r="AD18" s="32">
        <v>0</v>
      </c>
      <c r="AE18" s="32">
        <v>8.4070796460176997E-2</v>
      </c>
      <c r="AF18" s="32">
        <v>0.81858407079646023</v>
      </c>
      <c r="AG18" s="32">
        <v>9.7345132743362831E-2</v>
      </c>
      <c r="AH18" s="26">
        <v>0</v>
      </c>
      <c r="AI18" s="33">
        <v>0</v>
      </c>
      <c r="AJ18" s="34">
        <v>0</v>
      </c>
      <c r="AK18" s="33">
        <v>10</v>
      </c>
      <c r="AL18" s="34">
        <f>7+1</f>
        <v>8</v>
      </c>
      <c r="AM18" s="46">
        <v>66</v>
      </c>
      <c r="AN18" s="47">
        <v>115</v>
      </c>
      <c r="AO18" s="46">
        <v>0</v>
      </c>
      <c r="AP18" s="47">
        <v>20</v>
      </c>
      <c r="AQ18" s="46">
        <v>0</v>
      </c>
      <c r="AR18" s="52">
        <v>0</v>
      </c>
      <c r="AS18" s="65">
        <v>0</v>
      </c>
      <c r="AT18" s="66">
        <v>19</v>
      </c>
      <c r="AU18" s="66">
        <v>182</v>
      </c>
      <c r="AV18" s="66">
        <v>21</v>
      </c>
      <c r="AW18" s="35">
        <v>0</v>
      </c>
      <c r="AX18" s="69" t="s">
        <v>67</v>
      </c>
      <c r="AY18" s="69">
        <f t="shared" si="15"/>
        <v>0.52631578947368418</v>
      </c>
      <c r="AZ18" s="70">
        <f t="shared" si="12"/>
        <v>0.36263736263736263</v>
      </c>
      <c r="BA18" s="70">
        <f t="shared" si="13"/>
        <v>0</v>
      </c>
      <c r="BB18" s="77" t="s">
        <v>67</v>
      </c>
      <c r="BC18" s="32" t="str">
        <f>AX18</f>
        <v>na</v>
      </c>
      <c r="BD18" s="32">
        <f>AY18</f>
        <v>0.52631578947368418</v>
      </c>
      <c r="BE18" s="49">
        <f>SUM(BE12*F12+BE14*F14)/SUM(F12,F14)*(F18/F12)</f>
        <v>0.75541035418360225</v>
      </c>
      <c r="BF18" s="49">
        <f>SUM(BF12*G12+BF15*G15)/SUM(G12,G15)</f>
        <v>0.84831751509922348</v>
      </c>
      <c r="BG18" s="74" t="s">
        <v>67</v>
      </c>
      <c r="BH18" s="75"/>
    </row>
    <row r="19" spans="1:60" x14ac:dyDescent="0.2">
      <c r="A19" s="21">
        <v>2022</v>
      </c>
      <c r="B19" s="28">
        <v>478224</v>
      </c>
      <c r="C19" s="22">
        <f t="shared" si="0"/>
        <v>1466658</v>
      </c>
      <c r="D19" s="44">
        <v>422512</v>
      </c>
      <c r="E19" s="76">
        <v>184597</v>
      </c>
      <c r="F19" s="21">
        <v>66794</v>
      </c>
      <c r="G19" s="44">
        <v>249899</v>
      </c>
      <c r="H19" s="50">
        <v>542856</v>
      </c>
      <c r="I19" s="24">
        <f t="shared" si="1"/>
        <v>0.28807806591584406</v>
      </c>
      <c r="J19" s="25">
        <f t="shared" si="2"/>
        <v>0.12586233464106833</v>
      </c>
      <c r="K19" s="25">
        <f t="shared" si="3"/>
        <v>4.5541632746011682E-2</v>
      </c>
      <c r="L19" s="25">
        <f t="shared" si="4"/>
        <v>0.17038668864861475</v>
      </c>
      <c r="M19" s="26">
        <f t="shared" si="5"/>
        <v>0.37013127804846119</v>
      </c>
      <c r="N19" s="45">
        <f t="shared" si="7"/>
        <v>2020</v>
      </c>
      <c r="O19" s="30">
        <f t="shared" si="8"/>
        <v>2019</v>
      </c>
      <c r="P19" s="28">
        <f t="shared" si="9"/>
        <v>2018</v>
      </c>
      <c r="Q19" s="48">
        <f t="shared" si="10"/>
        <v>2017</v>
      </c>
      <c r="R19" s="50">
        <f t="shared" si="11"/>
        <v>2016</v>
      </c>
      <c r="S19" s="29" t="s">
        <v>41</v>
      </c>
      <c r="T19" s="30" t="s">
        <v>45</v>
      </c>
      <c r="U19" s="30" t="s">
        <v>44</v>
      </c>
      <c r="V19" s="30" t="s">
        <v>41</v>
      </c>
      <c r="W19" s="31" t="s">
        <v>41</v>
      </c>
      <c r="X19" s="23">
        <v>342</v>
      </c>
      <c r="Y19" s="28"/>
      <c r="Z19" s="28">
        <v>134</v>
      </c>
      <c r="AA19" s="28">
        <v>127</v>
      </c>
      <c r="AB19" s="28">
        <v>53</v>
      </c>
      <c r="AC19" s="23">
        <v>1</v>
      </c>
      <c r="AD19" s="32">
        <v>0</v>
      </c>
      <c r="AE19" s="32">
        <v>0.42539682539682538</v>
      </c>
      <c r="AF19" s="32">
        <v>0.40317460317460319</v>
      </c>
      <c r="AG19" s="32">
        <v>0.16825396825396827</v>
      </c>
      <c r="AH19" s="80">
        <v>3.1746031746031746E-3</v>
      </c>
      <c r="AI19" s="46">
        <v>0</v>
      </c>
      <c r="AJ19" s="47">
        <v>0</v>
      </c>
      <c r="AK19" s="33">
        <f>65+6+12</f>
        <v>83</v>
      </c>
      <c r="AL19" s="34">
        <f>42</f>
        <v>42</v>
      </c>
      <c r="AM19" s="33">
        <f>66+1</f>
        <v>67</v>
      </c>
      <c r="AN19" s="34">
        <f>37+5</f>
        <v>42</v>
      </c>
      <c r="AO19" s="46">
        <f>9+2</f>
        <v>11</v>
      </c>
      <c r="AP19" s="47">
        <v>36</v>
      </c>
      <c r="AQ19" s="46">
        <v>0</v>
      </c>
      <c r="AR19" s="52">
        <v>1</v>
      </c>
      <c r="AS19" s="65">
        <v>0</v>
      </c>
      <c r="AT19" s="66">
        <v>134</v>
      </c>
      <c r="AU19" s="66">
        <v>127</v>
      </c>
      <c r="AV19" s="66">
        <v>52</v>
      </c>
      <c r="AW19" s="35">
        <v>1</v>
      </c>
      <c r="AX19" s="70" t="s">
        <v>67</v>
      </c>
      <c r="AY19" s="69">
        <f t="shared" si="15"/>
        <v>0.61940298507462688</v>
      </c>
      <c r="AZ19" s="69">
        <f t="shared" si="12"/>
        <v>0.52755905511811019</v>
      </c>
      <c r="BA19" s="70">
        <f t="shared" si="13"/>
        <v>0.21153846153846154</v>
      </c>
      <c r="BB19" s="77">
        <f t="shared" ref="BB19" si="19">AQ19/AW19</f>
        <v>0</v>
      </c>
      <c r="BC19" s="49" t="s">
        <v>67</v>
      </c>
      <c r="BD19" s="32">
        <f>AY19</f>
        <v>0.61940298507462688</v>
      </c>
      <c r="BE19" s="32">
        <f>AZ19</f>
        <v>0.52755905511811019</v>
      </c>
      <c r="BF19" s="49">
        <f>BF15*G19/G15</f>
        <v>0.62670595611285274</v>
      </c>
      <c r="BG19" s="74">
        <v>0</v>
      </c>
      <c r="BH19" s="75"/>
    </row>
    <row r="20" spans="1:60" x14ac:dyDescent="0.2">
      <c r="A20" s="21">
        <v>2023</v>
      </c>
      <c r="B20" s="28"/>
      <c r="C20" s="22">
        <f t="shared" si="0"/>
        <v>1423841</v>
      </c>
      <c r="D20" s="11">
        <v>500039</v>
      </c>
      <c r="E20" s="44">
        <v>422512</v>
      </c>
      <c r="F20" s="21">
        <v>184597</v>
      </c>
      <c r="G20" s="21">
        <v>66794</v>
      </c>
      <c r="H20" s="50">
        <v>249899</v>
      </c>
      <c r="I20" s="24">
        <f t="shared" si="1"/>
        <v>0.35119019609633378</v>
      </c>
      <c r="J20" s="25">
        <f t="shared" si="2"/>
        <v>0.29674099846822782</v>
      </c>
      <c r="K20" s="25">
        <f t="shared" si="3"/>
        <v>0.12964720077592934</v>
      </c>
      <c r="L20" s="25">
        <f t="shared" si="4"/>
        <v>4.6911136847442934E-2</v>
      </c>
      <c r="M20" s="26">
        <f t="shared" si="5"/>
        <v>0.17551046781206608</v>
      </c>
      <c r="N20" s="51">
        <f t="shared" si="7"/>
        <v>2021</v>
      </c>
      <c r="O20" s="48">
        <f t="shared" si="8"/>
        <v>2020</v>
      </c>
      <c r="P20" s="28">
        <f t="shared" si="9"/>
        <v>2019</v>
      </c>
      <c r="Q20" s="28">
        <f t="shared" si="10"/>
        <v>2018</v>
      </c>
      <c r="R20" s="50">
        <f t="shared" si="11"/>
        <v>2017</v>
      </c>
      <c r="S20" s="29" t="s">
        <v>46</v>
      </c>
      <c r="T20" s="30" t="s">
        <v>41</v>
      </c>
      <c r="U20" s="30" t="s">
        <v>45</v>
      </c>
      <c r="V20" s="30" t="s">
        <v>44</v>
      </c>
      <c r="W20" s="31" t="s">
        <v>41</v>
      </c>
      <c r="X20" s="23">
        <v>347</v>
      </c>
      <c r="Y20" s="28"/>
      <c r="Z20" s="28">
        <v>118</v>
      </c>
      <c r="AA20" s="28">
        <v>234</v>
      </c>
      <c r="AB20" s="28">
        <v>13</v>
      </c>
      <c r="AC20" s="23"/>
      <c r="AD20" s="32">
        <v>0</v>
      </c>
      <c r="AE20" s="32">
        <v>0.31123919308357351</v>
      </c>
      <c r="AF20" s="32">
        <v>0.65129682997118155</v>
      </c>
      <c r="AG20" s="32">
        <v>3.7463976945244955E-2</v>
      </c>
      <c r="AH20" s="26">
        <v>0</v>
      </c>
      <c r="AI20" s="33">
        <v>0</v>
      </c>
      <c r="AJ20" s="34">
        <v>0</v>
      </c>
      <c r="AK20" s="46">
        <v>2</v>
      </c>
      <c r="AL20" s="47">
        <v>40</v>
      </c>
      <c r="AM20" s="33">
        <v>122</v>
      </c>
      <c r="AN20" s="34">
        <v>6</v>
      </c>
      <c r="AO20" s="33">
        <v>0</v>
      </c>
      <c r="AP20" s="34">
        <v>2</v>
      </c>
      <c r="AQ20" s="46">
        <v>0</v>
      </c>
      <c r="AR20" s="52">
        <v>0</v>
      </c>
      <c r="AS20" s="65">
        <v>0</v>
      </c>
      <c r="AT20" s="66">
        <v>42</v>
      </c>
      <c r="AU20" s="66">
        <v>129</v>
      </c>
      <c r="AV20" s="66">
        <v>2</v>
      </c>
      <c r="AW20" s="35">
        <v>0</v>
      </c>
      <c r="AX20" s="40" t="s">
        <v>67</v>
      </c>
      <c r="AY20" s="70">
        <f t="shared" si="15"/>
        <v>4.7619047619047616E-2</v>
      </c>
      <c r="AZ20" s="69">
        <f t="shared" ref="AZ20" si="20">AM20/AU20</f>
        <v>0.94573643410852715</v>
      </c>
      <c r="BA20" s="69">
        <f t="shared" ref="BA20" si="21">AO20/AV20</f>
        <v>0</v>
      </c>
      <c r="BB20" s="77" t="s">
        <v>67</v>
      </c>
      <c r="BC20" s="32" t="s">
        <v>67</v>
      </c>
      <c r="BD20" s="49">
        <f>AVERAGE(BD14:BD17,BD11)</f>
        <v>0.76532791169865066</v>
      </c>
      <c r="BE20" s="32">
        <f>AZ20</f>
        <v>0.94573643410852715</v>
      </c>
      <c r="BF20" s="32">
        <f>BF16*G20/G16</f>
        <v>0.16750846394984323</v>
      </c>
      <c r="BG20" s="74" t="s">
        <v>67</v>
      </c>
      <c r="BH20" s="75"/>
    </row>
    <row r="21" spans="1:60" x14ac:dyDescent="0.2">
      <c r="A21" s="21">
        <v>2024</v>
      </c>
      <c r="B21" s="28"/>
      <c r="C21" s="22">
        <f t="shared" si="0"/>
        <v>1652166</v>
      </c>
      <c r="D21" s="21">
        <v>478224</v>
      </c>
      <c r="E21" s="11">
        <v>500039</v>
      </c>
      <c r="F21" s="44">
        <v>422512</v>
      </c>
      <c r="G21" s="21">
        <v>184597</v>
      </c>
      <c r="H21" s="23">
        <v>66794</v>
      </c>
      <c r="I21" s="24">
        <f t="shared" si="1"/>
        <v>0.28945275474740434</v>
      </c>
      <c r="J21" s="25">
        <f t="shared" si="2"/>
        <v>0.30265663377650914</v>
      </c>
      <c r="K21" s="25">
        <f t="shared" si="3"/>
        <v>0.25573217219092997</v>
      </c>
      <c r="L21" s="25">
        <f t="shared" si="4"/>
        <v>0.11173029828721812</v>
      </c>
      <c r="M21" s="26">
        <f t="shared" si="5"/>
        <v>4.0428140997938462E-2</v>
      </c>
      <c r="N21" s="27"/>
      <c r="O21" s="28"/>
      <c r="P21" s="48">
        <v>2020</v>
      </c>
      <c r="Q21" s="28"/>
      <c r="R21" s="23"/>
      <c r="S21" s="29"/>
      <c r="T21" s="30" t="s">
        <v>46</v>
      </c>
      <c r="U21" s="30" t="s">
        <v>41</v>
      </c>
      <c r="V21" s="30" t="s">
        <v>45</v>
      </c>
      <c r="W21" s="31" t="s">
        <v>44</v>
      </c>
      <c r="X21" s="23"/>
      <c r="Y21" s="28"/>
      <c r="Z21" s="28"/>
      <c r="AA21" s="28"/>
      <c r="AB21" s="28"/>
      <c r="AC21" s="23"/>
      <c r="AD21" s="32"/>
      <c r="AE21" s="32"/>
      <c r="AF21" s="32"/>
      <c r="AG21" s="32"/>
      <c r="AH21" s="26"/>
      <c r="AI21" s="33"/>
      <c r="AJ21" s="34"/>
      <c r="AK21" s="33"/>
      <c r="AL21" s="34"/>
      <c r="AM21" s="46"/>
      <c r="AN21" s="47"/>
      <c r="AO21" s="33"/>
      <c r="AP21" s="34"/>
      <c r="AQ21" s="33"/>
      <c r="AR21" s="35"/>
      <c r="AS21" s="65"/>
      <c r="AT21" s="66"/>
      <c r="AU21" s="66"/>
      <c r="AV21" s="66"/>
      <c r="AW21" s="35"/>
      <c r="AX21" s="21"/>
      <c r="AY21" s="21"/>
      <c r="AZ21" s="54"/>
      <c r="BB21" s="36"/>
      <c r="BC21" s="32"/>
      <c r="BD21" s="32"/>
      <c r="BE21" s="32"/>
      <c r="BF21" s="32"/>
      <c r="BG21" s="26"/>
    </row>
    <row r="22" spans="1:60" x14ac:dyDescent="0.2">
      <c r="A22" s="21">
        <v>2025</v>
      </c>
      <c r="B22" s="28"/>
      <c r="C22" s="22"/>
      <c r="D22" s="28"/>
      <c r="E22" s="21">
        <v>478224</v>
      </c>
      <c r="F22" s="11">
        <v>500039</v>
      </c>
      <c r="G22" s="44">
        <v>422512</v>
      </c>
      <c r="H22" s="23">
        <v>184597</v>
      </c>
      <c r="I22" s="24"/>
      <c r="J22" s="25"/>
      <c r="K22" s="55"/>
      <c r="L22" s="25"/>
      <c r="M22" s="23"/>
      <c r="N22" s="27"/>
      <c r="O22" s="28"/>
      <c r="P22" s="28"/>
      <c r="Q22" s="48">
        <v>2020</v>
      </c>
      <c r="R22" s="23"/>
      <c r="S22" s="29"/>
      <c r="T22" s="30"/>
      <c r="U22" s="30" t="s">
        <v>46</v>
      </c>
      <c r="V22" s="30" t="s">
        <v>41</v>
      </c>
      <c r="W22" s="31" t="s">
        <v>45</v>
      </c>
      <c r="X22" s="23"/>
      <c r="Y22" s="28"/>
      <c r="Z22" s="28"/>
      <c r="AA22" s="28"/>
      <c r="AB22" s="28"/>
      <c r="AC22" s="23"/>
      <c r="AD22" s="32"/>
      <c r="AE22" s="32"/>
      <c r="AF22" s="32"/>
      <c r="AG22" s="32"/>
      <c r="AH22" s="26"/>
      <c r="AI22" s="33"/>
      <c r="AJ22" s="34"/>
      <c r="AK22" s="33"/>
      <c r="AL22" s="34"/>
      <c r="AM22" s="33"/>
      <c r="AN22" s="34"/>
      <c r="AO22" s="46"/>
      <c r="AP22" s="47"/>
      <c r="AQ22" s="33"/>
      <c r="AR22" s="35"/>
      <c r="AS22" s="65"/>
      <c r="AT22" s="66"/>
      <c r="AU22" s="66"/>
      <c r="AV22" s="66"/>
      <c r="AW22" s="35"/>
      <c r="AX22" s="21"/>
      <c r="AY22" s="21"/>
      <c r="BA22" s="54"/>
      <c r="BB22" s="36"/>
      <c r="BC22" s="32"/>
      <c r="BD22" s="32"/>
      <c r="BE22" s="32"/>
      <c r="BF22" s="32"/>
      <c r="BG22" s="26"/>
    </row>
    <row r="23" spans="1:60" x14ac:dyDescent="0.2">
      <c r="A23" s="21">
        <v>2026</v>
      </c>
      <c r="B23" s="28"/>
      <c r="C23" s="22"/>
      <c r="D23" s="28"/>
      <c r="E23" s="28"/>
      <c r="F23" s="21">
        <v>478224</v>
      </c>
      <c r="G23" s="11">
        <v>500039</v>
      </c>
      <c r="H23" s="50">
        <v>422512</v>
      </c>
      <c r="I23" s="24"/>
      <c r="J23" s="25"/>
      <c r="K23" s="25"/>
      <c r="L23" s="25"/>
      <c r="M23" s="23"/>
      <c r="N23" s="27"/>
      <c r="O23" s="28"/>
      <c r="P23" s="28"/>
      <c r="Q23" s="28"/>
      <c r="R23" s="48">
        <v>2020</v>
      </c>
      <c r="S23" s="29"/>
      <c r="T23" s="30"/>
      <c r="U23" s="30"/>
      <c r="V23" s="30" t="s">
        <v>46</v>
      </c>
      <c r="W23" s="31" t="s">
        <v>41</v>
      </c>
      <c r="X23" s="23"/>
      <c r="Y23" s="27"/>
      <c r="Z23" s="28"/>
      <c r="AA23" s="28"/>
      <c r="AB23" s="28"/>
      <c r="AC23" s="23"/>
      <c r="AD23" s="32"/>
      <c r="AE23" s="32"/>
      <c r="AF23" s="32"/>
      <c r="AG23" s="32"/>
      <c r="AH23" s="26"/>
      <c r="AI23" s="33"/>
      <c r="AJ23" s="34"/>
      <c r="AK23" s="33"/>
      <c r="AL23" s="34"/>
      <c r="AM23" s="33"/>
      <c r="AN23" s="34"/>
      <c r="AO23" s="33"/>
      <c r="AP23" s="34"/>
      <c r="AQ23" s="46"/>
      <c r="AR23" s="52"/>
      <c r="AS23" s="65"/>
      <c r="AT23" s="66"/>
      <c r="AU23" s="66"/>
      <c r="AV23" s="66"/>
      <c r="AW23" s="35"/>
      <c r="AX23" s="21"/>
      <c r="AY23" s="21"/>
      <c r="BB23" s="56"/>
      <c r="BG23" s="36"/>
    </row>
    <row r="24" spans="1:60" x14ac:dyDescent="0.2">
      <c r="A24" s="21">
        <v>2027</v>
      </c>
      <c r="B24" s="21"/>
      <c r="C24" s="22"/>
      <c r="D24" s="28"/>
      <c r="E24" s="28"/>
      <c r="F24" s="28"/>
      <c r="G24" s="21">
        <v>478224</v>
      </c>
      <c r="H24" s="57">
        <v>500039</v>
      </c>
      <c r="I24" s="27"/>
      <c r="J24" s="28"/>
      <c r="K24" s="28"/>
      <c r="L24" s="28"/>
      <c r="M24" s="23"/>
      <c r="N24" s="27"/>
      <c r="O24" s="28"/>
      <c r="P24" s="28"/>
      <c r="Q24" s="28"/>
      <c r="R24" s="23"/>
      <c r="S24" s="29"/>
      <c r="T24" s="30"/>
      <c r="U24" s="30"/>
      <c r="V24" s="30"/>
      <c r="W24" s="31" t="s">
        <v>46</v>
      </c>
      <c r="X24" s="23"/>
      <c r="Y24" s="27"/>
      <c r="Z24" s="28"/>
      <c r="AA24" s="28"/>
      <c r="AB24" s="28"/>
      <c r="AC24" s="23"/>
      <c r="AD24" s="32"/>
      <c r="AE24" s="32"/>
      <c r="AF24" s="32"/>
      <c r="AG24" s="32"/>
      <c r="AH24" s="26"/>
      <c r="AI24" s="33"/>
      <c r="AJ24" s="34"/>
      <c r="AK24" s="33"/>
      <c r="AL24" s="34"/>
      <c r="AM24" s="33"/>
      <c r="AN24" s="34"/>
      <c r="AO24" s="33"/>
      <c r="AP24" s="34"/>
      <c r="AQ24" s="33"/>
      <c r="AR24" s="35"/>
      <c r="AS24" s="65"/>
      <c r="AT24" s="66"/>
      <c r="AU24" s="66"/>
      <c r="AV24" s="66"/>
      <c r="AW24" s="35"/>
      <c r="AX24" s="21"/>
      <c r="AY24" s="21"/>
      <c r="BB24" s="36"/>
      <c r="BG24" s="36"/>
    </row>
    <row r="25" spans="1:60" x14ac:dyDescent="0.2">
      <c r="A25" s="21"/>
      <c r="B25" s="21"/>
      <c r="C25" s="22"/>
      <c r="D25" s="28"/>
      <c r="E25" s="28"/>
      <c r="F25" s="28"/>
      <c r="G25" s="28"/>
      <c r="H25" s="23">
        <v>478224</v>
      </c>
      <c r="I25" s="27"/>
      <c r="J25" s="28"/>
      <c r="K25" s="28"/>
      <c r="L25" s="28"/>
      <c r="M25" s="23"/>
      <c r="N25" s="27"/>
      <c r="O25" s="28"/>
      <c r="P25" s="28"/>
      <c r="Q25" s="28"/>
      <c r="R25" s="23"/>
      <c r="S25" s="27"/>
      <c r="T25" s="28"/>
      <c r="U25" s="28"/>
      <c r="V25" s="28"/>
      <c r="W25" s="23"/>
      <c r="X25" s="23"/>
      <c r="Y25" s="27"/>
      <c r="Z25" s="28"/>
      <c r="AA25" s="28"/>
      <c r="AB25" s="28"/>
      <c r="AC25" s="23"/>
      <c r="AD25" s="21"/>
      <c r="AE25" s="21"/>
      <c r="AF25" s="21"/>
      <c r="AG25" s="21"/>
      <c r="AH25" s="23"/>
      <c r="AI25" s="21"/>
      <c r="AJ25" s="58"/>
      <c r="AK25" s="21"/>
      <c r="AL25" s="58"/>
      <c r="AM25" s="21"/>
      <c r="AN25" s="58"/>
      <c r="AO25" s="21"/>
      <c r="AP25" s="58"/>
      <c r="AQ25" s="21"/>
      <c r="AR25" s="23"/>
      <c r="AS25" s="27"/>
      <c r="AT25" s="28"/>
      <c r="AU25" s="59"/>
      <c r="AV25" s="59"/>
      <c r="AW25" s="36"/>
      <c r="AX25" s="21"/>
      <c r="AY25" s="21"/>
      <c r="BB25" s="36"/>
      <c r="BG25" s="36"/>
    </row>
    <row r="26" spans="1:60" x14ac:dyDescent="0.2">
      <c r="A26" s="21"/>
      <c r="B26" s="21"/>
      <c r="C26" s="22"/>
      <c r="D26" s="28"/>
      <c r="E26" s="28"/>
      <c r="F26" s="28"/>
      <c r="G26" s="28"/>
      <c r="H26" s="23"/>
      <c r="I26" s="27"/>
      <c r="J26" s="28"/>
      <c r="K26" s="28"/>
      <c r="L26" s="28"/>
      <c r="M26" s="23"/>
      <c r="N26" s="27"/>
      <c r="O26" s="28"/>
      <c r="P26" s="28"/>
      <c r="Q26" s="28"/>
      <c r="R26" s="23"/>
      <c r="S26" s="27"/>
      <c r="T26" s="28"/>
      <c r="U26" s="28"/>
      <c r="V26" s="28"/>
      <c r="W26" s="23"/>
      <c r="X26" s="23"/>
      <c r="Y26" s="27"/>
      <c r="Z26" s="28"/>
      <c r="AA26" s="28"/>
      <c r="AB26" s="28"/>
      <c r="AC26" s="23"/>
      <c r="AD26" s="21"/>
      <c r="AE26" s="21"/>
      <c r="AF26" s="21"/>
      <c r="AG26" s="21"/>
      <c r="AH26" s="23"/>
      <c r="AI26" s="21"/>
      <c r="AJ26" s="58"/>
      <c r="AK26" s="21"/>
      <c r="AL26" s="58"/>
      <c r="AM26" s="21"/>
      <c r="AN26" s="58"/>
      <c r="AO26" s="21"/>
      <c r="AP26" s="58"/>
      <c r="AQ26" s="21"/>
      <c r="AR26" s="23"/>
      <c r="AS26" s="60"/>
      <c r="AT26" s="59"/>
      <c r="AU26" s="59"/>
      <c r="AV26" s="59"/>
      <c r="AW26" s="36"/>
      <c r="BB26" s="36"/>
      <c r="BG26" s="36"/>
    </row>
    <row r="27" spans="1:60" x14ac:dyDescent="0.2">
      <c r="B27" s="21"/>
      <c r="C27" s="22"/>
      <c r="D27" s="28"/>
      <c r="E27" s="28"/>
      <c r="F27" s="28"/>
      <c r="G27" s="28"/>
      <c r="H27" s="23"/>
      <c r="I27" s="27"/>
      <c r="J27" s="28"/>
      <c r="K27" s="28"/>
      <c r="L27" s="28"/>
      <c r="M27" s="23"/>
      <c r="N27" s="27"/>
      <c r="O27" s="28"/>
      <c r="P27" s="28"/>
      <c r="Q27" s="28"/>
      <c r="R27" s="23"/>
      <c r="S27" s="27"/>
      <c r="T27" s="28"/>
      <c r="U27" s="28"/>
      <c r="V27" s="28"/>
      <c r="W27" s="23"/>
      <c r="X27" s="23"/>
      <c r="Y27" s="27"/>
      <c r="Z27" s="28"/>
      <c r="AA27" s="28"/>
      <c r="AB27" s="28"/>
      <c r="AC27" s="23"/>
      <c r="AD27" s="61"/>
      <c r="AE27" s="61"/>
      <c r="AF27" s="61"/>
      <c r="AG27" s="61"/>
      <c r="AH27" s="62"/>
      <c r="AI27" s="21"/>
      <c r="AJ27" s="58"/>
      <c r="AK27" s="21"/>
      <c r="AL27" s="58"/>
      <c r="AM27" s="21"/>
      <c r="AN27" s="58"/>
      <c r="AO27" s="21"/>
      <c r="AP27" s="58"/>
      <c r="AQ27" s="21"/>
      <c r="AR27" s="23"/>
      <c r="AW27" s="36"/>
      <c r="BB27" s="36"/>
      <c r="BG27" s="36"/>
    </row>
    <row r="28" spans="1:60" x14ac:dyDescent="0.2">
      <c r="C28" s="63"/>
      <c r="D28" s="59"/>
      <c r="E28" s="59"/>
      <c r="F28" s="59"/>
      <c r="G28" s="59"/>
      <c r="H28" s="36"/>
      <c r="I28" s="60"/>
      <c r="J28" s="59"/>
      <c r="K28" s="59"/>
      <c r="L28" s="59"/>
      <c r="M28" s="36"/>
      <c r="N28" s="60"/>
      <c r="O28" s="59"/>
      <c r="P28" s="59"/>
      <c r="Q28" s="59"/>
      <c r="R28" s="36"/>
      <c r="S28" s="60"/>
      <c r="T28" s="59"/>
      <c r="U28" s="59"/>
      <c r="V28" s="59"/>
      <c r="W28" s="36"/>
      <c r="X28" s="36"/>
      <c r="Y28" s="60"/>
      <c r="Z28" s="59"/>
      <c r="AA28" s="59"/>
      <c r="AB28" s="59"/>
      <c r="AC28" s="36"/>
      <c r="AH28" s="36"/>
      <c r="AJ28" s="64"/>
      <c r="AL28" s="64"/>
      <c r="AN28" s="64"/>
      <c r="AP28" s="64"/>
      <c r="AR28" s="36"/>
      <c r="AW28" s="36"/>
      <c r="BB28" s="36"/>
      <c r="BG28" s="36"/>
    </row>
    <row r="29" spans="1:60" x14ac:dyDescent="0.2">
      <c r="C29" s="63"/>
      <c r="D29" s="59"/>
      <c r="E29" s="59"/>
      <c r="F29" s="59"/>
      <c r="G29" s="59"/>
      <c r="H29" s="36"/>
      <c r="I29" s="60"/>
      <c r="J29" s="59"/>
      <c r="K29" s="59"/>
      <c r="L29" s="59"/>
      <c r="M29" s="36"/>
      <c r="N29" s="60"/>
      <c r="O29" s="59"/>
      <c r="P29" s="59"/>
      <c r="Q29" s="59"/>
      <c r="R29" s="36"/>
      <c r="S29" s="60"/>
      <c r="T29" s="59"/>
      <c r="U29" s="59"/>
      <c r="V29" s="59"/>
      <c r="W29" s="36"/>
      <c r="X29" s="36"/>
      <c r="Y29" s="60"/>
      <c r="Z29" s="59"/>
      <c r="AA29" s="59"/>
      <c r="AB29" s="59"/>
      <c r="AC29" s="36"/>
      <c r="AH29" s="36"/>
      <c r="AJ29" s="64"/>
      <c r="AL29" s="64"/>
      <c r="AN29" s="64"/>
      <c r="AP29" s="64"/>
      <c r="AR29" s="36"/>
      <c r="AW29" s="36"/>
      <c r="BB29" s="36"/>
      <c r="BG29" s="36"/>
    </row>
    <row r="30" spans="1:60" x14ac:dyDescent="0.2">
      <c r="C30" s="63"/>
      <c r="D30" s="59"/>
      <c r="E30" s="59"/>
      <c r="F30" s="59"/>
      <c r="G30" s="59"/>
      <c r="H30" s="36"/>
      <c r="I30" s="60"/>
      <c r="J30" s="59"/>
      <c r="K30" s="59"/>
      <c r="L30" s="59"/>
      <c r="M30" s="36"/>
      <c r="N30" s="60"/>
      <c r="O30" s="59"/>
      <c r="P30" s="59"/>
      <c r="Q30" s="59"/>
      <c r="R30" s="36"/>
      <c r="S30" s="60"/>
      <c r="T30" s="59"/>
      <c r="U30" s="59"/>
      <c r="V30" s="59"/>
      <c r="W30" s="36"/>
      <c r="X30" s="36"/>
      <c r="Y30" s="60"/>
      <c r="Z30" s="59"/>
      <c r="AA30" s="59"/>
      <c r="AB30" s="59"/>
      <c r="AC30" s="36"/>
      <c r="AH30" s="36"/>
      <c r="AJ30" s="64"/>
      <c r="AL30" s="64"/>
      <c r="AN30" s="64"/>
      <c r="AP30" s="64"/>
      <c r="AR30" s="36"/>
      <c r="AW30" s="36"/>
      <c r="BB30" s="36"/>
      <c r="BG30" s="36"/>
    </row>
    <row r="31" spans="1:60" x14ac:dyDescent="0.2">
      <c r="C31" s="63"/>
      <c r="D31" s="59"/>
      <c r="E31" s="59"/>
      <c r="F31" s="59"/>
      <c r="G31" s="59"/>
      <c r="H31" s="36"/>
      <c r="I31" s="59"/>
      <c r="J31" s="59"/>
      <c r="K31" s="59"/>
      <c r="L31" s="59"/>
      <c r="M31" s="36"/>
      <c r="N31" s="60"/>
      <c r="O31" s="59"/>
      <c r="P31" s="59"/>
      <c r="Q31" s="59"/>
      <c r="R31" s="36"/>
      <c r="S31" s="60"/>
      <c r="T31" s="59"/>
      <c r="U31" s="59"/>
      <c r="V31" s="59"/>
      <c r="W31" s="36"/>
      <c r="X31" s="36"/>
      <c r="Y31" s="60"/>
      <c r="Z31" s="59"/>
      <c r="AA31" s="59"/>
      <c r="AB31" s="59"/>
      <c r="AC31" s="36"/>
      <c r="AH31" s="36"/>
      <c r="AJ31" s="64"/>
      <c r="AL31" s="64"/>
      <c r="AN31" s="64"/>
      <c r="AP31" s="64"/>
      <c r="AR31" s="36"/>
      <c r="AW31" s="36"/>
      <c r="BB31" s="36"/>
      <c r="BG31" s="36"/>
    </row>
    <row r="32" spans="1:60" x14ac:dyDescent="0.2">
      <c r="C32" s="63"/>
      <c r="D32" s="59"/>
      <c r="E32" s="59"/>
      <c r="F32" s="59"/>
      <c r="G32" s="59"/>
      <c r="H32" s="36"/>
      <c r="I32" s="59"/>
      <c r="J32" s="59"/>
      <c r="K32" s="59"/>
      <c r="L32" s="59"/>
      <c r="M32" s="36"/>
      <c r="N32" s="60"/>
      <c r="O32" s="59"/>
      <c r="P32" s="59"/>
      <c r="Q32" s="59"/>
      <c r="R32" s="36"/>
      <c r="S32" s="60"/>
      <c r="T32" s="59"/>
      <c r="U32" s="59"/>
      <c r="V32" s="59"/>
      <c r="W32" s="36"/>
      <c r="X32" s="36"/>
      <c r="Y32" s="60"/>
      <c r="Z32" s="59"/>
      <c r="AA32" s="59"/>
      <c r="AB32" s="59"/>
      <c r="AC32" s="36"/>
      <c r="AH32" s="36"/>
      <c r="AJ32" s="64"/>
      <c r="AL32" s="64"/>
      <c r="AN32" s="64"/>
      <c r="AP32" s="64"/>
      <c r="AR32" s="36"/>
      <c r="AW32" s="36"/>
      <c r="BB32" s="36"/>
      <c r="BG32" s="36"/>
    </row>
    <row r="33" spans="42:42" x14ac:dyDescent="0.2">
      <c r="AP33" s="64"/>
    </row>
  </sheetData>
  <phoneticPr fontId="4" type="noConversion"/>
  <conditionalFormatting sqref="P9:R9 N9:N12 P13:R14 Q10:R10 P11 R11 P12:Q12 P20:Q20 R16 P19 Q15:R15 N17:N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R10 R11 N9:N12 O10:O13 P11:P14 Q12:Q15 R13:R16 P20:Q20 P19 O18:O19 N17:N18 P9:R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R7 O8:R8 P9:R9 Q10:R10 R11 N9:N12 N17:N18 O18:O19 P19:P20 Q20 O10:O13 P11:P14 Q12:Q15 R13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W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9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H7 H8:H11 E8:G8 F9:G9 G10 D9:D12 E10:E13 F11:F14 G12:G15 H13:H16 D17:D18 E18:E19 F19:F20 G20:G21 H21:H22 D21 E22 F23 G24 H2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74BB-A38A-44C8-93BE-C4E53913E913}">
  <dimension ref="A1:BQ25"/>
  <sheetViews>
    <sheetView zoomScale="80" zoomScaleNormal="80" workbookViewId="0">
      <pane xSplit="1" topLeftCell="B1" activePane="topRight" state="frozen"/>
      <selection pane="topRight" activeCell="R40" sqref="R40"/>
    </sheetView>
  </sheetViews>
  <sheetFormatPr defaultRowHeight="15" x14ac:dyDescent="0.25"/>
  <cols>
    <col min="2" max="2" width="14.5703125" bestFit="1" customWidth="1"/>
    <col min="3" max="3" width="14.42578125" customWidth="1"/>
    <col min="9" max="18" width="9.140625" customWidth="1"/>
    <col min="19" max="23" width="16.7109375" customWidth="1"/>
    <col min="24" max="24" width="18.28515625" customWidth="1"/>
    <col min="25" max="34" width="9.140625" customWidth="1"/>
    <col min="35" max="44" width="12.140625" customWidth="1"/>
    <col min="45" max="49" width="8.42578125" customWidth="1"/>
    <col min="50" max="54" width="12.42578125" customWidth="1"/>
    <col min="55" max="59" width="12.85546875" customWidth="1"/>
    <col min="60" max="69" width="12.140625" customWidth="1"/>
  </cols>
  <sheetData>
    <row r="1" spans="1:69" s="10" customFormat="1" ht="12.75" x14ac:dyDescent="0.2">
      <c r="A1" s="10" t="s">
        <v>17</v>
      </c>
      <c r="BK1" s="64"/>
    </row>
    <row r="2" spans="1:69" s="10" customFormat="1" ht="12.75" x14ac:dyDescent="0.2">
      <c r="BK2" s="64"/>
      <c r="BM2" s="64"/>
    </row>
    <row r="3" spans="1:69" s="10" customFormat="1" ht="12.75" x14ac:dyDescent="0.2">
      <c r="B3" s="36"/>
      <c r="C3" s="63"/>
      <c r="D3" s="60"/>
      <c r="E3" s="59"/>
      <c r="F3" s="59"/>
      <c r="G3" s="59"/>
      <c r="H3" s="36"/>
      <c r="I3" s="59"/>
      <c r="J3" s="82" t="s">
        <v>73</v>
      </c>
      <c r="K3" s="59"/>
      <c r="L3" s="59"/>
      <c r="M3" s="36"/>
      <c r="N3" s="60"/>
      <c r="O3" s="59"/>
      <c r="P3" s="59"/>
      <c r="Q3" s="59"/>
      <c r="R3" s="36"/>
      <c r="S3" s="60"/>
      <c r="T3" s="59"/>
      <c r="U3" s="59"/>
      <c r="V3" s="59"/>
      <c r="W3" s="36"/>
      <c r="X3" s="63"/>
      <c r="Y3" s="59" t="s">
        <v>77</v>
      </c>
      <c r="Z3" s="59"/>
      <c r="AA3" s="59"/>
      <c r="AB3" s="59"/>
      <c r="AC3" s="36"/>
      <c r="AD3" s="60" t="s">
        <v>75</v>
      </c>
      <c r="AI3" s="60" t="s">
        <v>76</v>
      </c>
      <c r="AJ3" s="59"/>
      <c r="AK3" s="59"/>
      <c r="AL3" s="59"/>
      <c r="AM3" s="59"/>
      <c r="AN3" s="59"/>
      <c r="AO3" s="59"/>
      <c r="AP3" s="59"/>
      <c r="AQ3" s="59"/>
      <c r="AR3" s="36"/>
      <c r="AS3" s="59" t="s">
        <v>78</v>
      </c>
      <c r="AZ3" s="11" t="s">
        <v>63</v>
      </c>
      <c r="BE3" s="12" t="s">
        <v>64</v>
      </c>
      <c r="BH3" s="60" t="s">
        <v>79</v>
      </c>
      <c r="BI3" s="59"/>
      <c r="BJ3" s="59"/>
      <c r="BK3" s="64"/>
      <c r="BL3" s="59"/>
      <c r="BM3" s="64"/>
      <c r="BN3" s="59"/>
      <c r="BO3" s="64"/>
      <c r="BP3" s="59"/>
      <c r="BQ3" s="36"/>
    </row>
    <row r="4" spans="1:69" s="13" customFormat="1" ht="12.75" x14ac:dyDescent="0.2">
      <c r="A4" s="13" t="s">
        <v>65</v>
      </c>
      <c r="B4" s="13" t="s">
        <v>34</v>
      </c>
      <c r="C4" s="14" t="s">
        <v>66</v>
      </c>
      <c r="D4" s="15" t="s">
        <v>35</v>
      </c>
      <c r="E4" s="15" t="s">
        <v>39</v>
      </c>
      <c r="F4" s="15" t="s">
        <v>36</v>
      </c>
      <c r="G4" s="15" t="s">
        <v>37</v>
      </c>
      <c r="H4" s="16" t="s">
        <v>38</v>
      </c>
      <c r="I4" s="17" t="s">
        <v>35</v>
      </c>
      <c r="J4" s="15" t="s">
        <v>74</v>
      </c>
      <c r="K4" s="15" t="s">
        <v>36</v>
      </c>
      <c r="L4" s="15" t="s">
        <v>37</v>
      </c>
      <c r="M4" s="16" t="s">
        <v>38</v>
      </c>
      <c r="N4" s="17" t="s">
        <v>35</v>
      </c>
      <c r="O4" s="15" t="s">
        <v>39</v>
      </c>
      <c r="P4" s="15" t="s">
        <v>36</v>
      </c>
      <c r="Q4" s="15" t="s">
        <v>37</v>
      </c>
      <c r="R4" s="16" t="s">
        <v>38</v>
      </c>
      <c r="S4" s="17" t="s">
        <v>29</v>
      </c>
      <c r="T4" s="15" t="s">
        <v>30</v>
      </c>
      <c r="U4" s="15" t="s">
        <v>31</v>
      </c>
      <c r="V4" s="15" t="s">
        <v>32</v>
      </c>
      <c r="W4" s="16" t="s">
        <v>33</v>
      </c>
      <c r="X4" s="16" t="s">
        <v>18</v>
      </c>
      <c r="Y4" s="17" t="s">
        <v>24</v>
      </c>
      <c r="Z4" s="15" t="s">
        <v>25</v>
      </c>
      <c r="AA4" s="15" t="s">
        <v>26</v>
      </c>
      <c r="AB4" s="15" t="s">
        <v>27</v>
      </c>
      <c r="AC4" s="16" t="s">
        <v>28</v>
      </c>
      <c r="AD4" s="13" t="s">
        <v>19</v>
      </c>
      <c r="AE4" s="13" t="s">
        <v>20</v>
      </c>
      <c r="AF4" s="13" t="s">
        <v>21</v>
      </c>
      <c r="AG4" s="13" t="s">
        <v>22</v>
      </c>
      <c r="AH4" s="16" t="s">
        <v>23</v>
      </c>
      <c r="AI4" s="18" t="s">
        <v>47</v>
      </c>
      <c r="AJ4" s="19" t="s">
        <v>49</v>
      </c>
      <c r="AK4" s="18" t="s">
        <v>48</v>
      </c>
      <c r="AL4" s="19" t="s">
        <v>50</v>
      </c>
      <c r="AM4" s="18" t="s">
        <v>51</v>
      </c>
      <c r="AN4" s="19" t="s">
        <v>52</v>
      </c>
      <c r="AO4" s="18" t="s">
        <v>53</v>
      </c>
      <c r="AP4" s="19" t="s">
        <v>54</v>
      </c>
      <c r="AQ4" s="18" t="s">
        <v>55</v>
      </c>
      <c r="AR4" s="20" t="s">
        <v>56</v>
      </c>
      <c r="AS4" s="13" t="s">
        <v>68</v>
      </c>
      <c r="AT4" s="13" t="s">
        <v>69</v>
      </c>
      <c r="AU4" s="13" t="s">
        <v>72</v>
      </c>
      <c r="AV4" s="13" t="s">
        <v>70</v>
      </c>
      <c r="AW4" s="16" t="s">
        <v>71</v>
      </c>
      <c r="AX4" s="13" t="s">
        <v>58</v>
      </c>
      <c r="AY4" s="13" t="s">
        <v>59</v>
      </c>
      <c r="AZ4" s="13" t="s">
        <v>60</v>
      </c>
      <c r="BA4" s="13" t="s">
        <v>61</v>
      </c>
      <c r="BB4" s="16" t="s">
        <v>62</v>
      </c>
      <c r="BC4" s="13" t="s">
        <v>58</v>
      </c>
      <c r="BD4" s="13" t="s">
        <v>59</v>
      </c>
      <c r="BE4" s="13" t="s">
        <v>60</v>
      </c>
      <c r="BF4" s="13" t="s">
        <v>61</v>
      </c>
      <c r="BG4" s="16" t="s">
        <v>62</v>
      </c>
      <c r="BH4" s="18" t="s">
        <v>47</v>
      </c>
      <c r="BI4" s="19" t="s">
        <v>49</v>
      </c>
      <c r="BJ4" s="18" t="s">
        <v>48</v>
      </c>
      <c r="BK4" s="19" t="s">
        <v>50</v>
      </c>
      <c r="BL4" s="18" t="s">
        <v>51</v>
      </c>
      <c r="BM4" s="19" t="s">
        <v>52</v>
      </c>
      <c r="BN4" s="18" t="s">
        <v>53</v>
      </c>
      <c r="BO4" s="19" t="s">
        <v>54</v>
      </c>
      <c r="BP4" s="18" t="s">
        <v>55</v>
      </c>
      <c r="BQ4" s="20" t="s">
        <v>56</v>
      </c>
    </row>
    <row r="5" spans="1:69" s="10" customFormat="1" ht="12.75" x14ac:dyDescent="0.2">
      <c r="A5" s="21">
        <v>2008</v>
      </c>
      <c r="B5" s="21">
        <v>945650</v>
      </c>
      <c r="C5" s="22">
        <f>SUM(D5:H5)</f>
        <v>4204654</v>
      </c>
      <c r="D5" s="21">
        <v>985155</v>
      </c>
      <c r="E5" s="21">
        <v>373275</v>
      </c>
      <c r="F5" s="21">
        <v>1000000</v>
      </c>
      <c r="G5" s="21">
        <v>1074172</v>
      </c>
      <c r="H5" s="23">
        <v>772052</v>
      </c>
      <c r="I5" s="24">
        <f>D5/C$5</f>
        <v>0.23430108636762978</v>
      </c>
      <c r="J5" s="25">
        <f>E5/$C$5</f>
        <v>8.8776627042320241E-2</v>
      </c>
      <c r="K5" s="25">
        <f>F5/$C$5</f>
        <v>0.23783169792330117</v>
      </c>
      <c r="L5" s="25">
        <f>G5/$C$5</f>
        <v>0.25547215062166828</v>
      </c>
      <c r="M5" s="26">
        <f>H5/$C$5</f>
        <v>0.18361843804508052</v>
      </c>
      <c r="N5" s="27">
        <f>A5-2</f>
        <v>2006</v>
      </c>
      <c r="O5" s="28">
        <f>A5-3</f>
        <v>2005</v>
      </c>
      <c r="P5" s="28">
        <f>A5-4</f>
        <v>2004</v>
      </c>
      <c r="Q5" s="28">
        <f>A5-5</f>
        <v>2003</v>
      </c>
      <c r="R5" s="23">
        <f>A5-6</f>
        <v>2002</v>
      </c>
      <c r="S5" s="29" t="s">
        <v>40</v>
      </c>
      <c r="T5" s="30" t="s">
        <v>40</v>
      </c>
      <c r="U5" s="30" t="s">
        <v>40</v>
      </c>
      <c r="V5" s="30" t="s">
        <v>40</v>
      </c>
      <c r="W5" s="31" t="s">
        <v>40</v>
      </c>
      <c r="X5" s="23"/>
      <c r="Y5" s="27"/>
      <c r="Z5" s="28"/>
      <c r="AA5" s="28"/>
      <c r="AB5" s="28"/>
      <c r="AC5" s="23"/>
      <c r="AD5" s="32"/>
      <c r="AE5" s="32"/>
      <c r="AF5" s="32"/>
      <c r="AG5" s="32"/>
      <c r="AH5" s="26"/>
      <c r="AI5" s="33"/>
      <c r="AJ5" s="34"/>
      <c r="AK5" s="33"/>
      <c r="AL5" s="34"/>
      <c r="AM5" s="33"/>
      <c r="AN5" s="34"/>
      <c r="AO5" s="33"/>
      <c r="AP5" s="34"/>
      <c r="AQ5" s="33"/>
      <c r="AR5" s="35"/>
      <c r="AS5" s="33"/>
      <c r="AT5" s="21"/>
      <c r="AW5" s="36"/>
      <c r="AX5" s="33"/>
      <c r="AY5" s="21"/>
      <c r="BB5" s="36"/>
      <c r="BG5" s="36"/>
      <c r="BH5" s="33"/>
      <c r="BI5" s="34"/>
      <c r="BJ5" s="33"/>
      <c r="BK5" s="34"/>
      <c r="BL5" s="33"/>
      <c r="BM5" s="34"/>
      <c r="BN5" s="33"/>
      <c r="BO5" s="34"/>
      <c r="BP5" s="33"/>
      <c r="BQ5" s="35"/>
    </row>
    <row r="6" spans="1:69" s="10" customFormat="1" ht="12.75" x14ac:dyDescent="0.2">
      <c r="A6" s="21">
        <v>2009</v>
      </c>
      <c r="B6" s="28">
        <v>1038800</v>
      </c>
      <c r="C6" s="22">
        <f t="shared" ref="C6:C21" si="0">SUM(D6:H6)</f>
        <v>3951112</v>
      </c>
      <c r="D6" s="21">
        <v>518510</v>
      </c>
      <c r="E6" s="21">
        <v>985155</v>
      </c>
      <c r="F6" s="21">
        <v>373275</v>
      </c>
      <c r="G6" s="21">
        <v>1000000</v>
      </c>
      <c r="H6" s="23">
        <v>1074172</v>
      </c>
      <c r="I6" s="24">
        <f t="shared" ref="I6:I21" si="1">D6/C6</f>
        <v>0.13123141029664559</v>
      </c>
      <c r="J6" s="25">
        <f t="shared" ref="J6:J21" si="2">E6/C6</f>
        <v>0.24933613625733717</v>
      </c>
      <c r="K6" s="25">
        <f t="shared" ref="K6:K21" si="3">F6/C6</f>
        <v>9.4473403942991238E-2</v>
      </c>
      <c r="L6" s="25">
        <f t="shared" ref="L6:L21" si="4">G6/C6</f>
        <v>0.25309330639070721</v>
      </c>
      <c r="M6" s="26">
        <f t="shared" ref="M6:M21" si="5">H6/C6</f>
        <v>0.27186574311231876</v>
      </c>
      <c r="N6" s="27">
        <f>A6-2</f>
        <v>2007</v>
      </c>
      <c r="O6" s="28">
        <f>A6-3</f>
        <v>2006</v>
      </c>
      <c r="P6" s="28">
        <f>A6-4</f>
        <v>2005</v>
      </c>
      <c r="Q6" s="28">
        <f>A6-5</f>
        <v>2004</v>
      </c>
      <c r="R6" s="23">
        <f>A6-6</f>
        <v>2003</v>
      </c>
      <c r="S6" s="29" t="s">
        <v>40</v>
      </c>
      <c r="T6" s="30" t="s">
        <v>40</v>
      </c>
      <c r="U6" s="30" t="s">
        <v>40</v>
      </c>
      <c r="V6" s="30" t="s">
        <v>40</v>
      </c>
      <c r="W6" s="31" t="s">
        <v>40</v>
      </c>
      <c r="X6" s="23"/>
      <c r="Y6" s="27"/>
      <c r="Z6" s="28"/>
      <c r="AA6" s="28"/>
      <c r="AB6" s="28"/>
      <c r="AC6" s="23"/>
      <c r="AD6" s="32"/>
      <c r="AE6" s="32"/>
      <c r="AF6" s="32"/>
      <c r="AG6" s="32"/>
      <c r="AH6" s="26"/>
      <c r="AI6" s="33"/>
      <c r="AJ6" s="34"/>
      <c r="AK6" s="33"/>
      <c r="AL6" s="34"/>
      <c r="AM6" s="33"/>
      <c r="AN6" s="34"/>
      <c r="AO6" s="33"/>
      <c r="AP6" s="34"/>
      <c r="AQ6" s="33"/>
      <c r="AR6" s="35"/>
      <c r="AS6" s="37"/>
      <c r="AT6" s="37"/>
      <c r="AU6" s="38"/>
      <c r="AV6" s="38"/>
      <c r="AW6" s="39"/>
      <c r="AX6" s="33"/>
      <c r="AY6" s="21"/>
      <c r="BB6" s="36"/>
      <c r="BG6" s="36"/>
      <c r="BH6" s="33"/>
      <c r="BI6" s="34"/>
      <c r="BJ6" s="33"/>
      <c r="BK6" s="34"/>
      <c r="BL6" s="33"/>
      <c r="BM6" s="34"/>
      <c r="BN6" s="33"/>
      <c r="BO6" s="34"/>
      <c r="BP6" s="33"/>
      <c r="BQ6" s="35"/>
    </row>
    <row r="7" spans="1:69" s="10" customFormat="1" ht="12.75" x14ac:dyDescent="0.2">
      <c r="A7" s="21">
        <v>2010</v>
      </c>
      <c r="B7" s="28">
        <v>840000</v>
      </c>
      <c r="C7" s="22">
        <f t="shared" si="0"/>
        <v>3822590</v>
      </c>
      <c r="D7" s="21">
        <v>945650</v>
      </c>
      <c r="E7" s="21">
        <v>518510</v>
      </c>
      <c r="F7" s="21">
        <v>985155</v>
      </c>
      <c r="G7" s="21">
        <v>373275</v>
      </c>
      <c r="H7" s="23">
        <v>1000000</v>
      </c>
      <c r="I7" s="24">
        <f t="shared" si="1"/>
        <v>0.24738462665365629</v>
      </c>
      <c r="J7" s="25">
        <f t="shared" si="2"/>
        <v>0.13564363428984014</v>
      </c>
      <c r="K7" s="25">
        <f t="shared" si="3"/>
        <v>0.25771924271240182</v>
      </c>
      <c r="L7" s="25">
        <f t="shared" si="4"/>
        <v>9.7649761025901283E-2</v>
      </c>
      <c r="M7" s="26">
        <f t="shared" si="5"/>
        <v>0.2616027353182005</v>
      </c>
      <c r="N7" s="27">
        <f>A7-2</f>
        <v>2008</v>
      </c>
      <c r="O7" s="28">
        <f>A7-3</f>
        <v>2007</v>
      </c>
      <c r="P7" s="28">
        <f>A7-4</f>
        <v>2006</v>
      </c>
      <c r="Q7" s="28">
        <f>A7-5</f>
        <v>2005</v>
      </c>
      <c r="R7" s="23">
        <f>A7-6</f>
        <v>2004</v>
      </c>
      <c r="S7" s="29" t="s">
        <v>40</v>
      </c>
      <c r="T7" s="30" t="s">
        <v>40</v>
      </c>
      <c r="U7" s="30" t="s">
        <v>40</v>
      </c>
      <c r="V7" s="30" t="s">
        <v>40</v>
      </c>
      <c r="W7" s="31" t="s">
        <v>40</v>
      </c>
      <c r="X7" s="23"/>
      <c r="Y7" s="27"/>
      <c r="Z7" s="28"/>
      <c r="AA7" s="28"/>
      <c r="AB7" s="28"/>
      <c r="AC7" s="23"/>
      <c r="AD7" s="32"/>
      <c r="AE7" s="32"/>
      <c r="AF7" s="32"/>
      <c r="AG7" s="32"/>
      <c r="AH7" s="26"/>
      <c r="AI7" s="33"/>
      <c r="AJ7" s="34"/>
      <c r="AK7" s="33"/>
      <c r="AL7" s="34"/>
      <c r="AM7" s="33"/>
      <c r="AN7" s="34"/>
      <c r="AO7" s="33"/>
      <c r="AP7" s="34"/>
      <c r="AQ7" s="33"/>
      <c r="AR7" s="35"/>
      <c r="AS7" s="65"/>
      <c r="AT7" s="66"/>
      <c r="AU7" s="66"/>
      <c r="AV7" s="66"/>
      <c r="AW7" s="35"/>
      <c r="AX7" s="40"/>
      <c r="AY7" s="41"/>
      <c r="AZ7" s="42"/>
      <c r="BA7" s="42"/>
      <c r="BB7" s="43"/>
      <c r="BG7" s="36"/>
      <c r="BH7" s="33"/>
      <c r="BI7" s="34"/>
      <c r="BJ7" s="33"/>
      <c r="BK7" s="34"/>
      <c r="BL7" s="33"/>
      <c r="BM7" s="34"/>
      <c r="BN7" s="33"/>
      <c r="BO7" s="34"/>
      <c r="BP7" s="33"/>
      <c r="BQ7" s="35"/>
    </row>
    <row r="8" spans="1:69" s="10" customFormat="1" ht="12.75" x14ac:dyDescent="0.2">
      <c r="A8" s="21">
        <v>2011</v>
      </c>
      <c r="B8" s="28">
        <v>245000</v>
      </c>
      <c r="C8" s="22">
        <f t="shared" si="0"/>
        <v>3861390</v>
      </c>
      <c r="D8" s="44">
        <v>1038800</v>
      </c>
      <c r="E8" s="21">
        <v>945650</v>
      </c>
      <c r="F8" s="21">
        <v>518510</v>
      </c>
      <c r="G8" s="21">
        <v>985155</v>
      </c>
      <c r="H8" s="23">
        <v>373275</v>
      </c>
      <c r="I8" s="24">
        <f t="shared" si="1"/>
        <v>0.26902229508026904</v>
      </c>
      <c r="J8" s="25">
        <f t="shared" si="2"/>
        <v>0.24489885766524491</v>
      </c>
      <c r="K8" s="25">
        <f t="shared" si="3"/>
        <v>0.13428066059113428</v>
      </c>
      <c r="L8" s="25">
        <f t="shared" si="4"/>
        <v>0.25512962948575513</v>
      </c>
      <c r="M8" s="26">
        <f t="shared" si="5"/>
        <v>9.6668557177596662E-2</v>
      </c>
      <c r="N8" s="45">
        <f>A8-2</f>
        <v>2009</v>
      </c>
      <c r="O8" s="28">
        <f>A8-3</f>
        <v>2008</v>
      </c>
      <c r="P8" s="28">
        <f>A8-4</f>
        <v>2007</v>
      </c>
      <c r="Q8" s="28">
        <f>A8-5</f>
        <v>2006</v>
      </c>
      <c r="R8" s="23">
        <f>A8-6</f>
        <v>2005</v>
      </c>
      <c r="S8" s="29" t="s">
        <v>41</v>
      </c>
      <c r="T8" s="30" t="s">
        <v>40</v>
      </c>
      <c r="U8" s="30" t="s">
        <v>40</v>
      </c>
      <c r="V8" s="30" t="s">
        <v>40</v>
      </c>
      <c r="W8" s="31" t="s">
        <v>40</v>
      </c>
      <c r="X8" s="23"/>
      <c r="Y8" s="27"/>
      <c r="Z8" s="28"/>
      <c r="AA8" s="28"/>
      <c r="AB8" s="28"/>
      <c r="AC8" s="23"/>
      <c r="AD8" s="32"/>
      <c r="AE8" s="32"/>
      <c r="AF8" s="32"/>
      <c r="AG8" s="32"/>
      <c r="AH8" s="26"/>
      <c r="AI8" s="46"/>
      <c r="AJ8" s="47"/>
      <c r="AK8" s="33"/>
      <c r="AL8" s="34"/>
      <c r="AM8" s="33"/>
      <c r="AN8" s="34"/>
      <c r="AO8" s="33"/>
      <c r="AP8" s="34"/>
      <c r="AQ8" s="33"/>
      <c r="AR8" s="35"/>
      <c r="AS8" s="65"/>
      <c r="AT8" s="66"/>
      <c r="AU8" s="66"/>
      <c r="AV8" s="66"/>
      <c r="AW8" s="35"/>
      <c r="AX8" s="44"/>
      <c r="AY8" s="41"/>
      <c r="AZ8" s="41"/>
      <c r="BA8" s="41"/>
      <c r="BB8" s="31"/>
      <c r="BC8" s="21"/>
      <c r="BD8" s="21"/>
      <c r="BE8" s="21"/>
      <c r="BF8" s="21"/>
      <c r="BG8" s="23"/>
      <c r="BH8" s="46"/>
      <c r="BI8" s="47"/>
      <c r="BJ8" s="33"/>
      <c r="BK8" s="34"/>
      <c r="BL8" s="33"/>
      <c r="BM8" s="34"/>
      <c r="BN8" s="33"/>
      <c r="BO8" s="34"/>
      <c r="BP8" s="33"/>
      <c r="BQ8" s="35"/>
    </row>
    <row r="9" spans="1:69" s="10" customFormat="1" ht="12.75" x14ac:dyDescent="0.2">
      <c r="A9" s="21">
        <v>2012</v>
      </c>
      <c r="B9" s="28">
        <v>1031800</v>
      </c>
      <c r="C9" s="22">
        <f t="shared" si="0"/>
        <v>4328115</v>
      </c>
      <c r="D9" s="21">
        <v>840000</v>
      </c>
      <c r="E9" s="44">
        <v>1038800</v>
      </c>
      <c r="F9" s="21">
        <v>945650</v>
      </c>
      <c r="G9" s="21">
        <v>518510</v>
      </c>
      <c r="H9" s="23">
        <v>985155</v>
      </c>
      <c r="I9" s="24">
        <f t="shared" si="1"/>
        <v>0.19407987079825745</v>
      </c>
      <c r="J9" s="25">
        <f t="shared" si="2"/>
        <v>0.24001210688717836</v>
      </c>
      <c r="K9" s="25">
        <f t="shared" si="3"/>
        <v>0.21849003550044305</v>
      </c>
      <c r="L9" s="25">
        <f t="shared" si="4"/>
        <v>0.11980042119952912</v>
      </c>
      <c r="M9" s="26">
        <f t="shared" si="5"/>
        <v>0.22761756561459204</v>
      </c>
      <c r="N9" s="27">
        <f>A9-2</f>
        <v>2010</v>
      </c>
      <c r="O9" s="48">
        <f>A9-3</f>
        <v>2009</v>
      </c>
      <c r="P9" s="28">
        <f>A9-4</f>
        <v>2008</v>
      </c>
      <c r="Q9" s="28">
        <f>A9-5</f>
        <v>2007</v>
      </c>
      <c r="R9" s="23">
        <f>A9-6</f>
        <v>2006</v>
      </c>
      <c r="S9" s="29" t="s">
        <v>42</v>
      </c>
      <c r="T9" s="30" t="s">
        <v>41</v>
      </c>
      <c r="U9" s="30" t="s">
        <v>40</v>
      </c>
      <c r="V9" s="30" t="s">
        <v>40</v>
      </c>
      <c r="W9" s="31" t="s">
        <v>40</v>
      </c>
      <c r="X9" s="23">
        <v>102</v>
      </c>
      <c r="Y9" s="28">
        <v>3</v>
      </c>
      <c r="Z9" s="28">
        <v>10</v>
      </c>
      <c r="AA9" s="28">
        <v>34</v>
      </c>
      <c r="AB9" s="28">
        <v>40</v>
      </c>
      <c r="AC9" s="23">
        <v>1</v>
      </c>
      <c r="AD9" s="32">
        <v>3.4090909090909088E-2</v>
      </c>
      <c r="AE9" s="32">
        <v>0.11363636363636363</v>
      </c>
      <c r="AF9" s="32">
        <v>0.38636363636363635</v>
      </c>
      <c r="AG9" s="32">
        <v>0.45454545454545453</v>
      </c>
      <c r="AH9" s="26">
        <v>1.1363636363636364E-2</v>
      </c>
      <c r="AI9" s="33">
        <v>0</v>
      </c>
      <c r="AJ9" s="67">
        <v>3</v>
      </c>
      <c r="AK9" s="46">
        <v>0</v>
      </c>
      <c r="AL9" s="68">
        <v>10</v>
      </c>
      <c r="AM9" s="33">
        <v>0</v>
      </c>
      <c r="AN9" s="34">
        <v>31</v>
      </c>
      <c r="AO9" s="33">
        <v>0</v>
      </c>
      <c r="AP9" s="34">
        <v>38</v>
      </c>
      <c r="AQ9" s="33">
        <v>0</v>
      </c>
      <c r="AR9" s="35">
        <v>1</v>
      </c>
      <c r="AS9" s="65">
        <v>3</v>
      </c>
      <c r="AT9" s="66">
        <v>10</v>
      </c>
      <c r="AU9" s="66">
        <v>33</v>
      </c>
      <c r="AV9" s="66">
        <v>38</v>
      </c>
      <c r="AW9" s="35">
        <v>1</v>
      </c>
      <c r="AX9" s="69">
        <f>AI9/SUM(AI9:AJ9)</f>
        <v>0</v>
      </c>
      <c r="AY9" s="70">
        <f>AK9/SUM(AK9:AL9)</f>
        <v>0</v>
      </c>
      <c r="AZ9" s="69">
        <f>AM9/SUM(AM9:AN9)</f>
        <v>0</v>
      </c>
      <c r="BA9" s="69">
        <f>AO9/SUM(AO9:AP9)</f>
        <v>0</v>
      </c>
      <c r="BB9" s="71">
        <f>AQ9/SUM(AQ9:AR9)</f>
        <v>0</v>
      </c>
      <c r="BC9" s="72">
        <f>AX9</f>
        <v>0</v>
      </c>
      <c r="BD9" s="73">
        <f>(SUM(BD11*E11+BD12*E12)/SUM(E11:E12))*(E9/E12)</f>
        <v>0.91671796261049654</v>
      </c>
      <c r="BE9" s="73">
        <f>AVERAGE(BE11,BE17)</f>
        <v>0.94495111833035983</v>
      </c>
      <c r="BF9" s="49">
        <f>SUM(BF12*G12+BF15*G15)/SUM(G12,G15)</f>
        <v>0.84831751509922348</v>
      </c>
      <c r="BG9" s="74">
        <f>BB9</f>
        <v>0</v>
      </c>
      <c r="BH9" s="83">
        <f>SUM(AI9:AJ9)*BC9</f>
        <v>0</v>
      </c>
      <c r="BI9" s="67">
        <f>SUM(AI9:AJ9)-BH9</f>
        <v>3</v>
      </c>
      <c r="BJ9" s="83">
        <f>SUM(AK9:AL9)*BD9</f>
        <v>9.1671796261049661</v>
      </c>
      <c r="BK9" s="84">
        <f>SUM(AK9:AL9)-BJ9</f>
        <v>0.83282037389503394</v>
      </c>
      <c r="BL9" s="91">
        <f>SUM(AM9:AN9)*BE9</f>
        <v>29.293484668241156</v>
      </c>
      <c r="BM9" s="93">
        <f>SUM(AM9:AN9)-BL9</f>
        <v>1.706515331758844</v>
      </c>
      <c r="BN9" s="91">
        <f>SUM(AO9:AP9)*BF9</f>
        <v>32.236065573770489</v>
      </c>
      <c r="BO9" s="93">
        <f>SUM(AO9:AP9)-BN9</f>
        <v>5.7639344262295111</v>
      </c>
      <c r="BP9" s="91">
        <f>SUM(AQ9:AR9)*BG9</f>
        <v>0</v>
      </c>
      <c r="BQ9" s="92">
        <f>SUM(AQ9:AR9)-BP9</f>
        <v>1</v>
      </c>
    </row>
    <row r="10" spans="1:69" s="10" customFormat="1" ht="12.75" x14ac:dyDescent="0.2">
      <c r="A10" s="21">
        <v>2013</v>
      </c>
      <c r="B10" s="28">
        <v>319000</v>
      </c>
      <c r="C10" s="22">
        <f t="shared" si="0"/>
        <v>3587960</v>
      </c>
      <c r="D10" s="21">
        <v>245000</v>
      </c>
      <c r="E10" s="21">
        <v>840000</v>
      </c>
      <c r="F10" s="44">
        <v>1038800</v>
      </c>
      <c r="G10" s="21">
        <v>945650</v>
      </c>
      <c r="H10" s="23">
        <v>518510</v>
      </c>
      <c r="I10" s="24">
        <f t="shared" si="1"/>
        <v>6.828392735704969E-2</v>
      </c>
      <c r="J10" s="25">
        <f t="shared" si="2"/>
        <v>0.23411632236702751</v>
      </c>
      <c r="K10" s="25">
        <f t="shared" si="3"/>
        <v>0.28952385199389069</v>
      </c>
      <c r="L10" s="25">
        <f t="shared" si="4"/>
        <v>0.2635620241028328</v>
      </c>
      <c r="M10" s="26">
        <f t="shared" si="5"/>
        <v>0.14451387417919931</v>
      </c>
      <c r="N10" s="27">
        <f t="shared" ref="N10:N20" si="6">A10-2</f>
        <v>2011</v>
      </c>
      <c r="O10" s="30">
        <f t="shared" ref="O10:O20" si="7">A10-3</f>
        <v>2010</v>
      </c>
      <c r="P10" s="48">
        <f t="shared" ref="P10:P20" si="8">A10-4</f>
        <v>2009</v>
      </c>
      <c r="Q10" s="28">
        <f t="shared" ref="Q10:Q20" si="9">A10-5</f>
        <v>2008</v>
      </c>
      <c r="R10" s="23">
        <f t="shared" ref="R10:R20" si="10">A10-6</f>
        <v>2007</v>
      </c>
      <c r="S10" s="29" t="s">
        <v>43</v>
      </c>
      <c r="T10" s="30" t="s">
        <v>42</v>
      </c>
      <c r="U10" s="30" t="s">
        <v>41</v>
      </c>
      <c r="V10" s="30" t="s">
        <v>40</v>
      </c>
      <c r="W10" s="31" t="s">
        <v>40</v>
      </c>
      <c r="X10" s="23">
        <v>0</v>
      </c>
      <c r="Y10" s="21"/>
      <c r="Z10" s="21"/>
      <c r="AA10" s="21"/>
      <c r="AB10" s="21"/>
      <c r="AC10" s="23"/>
      <c r="AD10" s="32"/>
      <c r="AE10" s="32"/>
      <c r="AF10" s="32"/>
      <c r="AG10" s="32"/>
      <c r="AH10" s="26"/>
      <c r="AI10" s="33" t="s">
        <v>57</v>
      </c>
      <c r="AJ10" s="34" t="s">
        <v>57</v>
      </c>
      <c r="AK10" s="33" t="s">
        <v>57</v>
      </c>
      <c r="AL10" s="34" t="s">
        <v>57</v>
      </c>
      <c r="AM10" s="46" t="s">
        <v>57</v>
      </c>
      <c r="AN10" s="47" t="s">
        <v>57</v>
      </c>
      <c r="AO10" s="33" t="s">
        <v>57</v>
      </c>
      <c r="AP10" s="34" t="s">
        <v>57</v>
      </c>
      <c r="AQ10" s="33" t="s">
        <v>57</v>
      </c>
      <c r="AR10" s="35" t="s">
        <v>57</v>
      </c>
      <c r="AS10" s="65" t="s">
        <v>57</v>
      </c>
      <c r="AT10" s="66" t="s">
        <v>57</v>
      </c>
      <c r="AU10" s="66" t="s">
        <v>57</v>
      </c>
      <c r="AV10" s="66" t="s">
        <v>57</v>
      </c>
      <c r="AW10" s="35" t="s">
        <v>57</v>
      </c>
      <c r="AX10" s="69" t="s">
        <v>57</v>
      </c>
      <c r="AY10" s="69" t="s">
        <v>57</v>
      </c>
      <c r="AZ10" s="70" t="s">
        <v>57</v>
      </c>
      <c r="BA10" s="69" t="s">
        <v>57</v>
      </c>
      <c r="BB10" s="71" t="s">
        <v>57</v>
      </c>
      <c r="BC10" s="32" t="s">
        <v>57</v>
      </c>
      <c r="BD10" s="32" t="s">
        <v>57</v>
      </c>
      <c r="BE10" s="49" t="s">
        <v>57</v>
      </c>
      <c r="BF10" s="32" t="s">
        <v>57</v>
      </c>
      <c r="BG10" s="26" t="s">
        <v>57</v>
      </c>
      <c r="BH10" s="33" t="s">
        <v>57</v>
      </c>
      <c r="BI10" s="67" t="s">
        <v>57</v>
      </c>
      <c r="BJ10" s="33" t="s">
        <v>57</v>
      </c>
      <c r="BK10" s="34" t="s">
        <v>57</v>
      </c>
      <c r="BL10" s="83" t="s">
        <v>57</v>
      </c>
      <c r="BM10" s="84" t="s">
        <v>57</v>
      </c>
      <c r="BN10" s="33" t="s">
        <v>57</v>
      </c>
      <c r="BO10" s="34" t="s">
        <v>57</v>
      </c>
      <c r="BP10" s="33" t="s">
        <v>57</v>
      </c>
      <c r="BQ10" s="35" t="s">
        <v>57</v>
      </c>
    </row>
    <row r="11" spans="1:69" s="10" customFormat="1" ht="12.75" x14ac:dyDescent="0.2">
      <c r="A11" s="21">
        <v>2014</v>
      </c>
      <c r="B11" s="28">
        <v>237435</v>
      </c>
      <c r="C11" s="22">
        <f t="shared" si="0"/>
        <v>4101250</v>
      </c>
      <c r="D11" s="21">
        <v>1031800</v>
      </c>
      <c r="E11" s="76">
        <v>245000</v>
      </c>
      <c r="F11" s="21">
        <v>840000</v>
      </c>
      <c r="G11" s="44">
        <v>1038800</v>
      </c>
      <c r="H11" s="23">
        <v>945650</v>
      </c>
      <c r="I11" s="24">
        <f t="shared" si="1"/>
        <v>0.25158183480646146</v>
      </c>
      <c r="J11" s="25">
        <f t="shared" si="2"/>
        <v>5.973788479122219E-2</v>
      </c>
      <c r="K11" s="25">
        <f t="shared" si="3"/>
        <v>0.20481560499847606</v>
      </c>
      <c r="L11" s="25">
        <f t="shared" si="4"/>
        <v>0.25328863151478209</v>
      </c>
      <c r="M11" s="26">
        <f t="shared" si="5"/>
        <v>0.23057604388905822</v>
      </c>
      <c r="N11" s="27">
        <f t="shared" si="6"/>
        <v>2012</v>
      </c>
      <c r="O11" s="30">
        <f t="shared" si="7"/>
        <v>2011</v>
      </c>
      <c r="P11" s="28">
        <f t="shared" si="8"/>
        <v>2010</v>
      </c>
      <c r="Q11" s="48">
        <f t="shared" si="9"/>
        <v>2009</v>
      </c>
      <c r="R11" s="23">
        <f t="shared" si="10"/>
        <v>2008</v>
      </c>
      <c r="S11" s="29" t="s">
        <v>44</v>
      </c>
      <c r="T11" s="30" t="s">
        <v>43</v>
      </c>
      <c r="U11" s="30" t="s">
        <v>42</v>
      </c>
      <c r="V11" s="30" t="s">
        <v>41</v>
      </c>
      <c r="W11" s="31" t="s">
        <v>40</v>
      </c>
      <c r="X11" s="23">
        <v>131</v>
      </c>
      <c r="Y11" s="28"/>
      <c r="Z11" s="28">
        <v>12</v>
      </c>
      <c r="AA11" s="28">
        <v>86</v>
      </c>
      <c r="AB11" s="28">
        <v>7</v>
      </c>
      <c r="AC11" s="23"/>
      <c r="AD11" s="32">
        <v>0</v>
      </c>
      <c r="AE11" s="32">
        <v>0.11428571428571428</v>
      </c>
      <c r="AF11" s="32">
        <v>0.81904761904761902</v>
      </c>
      <c r="AG11" s="32">
        <v>6.6666666666666666E-2</v>
      </c>
      <c r="AH11" s="26">
        <v>0</v>
      </c>
      <c r="AI11" s="33">
        <v>0</v>
      </c>
      <c r="AJ11" s="34">
        <v>0</v>
      </c>
      <c r="AK11" s="33">
        <v>9</v>
      </c>
      <c r="AL11" s="34">
        <v>1</v>
      </c>
      <c r="AM11" s="33">
        <v>79</v>
      </c>
      <c r="AN11" s="34">
        <v>2</v>
      </c>
      <c r="AO11" s="46">
        <v>0</v>
      </c>
      <c r="AP11" s="47">
        <v>5</v>
      </c>
      <c r="AQ11" s="33">
        <v>0</v>
      </c>
      <c r="AR11" s="35">
        <v>0</v>
      </c>
      <c r="AS11" s="65">
        <v>0</v>
      </c>
      <c r="AT11" s="66">
        <v>11</v>
      </c>
      <c r="AU11" s="66">
        <v>85</v>
      </c>
      <c r="AV11" s="66">
        <v>7</v>
      </c>
      <c r="AW11" s="35">
        <v>0</v>
      </c>
      <c r="AX11" s="69" t="s">
        <v>67</v>
      </c>
      <c r="AY11" s="69">
        <f>AK11/SUM(AK11:AL11)</f>
        <v>0.9</v>
      </c>
      <c r="AZ11" s="69">
        <f>AM11/SUM(AM11:AN11)</f>
        <v>0.97530864197530864</v>
      </c>
      <c r="BA11" s="70">
        <f>AO11/AV11</f>
        <v>0</v>
      </c>
      <c r="BB11" s="71" t="s">
        <v>67</v>
      </c>
      <c r="BC11" s="32" t="str">
        <f>AX11</f>
        <v>na</v>
      </c>
      <c r="BD11" s="32">
        <f t="shared" ref="BD11:BF12" si="11">AY11</f>
        <v>0.9</v>
      </c>
      <c r="BE11" s="32">
        <f t="shared" si="11"/>
        <v>0.97530864197530864</v>
      </c>
      <c r="BF11" s="49">
        <f>SUM(BF12*G12+BF14*G14)/SUM(G12,G14)*(G11/G14)</f>
        <v>0.80779941321474502</v>
      </c>
      <c r="BG11" s="26" t="str">
        <f>BB11</f>
        <v>na</v>
      </c>
      <c r="BH11" s="33">
        <v>0</v>
      </c>
      <c r="BI11" s="67">
        <v>0</v>
      </c>
      <c r="BJ11" s="33">
        <f>AK11</f>
        <v>9</v>
      </c>
      <c r="BK11" s="34">
        <f>AL11</f>
        <v>1</v>
      </c>
      <c r="BL11" s="33">
        <v>79</v>
      </c>
      <c r="BM11" s="34">
        <v>2</v>
      </c>
      <c r="BN11" s="83">
        <f>SUM(AO11:AP11)*BF11</f>
        <v>4.0389970660737253</v>
      </c>
      <c r="BO11" s="84">
        <f>SUM(AO11:AP11)-BN11</f>
        <v>0.96100293392627467</v>
      </c>
      <c r="BP11" s="33">
        <v>0</v>
      </c>
      <c r="BQ11" s="35">
        <v>0</v>
      </c>
    </row>
    <row r="12" spans="1:69" s="10" customFormat="1" ht="12.75" x14ac:dyDescent="0.2">
      <c r="A12" s="21">
        <v>2015</v>
      </c>
      <c r="B12" s="28">
        <v>219352</v>
      </c>
      <c r="C12" s="22">
        <f t="shared" si="0"/>
        <v>3474600</v>
      </c>
      <c r="D12" s="21">
        <v>319000</v>
      </c>
      <c r="E12" s="76">
        <v>1031800</v>
      </c>
      <c r="F12" s="21">
        <v>245000</v>
      </c>
      <c r="G12" s="21">
        <v>840000</v>
      </c>
      <c r="H12" s="50">
        <v>1038800</v>
      </c>
      <c r="I12" s="24">
        <f t="shared" si="1"/>
        <v>9.1809129108386581E-2</v>
      </c>
      <c r="J12" s="25">
        <f t="shared" si="2"/>
        <v>0.29695504518505728</v>
      </c>
      <c r="K12" s="25">
        <f t="shared" si="3"/>
        <v>7.0511713578541413E-2</v>
      </c>
      <c r="L12" s="25">
        <f t="shared" si="4"/>
        <v>0.24175444655499914</v>
      </c>
      <c r="M12" s="26">
        <f t="shared" si="5"/>
        <v>0.29896966557301557</v>
      </c>
      <c r="N12" s="27">
        <f t="shared" si="6"/>
        <v>2013</v>
      </c>
      <c r="O12" s="30">
        <f t="shared" si="7"/>
        <v>2012</v>
      </c>
      <c r="P12" s="28">
        <f t="shared" si="8"/>
        <v>2011</v>
      </c>
      <c r="Q12" s="28">
        <f t="shared" si="9"/>
        <v>2010</v>
      </c>
      <c r="R12" s="50">
        <f t="shared" si="10"/>
        <v>2009</v>
      </c>
      <c r="S12" s="29" t="s">
        <v>44</v>
      </c>
      <c r="T12" s="30" t="s">
        <v>44</v>
      </c>
      <c r="U12" s="30" t="s">
        <v>43</v>
      </c>
      <c r="V12" s="30" t="s">
        <v>42</v>
      </c>
      <c r="W12" s="31" t="s">
        <v>41</v>
      </c>
      <c r="X12" s="23">
        <v>95</v>
      </c>
      <c r="Y12" s="28"/>
      <c r="Z12" s="28">
        <v>24</v>
      </c>
      <c r="AA12" s="28">
        <v>36</v>
      </c>
      <c r="AB12" s="28">
        <v>30</v>
      </c>
      <c r="AC12" s="23"/>
      <c r="AD12" s="32">
        <v>0</v>
      </c>
      <c r="AE12" s="32">
        <v>0.26666666666666666</v>
      </c>
      <c r="AF12" s="32">
        <v>0.4</v>
      </c>
      <c r="AG12" s="32">
        <v>0.33333333333333331</v>
      </c>
      <c r="AH12" s="26">
        <v>0</v>
      </c>
      <c r="AI12" s="33">
        <v>0</v>
      </c>
      <c r="AJ12" s="34">
        <v>0</v>
      </c>
      <c r="AK12" s="33">
        <v>21</v>
      </c>
      <c r="AL12" s="34">
        <v>2</v>
      </c>
      <c r="AM12" s="33">
        <v>26</v>
      </c>
      <c r="AN12" s="34">
        <v>8</v>
      </c>
      <c r="AO12" s="33">
        <v>26</v>
      </c>
      <c r="AP12" s="34">
        <v>4</v>
      </c>
      <c r="AQ12" s="46">
        <v>0</v>
      </c>
      <c r="AR12" s="52">
        <v>0</v>
      </c>
      <c r="AS12" s="65">
        <v>0</v>
      </c>
      <c r="AT12" s="66">
        <v>23</v>
      </c>
      <c r="AU12" s="66">
        <v>36</v>
      </c>
      <c r="AV12" s="66">
        <v>30</v>
      </c>
      <c r="AW12" s="35">
        <v>0</v>
      </c>
      <c r="AX12" s="69" t="s">
        <v>67</v>
      </c>
      <c r="AY12" s="69">
        <f>AK12/SUM(AK12:AL12)</f>
        <v>0.91304347826086951</v>
      </c>
      <c r="AZ12" s="69">
        <f>AM12/SUM(AM12:AN12)</f>
        <v>0.76470588235294112</v>
      </c>
      <c r="BA12" s="69">
        <f>AO12/SUM(AO12:AP12)</f>
        <v>0.8666666666666667</v>
      </c>
      <c r="BB12" s="77" t="s">
        <v>67</v>
      </c>
      <c r="BC12" s="32" t="str">
        <f>AX12</f>
        <v>na</v>
      </c>
      <c r="BD12" s="32">
        <f t="shared" si="11"/>
        <v>0.91304347826086951</v>
      </c>
      <c r="BE12" s="32">
        <f t="shared" si="11"/>
        <v>0.76470588235294112</v>
      </c>
      <c r="BF12" s="32">
        <f t="shared" si="11"/>
        <v>0.8666666666666667</v>
      </c>
      <c r="BG12" s="74" t="s">
        <v>67</v>
      </c>
      <c r="BH12" s="33">
        <v>0</v>
      </c>
      <c r="BI12" s="67">
        <v>0</v>
      </c>
      <c r="BJ12" s="33">
        <f>AK12</f>
        <v>21</v>
      </c>
      <c r="BK12" s="34">
        <f>AL12</f>
        <v>2</v>
      </c>
      <c r="BL12" s="33">
        <v>26</v>
      </c>
      <c r="BM12" s="34">
        <v>8</v>
      </c>
      <c r="BN12" s="33">
        <f>AO12</f>
        <v>26</v>
      </c>
      <c r="BO12" s="34">
        <f>AP12</f>
        <v>4</v>
      </c>
      <c r="BP12" s="83">
        <v>0</v>
      </c>
      <c r="BQ12" s="85">
        <v>0</v>
      </c>
    </row>
    <row r="13" spans="1:69" s="10" customFormat="1" ht="12.75" x14ac:dyDescent="0.2">
      <c r="A13" s="21">
        <v>2016</v>
      </c>
      <c r="B13" s="28">
        <v>542856</v>
      </c>
      <c r="C13" s="22">
        <f t="shared" si="0"/>
        <v>2673235</v>
      </c>
      <c r="D13" s="44">
        <v>237435</v>
      </c>
      <c r="E13" s="21">
        <v>319000</v>
      </c>
      <c r="F13" s="21">
        <v>1031800</v>
      </c>
      <c r="G13" s="21">
        <v>245000</v>
      </c>
      <c r="H13" s="23">
        <v>840000</v>
      </c>
      <c r="I13" s="24">
        <f t="shared" si="1"/>
        <v>8.8819351834013849E-2</v>
      </c>
      <c r="J13" s="25">
        <f t="shared" si="2"/>
        <v>0.11933107265167485</v>
      </c>
      <c r="K13" s="25">
        <f t="shared" si="3"/>
        <v>0.38597429705955516</v>
      </c>
      <c r="L13" s="25">
        <f t="shared" si="4"/>
        <v>9.1649256425267514E-2</v>
      </c>
      <c r="M13" s="26">
        <f t="shared" si="5"/>
        <v>0.31422602202948863</v>
      </c>
      <c r="N13" s="45">
        <f t="shared" si="6"/>
        <v>2014</v>
      </c>
      <c r="O13" s="30">
        <f t="shared" si="7"/>
        <v>2013</v>
      </c>
      <c r="P13" s="28">
        <f t="shared" si="8"/>
        <v>2012</v>
      </c>
      <c r="Q13" s="28">
        <f t="shared" si="9"/>
        <v>2011</v>
      </c>
      <c r="R13" s="23">
        <f t="shared" si="10"/>
        <v>2010</v>
      </c>
      <c r="S13" s="29" t="s">
        <v>41</v>
      </c>
      <c r="T13" s="30" t="s">
        <v>44</v>
      </c>
      <c r="U13" s="30" t="s">
        <v>44</v>
      </c>
      <c r="V13" s="30" t="s">
        <v>43</v>
      </c>
      <c r="W13" s="31" t="s">
        <v>42</v>
      </c>
      <c r="X13" s="23">
        <v>0</v>
      </c>
      <c r="Y13" s="21"/>
      <c r="Z13" s="21"/>
      <c r="AA13" s="21"/>
      <c r="AB13" s="21"/>
      <c r="AC13" s="23"/>
      <c r="AD13" s="32"/>
      <c r="AE13" s="32"/>
      <c r="AF13" s="32"/>
      <c r="AG13" s="32"/>
      <c r="AH13" s="26"/>
      <c r="AI13" s="46" t="s">
        <v>57</v>
      </c>
      <c r="AJ13" s="47" t="s">
        <v>57</v>
      </c>
      <c r="AK13" s="33" t="s">
        <v>57</v>
      </c>
      <c r="AL13" s="34" t="s">
        <v>57</v>
      </c>
      <c r="AM13" s="33" t="s">
        <v>57</v>
      </c>
      <c r="AN13" s="34" t="s">
        <v>57</v>
      </c>
      <c r="AO13" s="33" t="s">
        <v>57</v>
      </c>
      <c r="AP13" s="34" t="s">
        <v>57</v>
      </c>
      <c r="AQ13" s="33" t="s">
        <v>57</v>
      </c>
      <c r="AR13" s="35" t="s">
        <v>57</v>
      </c>
      <c r="AS13" s="65" t="s">
        <v>57</v>
      </c>
      <c r="AT13" s="66" t="s">
        <v>57</v>
      </c>
      <c r="AU13" s="66" t="s">
        <v>57</v>
      </c>
      <c r="AV13" s="66" t="s">
        <v>57</v>
      </c>
      <c r="AW13" s="35" t="s">
        <v>57</v>
      </c>
      <c r="AX13" s="70" t="s">
        <v>57</v>
      </c>
      <c r="AY13" s="69" t="s">
        <v>57</v>
      </c>
      <c r="AZ13" s="69" t="s">
        <v>57</v>
      </c>
      <c r="BA13" s="69" t="s">
        <v>57</v>
      </c>
      <c r="BB13" s="71" t="s">
        <v>57</v>
      </c>
      <c r="BC13" s="49" t="s">
        <v>57</v>
      </c>
      <c r="BD13" s="32" t="s">
        <v>57</v>
      </c>
      <c r="BE13" s="32" t="s">
        <v>57</v>
      </c>
      <c r="BF13" s="32" t="s">
        <v>57</v>
      </c>
      <c r="BG13" s="26" t="s">
        <v>57</v>
      </c>
      <c r="BH13" s="83" t="s">
        <v>57</v>
      </c>
      <c r="BI13" s="84" t="s">
        <v>57</v>
      </c>
      <c r="BJ13" s="33" t="s">
        <v>57</v>
      </c>
      <c r="BK13" s="34" t="s">
        <v>57</v>
      </c>
      <c r="BL13" s="33" t="s">
        <v>57</v>
      </c>
      <c r="BM13" s="34" t="s">
        <v>57</v>
      </c>
      <c r="BN13" s="33" t="str">
        <f t="shared" ref="BN13:BO15" si="12">AO13</f>
        <v>-</v>
      </c>
      <c r="BO13" s="34" t="str">
        <f t="shared" si="12"/>
        <v>-</v>
      </c>
      <c r="BP13" s="33" t="s">
        <v>57</v>
      </c>
      <c r="BQ13" s="35" t="s">
        <v>57</v>
      </c>
    </row>
    <row r="14" spans="1:69" s="10" customFormat="1" ht="12.75" x14ac:dyDescent="0.2">
      <c r="A14" s="21">
        <v>2017</v>
      </c>
      <c r="B14" s="28">
        <v>249899</v>
      </c>
      <c r="C14" s="22">
        <f t="shared" si="0"/>
        <v>2052587</v>
      </c>
      <c r="D14" s="44">
        <v>219352</v>
      </c>
      <c r="E14" s="44">
        <v>237435</v>
      </c>
      <c r="F14" s="21">
        <v>319000</v>
      </c>
      <c r="G14" s="21">
        <v>1031800</v>
      </c>
      <c r="H14" s="23">
        <v>245000</v>
      </c>
      <c r="I14" s="24">
        <f t="shared" si="1"/>
        <v>0.10686611578461717</v>
      </c>
      <c r="J14" s="25">
        <f t="shared" si="2"/>
        <v>0.11567597378332807</v>
      </c>
      <c r="K14" s="25">
        <f t="shared" si="3"/>
        <v>0.1554136316755392</v>
      </c>
      <c r="L14" s="25">
        <f t="shared" si="4"/>
        <v>0.50268271210915783</v>
      </c>
      <c r="M14" s="26">
        <f t="shared" si="5"/>
        <v>0.1193615666473577</v>
      </c>
      <c r="N14" s="45">
        <f t="shared" si="6"/>
        <v>2015</v>
      </c>
      <c r="O14" s="48">
        <f t="shared" si="7"/>
        <v>2014</v>
      </c>
      <c r="P14" s="28">
        <f t="shared" si="8"/>
        <v>2013</v>
      </c>
      <c r="Q14" s="28">
        <f t="shared" si="9"/>
        <v>2012</v>
      </c>
      <c r="R14" s="23">
        <f t="shared" si="10"/>
        <v>2011</v>
      </c>
      <c r="S14" s="29" t="s">
        <v>41</v>
      </c>
      <c r="T14" s="30" t="s">
        <v>41</v>
      </c>
      <c r="U14" s="30" t="s">
        <v>44</v>
      </c>
      <c r="V14" s="30" t="s">
        <v>44</v>
      </c>
      <c r="W14" s="31" t="s">
        <v>43</v>
      </c>
      <c r="X14" s="23">
        <v>102</v>
      </c>
      <c r="Y14" s="28"/>
      <c r="Z14" s="28">
        <v>26</v>
      </c>
      <c r="AA14" s="28">
        <v>55</v>
      </c>
      <c r="AB14" s="28">
        <v>16</v>
      </c>
      <c r="AC14" s="23">
        <v>1</v>
      </c>
      <c r="AD14" s="32">
        <v>0</v>
      </c>
      <c r="AE14" s="32">
        <v>0.26530612244897961</v>
      </c>
      <c r="AF14" s="32">
        <v>0.56122448979591832</v>
      </c>
      <c r="AG14" s="32">
        <v>0.16326530612244897</v>
      </c>
      <c r="AH14" s="26">
        <v>1.020408163265306E-2</v>
      </c>
      <c r="AI14" s="46">
        <v>0</v>
      </c>
      <c r="AJ14" s="47">
        <v>0</v>
      </c>
      <c r="AK14" s="46">
        <v>3</v>
      </c>
      <c r="AL14" s="47">
        <v>19</v>
      </c>
      <c r="AM14" s="33">
        <v>40</v>
      </c>
      <c r="AN14" s="34">
        <v>13</v>
      </c>
      <c r="AO14" s="33">
        <v>9</v>
      </c>
      <c r="AP14" s="34">
        <v>3</v>
      </c>
      <c r="AQ14" s="33">
        <v>0</v>
      </c>
      <c r="AR14" s="35">
        <v>0</v>
      </c>
      <c r="AS14" s="65">
        <v>0</v>
      </c>
      <c r="AT14" s="66">
        <v>25</v>
      </c>
      <c r="AU14" s="66">
        <v>53</v>
      </c>
      <c r="AV14" s="66">
        <v>15</v>
      </c>
      <c r="AW14" s="35">
        <v>1</v>
      </c>
      <c r="AX14" s="70" t="s">
        <v>67</v>
      </c>
      <c r="AY14" s="70">
        <f>AK14/SUM(AK14:AL14)</f>
        <v>0.13636363636363635</v>
      </c>
      <c r="AZ14" s="69">
        <f>AM14/SUM(AM14:AN14)</f>
        <v>0.75471698113207553</v>
      </c>
      <c r="BA14" s="69">
        <f t="shared" ref="BA14:BA15" si="13">AO14/SUM(AO14:AP14)</f>
        <v>0.75</v>
      </c>
      <c r="BB14" s="71" t="s">
        <v>67</v>
      </c>
      <c r="BC14" s="49" t="s">
        <v>67</v>
      </c>
      <c r="BD14" s="73">
        <f>SUM(BD11*E11+BD19*E19)/SUM(E11,E19)*(E14/E11)</f>
        <v>0.77393271419094112</v>
      </c>
      <c r="BE14" s="32">
        <f>AZ14</f>
        <v>0.75471698113207553</v>
      </c>
      <c r="BF14" s="32">
        <f t="shared" ref="BF14:BG14" si="14">BA14</f>
        <v>0.75</v>
      </c>
      <c r="BG14" s="26" t="str">
        <f t="shared" si="14"/>
        <v>na</v>
      </c>
      <c r="BH14" s="83">
        <v>0</v>
      </c>
      <c r="BI14" s="84">
        <v>0</v>
      </c>
      <c r="BJ14" s="83">
        <f>SUM(AK14:AL14)*BD14</f>
        <v>17.026519712200706</v>
      </c>
      <c r="BK14" s="84">
        <f>SUM(AK14:AL14)-BJ14</f>
        <v>4.9734802877992941</v>
      </c>
      <c r="BL14" s="33">
        <v>40</v>
      </c>
      <c r="BM14" s="34">
        <v>13</v>
      </c>
      <c r="BN14" s="33">
        <f t="shared" si="12"/>
        <v>9</v>
      </c>
      <c r="BO14" s="34">
        <f t="shared" si="12"/>
        <v>3</v>
      </c>
      <c r="BP14" s="33">
        <v>0</v>
      </c>
      <c r="BQ14" s="35">
        <v>0</v>
      </c>
    </row>
    <row r="15" spans="1:69" s="10" customFormat="1" ht="12.75" x14ac:dyDescent="0.2">
      <c r="A15" s="21">
        <v>2018</v>
      </c>
      <c r="B15" s="28">
        <v>66794</v>
      </c>
      <c r="C15" s="22">
        <f t="shared" si="0"/>
        <v>2350443</v>
      </c>
      <c r="D15" s="44">
        <v>542856</v>
      </c>
      <c r="E15" s="44">
        <v>219352</v>
      </c>
      <c r="F15" s="44">
        <v>237435</v>
      </c>
      <c r="G15" s="21">
        <v>319000</v>
      </c>
      <c r="H15" s="23">
        <v>1031800</v>
      </c>
      <c r="I15" s="24">
        <f t="shared" si="1"/>
        <v>0.23095901496015858</v>
      </c>
      <c r="J15" s="25">
        <f t="shared" si="2"/>
        <v>9.3323684088488845E-2</v>
      </c>
      <c r="K15" s="25">
        <f t="shared" si="3"/>
        <v>0.10101712740959895</v>
      </c>
      <c r="L15" s="25">
        <f t="shared" si="4"/>
        <v>0.13571909635758025</v>
      </c>
      <c r="M15" s="26">
        <f t="shared" si="5"/>
        <v>0.43898107718417334</v>
      </c>
      <c r="N15" s="45">
        <f t="shared" si="6"/>
        <v>2016</v>
      </c>
      <c r="O15" s="48">
        <f t="shared" si="7"/>
        <v>2015</v>
      </c>
      <c r="P15" s="48">
        <f t="shared" si="8"/>
        <v>2014</v>
      </c>
      <c r="Q15" s="28">
        <f t="shared" si="9"/>
        <v>2013</v>
      </c>
      <c r="R15" s="23">
        <f t="shared" si="10"/>
        <v>2012</v>
      </c>
      <c r="S15" s="29" t="s">
        <v>41</v>
      </c>
      <c r="T15" s="30" t="s">
        <v>41</v>
      </c>
      <c r="U15" s="30" t="s">
        <v>41</v>
      </c>
      <c r="V15" s="30" t="s">
        <v>44</v>
      </c>
      <c r="W15" s="31" t="s">
        <v>44</v>
      </c>
      <c r="X15" s="23">
        <v>48</v>
      </c>
      <c r="Y15" s="28">
        <v>1</v>
      </c>
      <c r="Z15" s="28">
        <v>14</v>
      </c>
      <c r="AA15" s="28">
        <v>4</v>
      </c>
      <c r="AB15" s="28">
        <v>5</v>
      </c>
      <c r="AC15" s="23"/>
      <c r="AD15" s="32">
        <v>4.1666666666666664E-2</v>
      </c>
      <c r="AE15" s="32">
        <v>0.58333333333333337</v>
      </c>
      <c r="AF15" s="32">
        <v>0.16666666666666666</v>
      </c>
      <c r="AG15" s="32">
        <v>0.20833333333333334</v>
      </c>
      <c r="AH15" s="26">
        <v>0</v>
      </c>
      <c r="AI15" s="46">
        <v>0</v>
      </c>
      <c r="AJ15" s="47">
        <v>1</v>
      </c>
      <c r="AK15" s="46">
        <v>0</v>
      </c>
      <c r="AL15" s="47">
        <v>13</v>
      </c>
      <c r="AM15" s="46">
        <v>0</v>
      </c>
      <c r="AN15" s="47">
        <v>3</v>
      </c>
      <c r="AO15" s="33">
        <v>4</v>
      </c>
      <c r="AP15" s="34">
        <v>1</v>
      </c>
      <c r="AQ15" s="21">
        <v>0</v>
      </c>
      <c r="AR15" s="23">
        <v>0</v>
      </c>
      <c r="AS15" s="65">
        <v>1</v>
      </c>
      <c r="AT15" s="66">
        <v>13</v>
      </c>
      <c r="AU15" s="66">
        <v>3</v>
      </c>
      <c r="AV15" s="66">
        <v>5</v>
      </c>
      <c r="AW15" s="35">
        <v>0</v>
      </c>
      <c r="AX15" s="70">
        <f>AI15/SUM(AI15:AJ15)</f>
        <v>0</v>
      </c>
      <c r="AY15" s="70">
        <f t="shared" ref="AY15:AY17" si="15">AK15/SUM(AK15:AL15)</f>
        <v>0</v>
      </c>
      <c r="AZ15" s="70">
        <f>AM15/SUM(AM15:AN15)</f>
        <v>0</v>
      </c>
      <c r="BA15" s="69">
        <f t="shared" si="13"/>
        <v>0.8</v>
      </c>
      <c r="BB15" s="71" t="s">
        <v>67</v>
      </c>
      <c r="BC15" s="78">
        <v>1</v>
      </c>
      <c r="BD15" s="49">
        <f>SUM(BD11*E11+BD19*E19)/SUM(E11,E19)*(E15/E11)</f>
        <v>0.71499016035214402</v>
      </c>
      <c r="BE15" s="49">
        <f>SUM(BE12*F12+BE14*F14)/SUM(F12,F14)*(F15/F12)</f>
        <v>0.73561833705782598</v>
      </c>
      <c r="BF15" s="32">
        <f>BA15</f>
        <v>0.8</v>
      </c>
      <c r="BG15" s="26" t="str">
        <f>BB15</f>
        <v>na</v>
      </c>
      <c r="BH15" s="83">
        <f>SUM(AI15:AJ15)*BC15</f>
        <v>1</v>
      </c>
      <c r="BI15" s="84">
        <f>SUM(AI15:AJ15)-BH15</f>
        <v>0</v>
      </c>
      <c r="BJ15" s="83">
        <f>SUM(AK15:AL15)*BD15</f>
        <v>9.2948720845778716</v>
      </c>
      <c r="BK15" s="84">
        <f>SUM(AK15:AL15)-BJ15</f>
        <v>3.7051279154221284</v>
      </c>
      <c r="BL15" s="83">
        <f>SUM(AM15:AN15)*BE15</f>
        <v>2.2068550111734782</v>
      </c>
      <c r="BM15" s="84">
        <f>SUM(AM15:AN15)-BL15</f>
        <v>0.79314498882652185</v>
      </c>
      <c r="BN15" s="33">
        <f t="shared" si="12"/>
        <v>4</v>
      </c>
      <c r="BO15" s="34">
        <f t="shared" si="12"/>
        <v>1</v>
      </c>
      <c r="BP15" s="21">
        <v>0</v>
      </c>
      <c r="BQ15" s="23">
        <v>0</v>
      </c>
    </row>
    <row r="16" spans="1:69" s="10" customFormat="1" ht="12.75" x14ac:dyDescent="0.2">
      <c r="A16" s="21">
        <v>2019</v>
      </c>
      <c r="B16" s="28">
        <v>184597</v>
      </c>
      <c r="C16" s="22">
        <f t="shared" si="0"/>
        <v>1568542</v>
      </c>
      <c r="D16" s="44">
        <v>249899</v>
      </c>
      <c r="E16" s="44">
        <v>542856</v>
      </c>
      <c r="F16" s="44">
        <v>219352</v>
      </c>
      <c r="G16" s="44">
        <v>237435</v>
      </c>
      <c r="H16" s="23">
        <v>319000</v>
      </c>
      <c r="I16" s="24">
        <f t="shared" si="1"/>
        <v>0.15931929141840001</v>
      </c>
      <c r="J16" s="25">
        <f t="shared" si="2"/>
        <v>0.34608955322841212</v>
      </c>
      <c r="K16" s="25">
        <f t="shared" si="3"/>
        <v>0.13984451803011969</v>
      </c>
      <c r="L16" s="25">
        <f t="shared" si="4"/>
        <v>0.15137305854736438</v>
      </c>
      <c r="M16" s="26">
        <f t="shared" si="5"/>
        <v>0.20337357877570381</v>
      </c>
      <c r="N16" s="45">
        <f t="shared" si="6"/>
        <v>2017</v>
      </c>
      <c r="O16" s="48">
        <f t="shared" si="7"/>
        <v>2016</v>
      </c>
      <c r="P16" s="48">
        <f t="shared" si="8"/>
        <v>2015</v>
      </c>
      <c r="Q16" s="48">
        <f t="shared" si="9"/>
        <v>2014</v>
      </c>
      <c r="R16" s="23">
        <f t="shared" si="10"/>
        <v>2013</v>
      </c>
      <c r="S16" s="29" t="s">
        <v>41</v>
      </c>
      <c r="T16" s="30" t="s">
        <v>41</v>
      </c>
      <c r="U16" s="30" t="s">
        <v>41</v>
      </c>
      <c r="V16" s="30" t="s">
        <v>41</v>
      </c>
      <c r="W16" s="31" t="s">
        <v>44</v>
      </c>
      <c r="X16" s="23">
        <v>161</v>
      </c>
      <c r="Y16" s="28"/>
      <c r="Z16" s="28">
        <v>39</v>
      </c>
      <c r="AA16" s="28">
        <v>64</v>
      </c>
      <c r="AB16" s="28">
        <v>2</v>
      </c>
      <c r="AC16" s="23"/>
      <c r="AD16" s="32">
        <v>0</v>
      </c>
      <c r="AE16" s="32">
        <v>0.37142857142857144</v>
      </c>
      <c r="AF16" s="32">
        <v>0.60952380952380958</v>
      </c>
      <c r="AG16" s="32">
        <v>1.9047619047619049E-2</v>
      </c>
      <c r="AH16" s="26">
        <v>0</v>
      </c>
      <c r="AI16" s="46">
        <v>0</v>
      </c>
      <c r="AJ16" s="47">
        <v>0</v>
      </c>
      <c r="AK16" s="79">
        <v>24</v>
      </c>
      <c r="AL16" s="47">
        <v>10</v>
      </c>
      <c r="AM16" s="79">
        <v>3</v>
      </c>
      <c r="AN16" s="47">
        <v>58</v>
      </c>
      <c r="AO16" s="46">
        <v>0</v>
      </c>
      <c r="AP16" s="47">
        <v>1</v>
      </c>
      <c r="AQ16" s="21">
        <v>0</v>
      </c>
      <c r="AR16" s="23">
        <v>0</v>
      </c>
      <c r="AS16" s="65">
        <v>0</v>
      </c>
      <c r="AT16" s="66">
        <v>37</v>
      </c>
      <c r="AU16" s="66">
        <v>62</v>
      </c>
      <c r="AV16" s="66">
        <v>1</v>
      </c>
      <c r="AW16" s="35">
        <v>0</v>
      </c>
      <c r="AX16" s="70" t="s">
        <v>67</v>
      </c>
      <c r="AY16" s="70">
        <f t="shared" si="15"/>
        <v>0.70588235294117652</v>
      </c>
      <c r="AZ16" s="70">
        <f t="shared" ref="AZ16:AZ18" si="16">AM16/SUM(AM16:AN16)</f>
        <v>4.9180327868852458E-2</v>
      </c>
      <c r="BA16" s="70">
        <f>AO16/SUM(AO16:AP16)</f>
        <v>0</v>
      </c>
      <c r="BB16" s="71" t="s">
        <v>67</v>
      </c>
      <c r="BC16" s="49" t="s">
        <v>67</v>
      </c>
      <c r="BD16" s="49">
        <f>SUM(BD11*E11+BD12*E12)/SUM(E11,E12)</f>
        <v>0.91054061784897022</v>
      </c>
      <c r="BE16" s="49">
        <f>SUM(BE12*F12+BE14*F14)/SUM(F12,F14)*(F16/F12)</f>
        <v>0.67959379817764121</v>
      </c>
      <c r="BF16" s="49">
        <f>BF15*G16/G15</f>
        <v>0.59544827586206894</v>
      </c>
      <c r="BG16" s="26" t="str">
        <f>BB16</f>
        <v>na</v>
      </c>
      <c r="BH16" s="83">
        <v>0</v>
      </c>
      <c r="BI16" s="84">
        <v>0</v>
      </c>
      <c r="BJ16" s="83">
        <f>AK16+(AL16*BD16)</f>
        <v>33.105406178489702</v>
      </c>
      <c r="BK16" s="84">
        <f>SUM(AK16:AL16)-BJ16</f>
        <v>0.89459382151029843</v>
      </c>
      <c r="BL16" s="83">
        <f>AM16+(AN16*BE16)</f>
        <v>42.416440294303193</v>
      </c>
      <c r="BM16" s="84">
        <f>SUM(AM16:AN16)-BL16</f>
        <v>18.583559705696807</v>
      </c>
      <c r="BN16" s="83">
        <f>SUM(AO16:AP16)*BF16</f>
        <v>0.59544827586206894</v>
      </c>
      <c r="BO16" s="84">
        <f>SUM(AO16:AP16)-BN16</f>
        <v>0.40455172413793106</v>
      </c>
      <c r="BP16" s="21">
        <v>0</v>
      </c>
      <c r="BQ16" s="23">
        <v>0</v>
      </c>
    </row>
    <row r="17" spans="1:69" s="10" customFormat="1" ht="12.75" x14ac:dyDescent="0.2">
      <c r="A17" s="21">
        <v>2020</v>
      </c>
      <c r="B17" s="28">
        <v>422512</v>
      </c>
      <c r="C17" s="22">
        <f t="shared" si="0"/>
        <v>1316336</v>
      </c>
      <c r="D17" s="21">
        <v>66794</v>
      </c>
      <c r="E17" s="44">
        <v>249899</v>
      </c>
      <c r="F17" s="44">
        <v>542856</v>
      </c>
      <c r="G17" s="44">
        <v>219352</v>
      </c>
      <c r="H17" s="50">
        <v>237435</v>
      </c>
      <c r="I17" s="24">
        <f t="shared" si="1"/>
        <v>5.0742363651833572E-2</v>
      </c>
      <c r="J17" s="25">
        <f t="shared" si="2"/>
        <v>0.18984438623573313</v>
      </c>
      <c r="K17" s="25">
        <f t="shared" si="3"/>
        <v>0.41239926584094033</v>
      </c>
      <c r="L17" s="25">
        <f t="shared" si="4"/>
        <v>0.16663830511358801</v>
      </c>
      <c r="M17" s="26">
        <f t="shared" si="5"/>
        <v>0.18037567915790498</v>
      </c>
      <c r="N17" s="27">
        <f t="shared" si="6"/>
        <v>2018</v>
      </c>
      <c r="O17" s="48">
        <f t="shared" si="7"/>
        <v>2017</v>
      </c>
      <c r="P17" s="48">
        <f t="shared" si="8"/>
        <v>2016</v>
      </c>
      <c r="Q17" s="48">
        <f t="shared" si="9"/>
        <v>2015</v>
      </c>
      <c r="R17" s="50">
        <f t="shared" si="10"/>
        <v>2014</v>
      </c>
      <c r="S17" s="29" t="s">
        <v>44</v>
      </c>
      <c r="T17" s="30" t="s">
        <v>41</v>
      </c>
      <c r="U17" s="30" t="s">
        <v>41</v>
      </c>
      <c r="V17" s="30" t="s">
        <v>41</v>
      </c>
      <c r="W17" s="31" t="s">
        <v>41</v>
      </c>
      <c r="X17" s="23">
        <v>244</v>
      </c>
      <c r="Y17" s="28"/>
      <c r="Z17" s="28">
        <v>29</v>
      </c>
      <c r="AA17" s="28">
        <v>167</v>
      </c>
      <c r="AB17" s="28">
        <v>26</v>
      </c>
      <c r="AC17" s="23"/>
      <c r="AD17" s="32">
        <v>0</v>
      </c>
      <c r="AE17" s="32">
        <v>0.13063063063063063</v>
      </c>
      <c r="AF17" s="32">
        <v>0.75225225225225223</v>
      </c>
      <c r="AG17" s="32">
        <v>0.11711711711711711</v>
      </c>
      <c r="AH17" s="26">
        <v>0</v>
      </c>
      <c r="AI17" s="33">
        <v>0</v>
      </c>
      <c r="AJ17" s="34">
        <v>0</v>
      </c>
      <c r="AK17" s="46">
        <v>0</v>
      </c>
      <c r="AL17" s="47">
        <v>28</v>
      </c>
      <c r="AM17" s="46">
        <v>0</v>
      </c>
      <c r="AN17" s="47">
        <v>164</v>
      </c>
      <c r="AO17" s="46">
        <v>0</v>
      </c>
      <c r="AP17" s="47">
        <v>26</v>
      </c>
      <c r="AQ17" s="44">
        <v>0</v>
      </c>
      <c r="AR17" s="50">
        <v>0</v>
      </c>
      <c r="AS17" s="65">
        <v>0</v>
      </c>
      <c r="AT17" s="66">
        <v>29</v>
      </c>
      <c r="AU17" s="66">
        <v>166</v>
      </c>
      <c r="AV17" s="66">
        <v>26</v>
      </c>
      <c r="AW17" s="35">
        <v>0</v>
      </c>
      <c r="AX17" s="69" t="s">
        <v>67</v>
      </c>
      <c r="AY17" s="70">
        <f t="shared" si="15"/>
        <v>0</v>
      </c>
      <c r="AZ17" s="70">
        <f t="shared" si="16"/>
        <v>0</v>
      </c>
      <c r="BA17" s="70">
        <f t="shared" ref="BA17:BA19" si="17">AO17/SUM(AO17:AP17)</f>
        <v>0</v>
      </c>
      <c r="BB17" s="77" t="s">
        <v>67</v>
      </c>
      <c r="BC17" s="32" t="str">
        <f>AX17</f>
        <v>na</v>
      </c>
      <c r="BD17" s="49">
        <f>SUM(BD11*E11+BD19*E19)/SUM(E11,E19)*(E17/E11)</f>
        <v>0.81455982202961663</v>
      </c>
      <c r="BE17" s="49">
        <f>SUM(BE11*F11+BE14*F14)/SUM(F11,F14)</f>
        <v>0.91459359468541102</v>
      </c>
      <c r="BF17" s="49">
        <f>BF15*G17/G15</f>
        <v>0.55009905956112859</v>
      </c>
      <c r="BG17" s="74" t="s">
        <v>67</v>
      </c>
      <c r="BH17" s="33">
        <v>0</v>
      </c>
      <c r="BI17" s="34">
        <v>0</v>
      </c>
      <c r="BJ17" s="83">
        <f>SUM(AK17:AL17)*BD17</f>
        <v>22.807675016829265</v>
      </c>
      <c r="BK17" s="84">
        <f>SUM(AK17:AL17)-BJ17</f>
        <v>5.1923249831707352</v>
      </c>
      <c r="BL17" s="83">
        <f>SUM(AM17:AN17)*BE17</f>
        <v>149.99334952840741</v>
      </c>
      <c r="BM17" s="84">
        <f>SUM(AM17:AN17)-BL17</f>
        <v>14.006650471592593</v>
      </c>
      <c r="BN17" s="83">
        <f>SUM(AO17:AP17)*BF17</f>
        <v>14.302575548589344</v>
      </c>
      <c r="BO17" s="84">
        <f>SUM(AO17:AP17)-BN17</f>
        <v>11.697424451410656</v>
      </c>
      <c r="BP17" s="83">
        <v>0</v>
      </c>
      <c r="BQ17" s="85">
        <v>0</v>
      </c>
    </row>
    <row r="18" spans="1:69" s="10" customFormat="1" ht="12.75" x14ac:dyDescent="0.2">
      <c r="A18" s="21">
        <v>2021</v>
      </c>
      <c r="B18" s="28">
        <v>500039</v>
      </c>
      <c r="C18" s="22">
        <f t="shared" si="0"/>
        <v>1263498</v>
      </c>
      <c r="D18" s="21">
        <v>184597</v>
      </c>
      <c r="E18" s="76">
        <v>66794</v>
      </c>
      <c r="F18" s="44">
        <v>249899</v>
      </c>
      <c r="G18" s="44">
        <v>542856</v>
      </c>
      <c r="H18" s="50">
        <v>219352</v>
      </c>
      <c r="I18" s="24">
        <f t="shared" si="1"/>
        <v>0.14609995425398378</v>
      </c>
      <c r="J18" s="25">
        <f t="shared" si="2"/>
        <v>5.2864349607201593E-2</v>
      </c>
      <c r="K18" s="25">
        <f t="shared" si="3"/>
        <v>0.19778345513803741</v>
      </c>
      <c r="L18" s="25">
        <f t="shared" si="4"/>
        <v>0.42964531799812899</v>
      </c>
      <c r="M18" s="26">
        <f t="shared" si="5"/>
        <v>0.17360692300264821</v>
      </c>
      <c r="N18" s="27">
        <f t="shared" si="6"/>
        <v>2019</v>
      </c>
      <c r="O18" s="30">
        <f t="shared" si="7"/>
        <v>2018</v>
      </c>
      <c r="P18" s="48">
        <f t="shared" si="8"/>
        <v>2017</v>
      </c>
      <c r="Q18" s="48">
        <f t="shared" si="9"/>
        <v>2016</v>
      </c>
      <c r="R18" s="50">
        <f t="shared" si="10"/>
        <v>2015</v>
      </c>
      <c r="S18" s="29" t="s">
        <v>45</v>
      </c>
      <c r="T18" s="30" t="s">
        <v>44</v>
      </c>
      <c r="U18" s="30" t="s">
        <v>41</v>
      </c>
      <c r="V18" s="30" t="s">
        <v>41</v>
      </c>
      <c r="W18" s="31" t="s">
        <v>41</v>
      </c>
      <c r="X18" s="23">
        <v>299</v>
      </c>
      <c r="Y18" s="28"/>
      <c r="Z18" s="28">
        <v>19</v>
      </c>
      <c r="AA18" s="28">
        <v>185</v>
      </c>
      <c r="AB18" s="28">
        <v>22</v>
      </c>
      <c r="AC18" s="23"/>
      <c r="AD18" s="32">
        <v>0</v>
      </c>
      <c r="AE18" s="32">
        <v>8.4070796460176997E-2</v>
      </c>
      <c r="AF18" s="32">
        <v>0.81858407079646023</v>
      </c>
      <c r="AG18" s="32">
        <v>9.7345132743362831E-2</v>
      </c>
      <c r="AH18" s="26">
        <v>0</v>
      </c>
      <c r="AI18" s="33">
        <v>0</v>
      </c>
      <c r="AJ18" s="34">
        <v>0</v>
      </c>
      <c r="AK18" s="33">
        <v>10</v>
      </c>
      <c r="AL18" s="34">
        <f>7+1</f>
        <v>8</v>
      </c>
      <c r="AM18" s="46">
        <v>66</v>
      </c>
      <c r="AN18" s="47">
        <v>115</v>
      </c>
      <c r="AO18" s="46">
        <v>0</v>
      </c>
      <c r="AP18" s="47">
        <v>20</v>
      </c>
      <c r="AQ18" s="46">
        <v>0</v>
      </c>
      <c r="AR18" s="52">
        <v>0</v>
      </c>
      <c r="AS18" s="65">
        <v>0</v>
      </c>
      <c r="AT18" s="66">
        <v>19</v>
      </c>
      <c r="AU18" s="66">
        <v>182</v>
      </c>
      <c r="AV18" s="66">
        <v>21</v>
      </c>
      <c r="AW18" s="35">
        <v>0</v>
      </c>
      <c r="AX18" s="69" t="s">
        <v>67</v>
      </c>
      <c r="AY18" s="69">
        <f>AK18/SUM(AK18:AL18)</f>
        <v>0.55555555555555558</v>
      </c>
      <c r="AZ18" s="70">
        <f t="shared" si="16"/>
        <v>0.36464088397790057</v>
      </c>
      <c r="BA18" s="70">
        <f t="shared" si="17"/>
        <v>0</v>
      </c>
      <c r="BB18" s="77" t="s">
        <v>67</v>
      </c>
      <c r="BC18" s="32" t="str">
        <f>AX18</f>
        <v>na</v>
      </c>
      <c r="BD18" s="32">
        <f>AY18</f>
        <v>0.55555555555555558</v>
      </c>
      <c r="BE18" s="49">
        <f>SUM(BE12*F12+BE14*F14)/SUM(F12,F14)*(F18/F12)</f>
        <v>0.77423415592652156</v>
      </c>
      <c r="BF18" s="49">
        <f>SUM(BF12*G12+BF15*G15)/SUM(G12,G15)</f>
        <v>0.84831751509922348</v>
      </c>
      <c r="BG18" s="74" t="s">
        <v>67</v>
      </c>
      <c r="BH18" s="33">
        <v>0</v>
      </c>
      <c r="BI18" s="34">
        <v>0</v>
      </c>
      <c r="BJ18" s="33">
        <f>AK18</f>
        <v>10</v>
      </c>
      <c r="BK18" s="34">
        <f>AL18</f>
        <v>8</v>
      </c>
      <c r="BL18" s="83">
        <f>SUM(AM18:AN18)*BE18</f>
        <v>140.13638222270041</v>
      </c>
      <c r="BM18" s="84">
        <f>SUM(AM18:AN18)-BL18</f>
        <v>40.863617777299595</v>
      </c>
      <c r="BN18" s="83">
        <f>SUM(AO18:AP18)*BF18</f>
        <v>16.96635030198447</v>
      </c>
      <c r="BO18" s="84">
        <f>SUM(AO18:AP18)-BN18</f>
        <v>3.0336496980155303</v>
      </c>
      <c r="BP18" s="83">
        <v>0</v>
      </c>
      <c r="BQ18" s="85">
        <v>0</v>
      </c>
    </row>
    <row r="19" spans="1:69" s="10" customFormat="1" ht="12.75" x14ac:dyDescent="0.2">
      <c r="A19" s="21">
        <v>2022</v>
      </c>
      <c r="B19" s="28">
        <v>478224</v>
      </c>
      <c r="C19" s="22">
        <f t="shared" si="0"/>
        <v>1466658</v>
      </c>
      <c r="D19" s="44">
        <v>422512</v>
      </c>
      <c r="E19" s="76">
        <v>184597</v>
      </c>
      <c r="F19" s="21">
        <v>66794</v>
      </c>
      <c r="G19" s="44">
        <v>249899</v>
      </c>
      <c r="H19" s="50">
        <v>542856</v>
      </c>
      <c r="I19" s="24">
        <f t="shared" si="1"/>
        <v>0.28807806591584406</v>
      </c>
      <c r="J19" s="25">
        <f t="shared" si="2"/>
        <v>0.12586233464106833</v>
      </c>
      <c r="K19" s="25">
        <f t="shared" si="3"/>
        <v>4.5541632746011682E-2</v>
      </c>
      <c r="L19" s="25">
        <f t="shared" si="4"/>
        <v>0.17038668864861475</v>
      </c>
      <c r="M19" s="26">
        <f t="shared" si="5"/>
        <v>0.37013127804846119</v>
      </c>
      <c r="N19" s="45">
        <f t="shared" si="6"/>
        <v>2020</v>
      </c>
      <c r="O19" s="30">
        <f t="shared" si="7"/>
        <v>2019</v>
      </c>
      <c r="P19" s="28">
        <f t="shared" si="8"/>
        <v>2018</v>
      </c>
      <c r="Q19" s="48">
        <f t="shared" si="9"/>
        <v>2017</v>
      </c>
      <c r="R19" s="50">
        <f t="shared" si="10"/>
        <v>2016</v>
      </c>
      <c r="S19" s="29" t="s">
        <v>41</v>
      </c>
      <c r="T19" s="30" t="s">
        <v>45</v>
      </c>
      <c r="U19" s="30" t="s">
        <v>44</v>
      </c>
      <c r="V19" s="30" t="s">
        <v>41</v>
      </c>
      <c r="W19" s="31" t="s">
        <v>41</v>
      </c>
      <c r="X19" s="23">
        <v>342</v>
      </c>
      <c r="Y19" s="28"/>
      <c r="Z19" s="28">
        <v>134</v>
      </c>
      <c r="AA19" s="28">
        <v>127</v>
      </c>
      <c r="AB19" s="28">
        <v>53</v>
      </c>
      <c r="AC19" s="23">
        <v>1</v>
      </c>
      <c r="AD19" s="32">
        <v>0</v>
      </c>
      <c r="AE19" s="32">
        <v>0.42539682539682538</v>
      </c>
      <c r="AF19" s="32">
        <v>0.40317460317460319</v>
      </c>
      <c r="AG19" s="32">
        <v>0.16825396825396827</v>
      </c>
      <c r="AH19" s="80">
        <v>3.1746031746031746E-3</v>
      </c>
      <c r="AI19" s="46">
        <v>0</v>
      </c>
      <c r="AJ19" s="47">
        <v>0</v>
      </c>
      <c r="AK19" s="33">
        <f>65+6+12</f>
        <v>83</v>
      </c>
      <c r="AL19" s="34">
        <f>42</f>
        <v>42</v>
      </c>
      <c r="AM19" s="33">
        <f>66+1</f>
        <v>67</v>
      </c>
      <c r="AN19" s="34">
        <f>37+5</f>
        <v>42</v>
      </c>
      <c r="AO19" s="46">
        <f>9+2</f>
        <v>11</v>
      </c>
      <c r="AP19" s="47">
        <v>36</v>
      </c>
      <c r="AQ19" s="46">
        <v>0</v>
      </c>
      <c r="AR19" s="52">
        <v>1</v>
      </c>
      <c r="AS19" s="65">
        <v>0</v>
      </c>
      <c r="AT19" s="66">
        <v>134</v>
      </c>
      <c r="AU19" s="66">
        <v>127</v>
      </c>
      <c r="AV19" s="66">
        <v>52</v>
      </c>
      <c r="AW19" s="35">
        <v>1</v>
      </c>
      <c r="AX19" s="70" t="s">
        <v>67</v>
      </c>
      <c r="AY19" s="69">
        <f>AK19/SUM(AK19:AL19)</f>
        <v>0.66400000000000003</v>
      </c>
      <c r="AZ19" s="69">
        <f>AM19/SUM(AM19:AN19)</f>
        <v>0.61467889908256879</v>
      </c>
      <c r="BA19" s="70">
        <f t="shared" si="17"/>
        <v>0.23404255319148937</v>
      </c>
      <c r="BB19" s="77">
        <f>AQ19/SUM(AQ19:AR19)</f>
        <v>0</v>
      </c>
      <c r="BC19" s="49" t="s">
        <v>67</v>
      </c>
      <c r="BD19" s="32">
        <f>AY19</f>
        <v>0.66400000000000003</v>
      </c>
      <c r="BE19" s="32">
        <f>AZ19</f>
        <v>0.61467889908256879</v>
      </c>
      <c r="BF19" s="49">
        <f>BF15*G19/G15</f>
        <v>0.62670595611285274</v>
      </c>
      <c r="BG19" s="74">
        <v>0</v>
      </c>
      <c r="BH19" s="83">
        <v>0</v>
      </c>
      <c r="BI19" s="84">
        <v>0</v>
      </c>
      <c r="BJ19" s="33">
        <f>AK19</f>
        <v>83</v>
      </c>
      <c r="BK19" s="34">
        <f>AL19</f>
        <v>42</v>
      </c>
      <c r="BL19" s="33">
        <f>AM19</f>
        <v>67</v>
      </c>
      <c r="BM19" s="34">
        <f>AN19</f>
        <v>42</v>
      </c>
      <c r="BN19" s="83">
        <f>SUM(AO19:AP19)*BF19</f>
        <v>29.455179937304077</v>
      </c>
      <c r="BO19" s="84">
        <f>SUM(AO19:AP19)-BN19</f>
        <v>17.544820062695923</v>
      </c>
      <c r="BP19" s="83">
        <f>SUM(AQ19:AR19)*BG19</f>
        <v>0</v>
      </c>
      <c r="BQ19" s="85">
        <f>SUM(AQ19:AR19)-BP19</f>
        <v>1</v>
      </c>
    </row>
    <row r="20" spans="1:69" s="10" customFormat="1" ht="12.75" x14ac:dyDescent="0.2">
      <c r="A20" s="21">
        <v>2023</v>
      </c>
      <c r="B20" s="28"/>
      <c r="C20" s="22">
        <f t="shared" si="0"/>
        <v>1423841</v>
      </c>
      <c r="D20" s="11">
        <v>500039</v>
      </c>
      <c r="E20" s="44">
        <v>422512</v>
      </c>
      <c r="F20" s="21">
        <v>184597</v>
      </c>
      <c r="G20" s="21">
        <v>66794</v>
      </c>
      <c r="H20" s="50">
        <v>249899</v>
      </c>
      <c r="I20" s="24">
        <f t="shared" si="1"/>
        <v>0.35119019609633378</v>
      </c>
      <c r="J20" s="25">
        <f t="shared" si="2"/>
        <v>0.29674099846822782</v>
      </c>
      <c r="K20" s="25">
        <f t="shared" si="3"/>
        <v>0.12964720077592934</v>
      </c>
      <c r="L20" s="25">
        <f t="shared" si="4"/>
        <v>4.6911136847442934E-2</v>
      </c>
      <c r="M20" s="26">
        <f t="shared" si="5"/>
        <v>0.17551046781206608</v>
      </c>
      <c r="N20" s="51">
        <f t="shared" si="6"/>
        <v>2021</v>
      </c>
      <c r="O20" s="48">
        <f t="shared" si="7"/>
        <v>2020</v>
      </c>
      <c r="P20" s="28">
        <f t="shared" si="8"/>
        <v>2019</v>
      </c>
      <c r="Q20" s="28">
        <f t="shared" si="9"/>
        <v>2018</v>
      </c>
      <c r="R20" s="50">
        <f t="shared" si="10"/>
        <v>2017</v>
      </c>
      <c r="S20" s="29" t="s">
        <v>46</v>
      </c>
      <c r="T20" s="30" t="s">
        <v>41</v>
      </c>
      <c r="U20" s="30" t="s">
        <v>45</v>
      </c>
      <c r="V20" s="30" t="s">
        <v>44</v>
      </c>
      <c r="W20" s="31" t="s">
        <v>41</v>
      </c>
      <c r="X20" s="23">
        <v>363</v>
      </c>
      <c r="Y20" s="28"/>
      <c r="Z20" s="28">
        <v>108</v>
      </c>
      <c r="AA20" s="28">
        <v>226</v>
      </c>
      <c r="AB20" s="28">
        <v>13</v>
      </c>
      <c r="AC20" s="23"/>
      <c r="AD20" s="32">
        <v>0</v>
      </c>
      <c r="AE20" s="32">
        <v>0.31123919308357351</v>
      </c>
      <c r="AF20" s="32">
        <v>0.65129682997118155</v>
      </c>
      <c r="AG20" s="32">
        <v>3.7463976945244955E-2</v>
      </c>
      <c r="AH20" s="26">
        <v>0</v>
      </c>
      <c r="AI20" s="33"/>
      <c r="AJ20" s="34"/>
      <c r="AK20" s="46"/>
      <c r="AL20" s="47"/>
      <c r="AM20" s="33"/>
      <c r="AN20" s="34"/>
      <c r="AO20" s="33"/>
      <c r="AP20" s="34"/>
      <c r="AQ20" s="46"/>
      <c r="AR20" s="52"/>
      <c r="AS20" s="65"/>
      <c r="AT20" s="66"/>
      <c r="AU20" s="66"/>
      <c r="AV20" s="66"/>
      <c r="AW20" s="35"/>
      <c r="AX20" s="40"/>
      <c r="AY20" s="53"/>
      <c r="AZ20" s="42"/>
      <c r="BA20" s="42"/>
      <c r="BB20" s="43"/>
      <c r="BC20" s="32"/>
      <c r="BD20" s="32"/>
      <c r="BE20" s="32"/>
      <c r="BF20" s="32"/>
      <c r="BG20" s="26"/>
      <c r="BH20" s="33"/>
      <c r="BI20" s="34"/>
      <c r="BJ20" s="46"/>
      <c r="BK20" s="47"/>
      <c r="BL20" s="33"/>
      <c r="BM20" s="34"/>
      <c r="BN20" s="33"/>
      <c r="BO20" s="34"/>
      <c r="BP20" s="46"/>
      <c r="BQ20" s="52"/>
    </row>
    <row r="21" spans="1:69" s="10" customFormat="1" ht="12.75" x14ac:dyDescent="0.2">
      <c r="A21" s="21">
        <v>2024</v>
      </c>
      <c r="B21" s="28"/>
      <c r="C21" s="22">
        <f t="shared" si="0"/>
        <v>1652166</v>
      </c>
      <c r="D21" s="21">
        <v>478224</v>
      </c>
      <c r="E21" s="11">
        <v>500039</v>
      </c>
      <c r="F21" s="44">
        <v>422512</v>
      </c>
      <c r="G21" s="21">
        <v>184597</v>
      </c>
      <c r="H21" s="23">
        <v>66794</v>
      </c>
      <c r="I21" s="24">
        <f t="shared" si="1"/>
        <v>0.28945275474740434</v>
      </c>
      <c r="J21" s="25">
        <f t="shared" si="2"/>
        <v>0.30265663377650914</v>
      </c>
      <c r="K21" s="25">
        <f t="shared" si="3"/>
        <v>0.25573217219092997</v>
      </c>
      <c r="L21" s="25">
        <f t="shared" si="4"/>
        <v>0.11173029828721812</v>
      </c>
      <c r="M21" s="26">
        <f t="shared" si="5"/>
        <v>4.0428140997938462E-2</v>
      </c>
      <c r="N21" s="27"/>
      <c r="O21" s="28"/>
      <c r="P21" s="48">
        <v>2020</v>
      </c>
      <c r="Q21" s="28"/>
      <c r="R21" s="23"/>
      <c r="S21" s="29"/>
      <c r="T21" s="30" t="s">
        <v>46</v>
      </c>
      <c r="U21" s="30" t="s">
        <v>41</v>
      </c>
      <c r="V21" s="30" t="s">
        <v>45</v>
      </c>
      <c r="W21" s="31" t="s">
        <v>44</v>
      </c>
      <c r="X21" s="23"/>
      <c r="Y21" s="28"/>
      <c r="Z21" s="28"/>
      <c r="AA21" s="28"/>
      <c r="AB21" s="28"/>
      <c r="AC21" s="23"/>
      <c r="AD21" s="32"/>
      <c r="AE21" s="32"/>
      <c r="AF21" s="32"/>
      <c r="AG21" s="32"/>
      <c r="AH21" s="26"/>
      <c r="AI21" s="33"/>
      <c r="AJ21" s="34"/>
      <c r="AK21" s="33"/>
      <c r="AL21" s="34"/>
      <c r="AM21" s="46"/>
      <c r="AN21" s="47"/>
      <c r="AO21" s="33"/>
      <c r="AP21" s="34"/>
      <c r="AQ21" s="33"/>
      <c r="AR21" s="35"/>
      <c r="AS21" s="65"/>
      <c r="AT21" s="66"/>
      <c r="AU21" s="66"/>
      <c r="AV21" s="66"/>
      <c r="AW21" s="35"/>
      <c r="AX21" s="21"/>
      <c r="AY21" s="21"/>
      <c r="AZ21" s="54"/>
      <c r="BB21" s="36"/>
      <c r="BC21" s="32"/>
      <c r="BD21" s="32"/>
      <c r="BE21" s="32"/>
      <c r="BF21" s="32"/>
      <c r="BG21" s="26"/>
      <c r="BH21" s="33"/>
      <c r="BI21" s="34"/>
      <c r="BJ21" s="33"/>
      <c r="BK21" s="34"/>
      <c r="BL21" s="46"/>
      <c r="BM21" s="47"/>
      <c r="BN21" s="33"/>
      <c r="BO21" s="34"/>
      <c r="BP21" s="33"/>
      <c r="BQ21" s="35"/>
    </row>
    <row r="22" spans="1:69" s="10" customFormat="1" ht="12.75" x14ac:dyDescent="0.2">
      <c r="A22" s="21">
        <v>2025</v>
      </c>
      <c r="B22" s="28"/>
      <c r="C22" s="22"/>
      <c r="D22" s="28"/>
      <c r="E22" s="21">
        <v>478224</v>
      </c>
      <c r="F22" s="11">
        <v>500039</v>
      </c>
      <c r="G22" s="44">
        <v>422512</v>
      </c>
      <c r="H22" s="23">
        <v>184597</v>
      </c>
      <c r="I22" s="24"/>
      <c r="J22" s="25"/>
      <c r="K22" s="55"/>
      <c r="L22" s="25"/>
      <c r="M22" s="23"/>
      <c r="N22" s="27"/>
      <c r="O22" s="28"/>
      <c r="P22" s="28"/>
      <c r="Q22" s="48">
        <v>2020</v>
      </c>
      <c r="R22" s="23"/>
      <c r="S22" s="29"/>
      <c r="T22" s="30"/>
      <c r="U22" s="30" t="s">
        <v>46</v>
      </c>
      <c r="V22" s="30" t="s">
        <v>41</v>
      </c>
      <c r="W22" s="31" t="s">
        <v>45</v>
      </c>
      <c r="X22" s="23"/>
      <c r="Y22" s="28"/>
      <c r="Z22" s="28"/>
      <c r="AA22" s="28"/>
      <c r="AB22" s="28"/>
      <c r="AC22" s="23"/>
      <c r="AD22" s="32"/>
      <c r="AE22" s="32"/>
      <c r="AF22" s="32"/>
      <c r="AG22" s="32"/>
      <c r="AH22" s="26"/>
      <c r="AI22" s="33"/>
      <c r="AJ22" s="34"/>
      <c r="AK22" s="33"/>
      <c r="AL22" s="34"/>
      <c r="AM22" s="33"/>
      <c r="AN22" s="34"/>
      <c r="AO22" s="46"/>
      <c r="AP22" s="47"/>
      <c r="AQ22" s="33"/>
      <c r="AR22" s="35"/>
      <c r="AS22" s="65"/>
      <c r="AT22" s="66"/>
      <c r="AU22" s="66"/>
      <c r="AV22" s="66"/>
      <c r="AW22" s="35"/>
      <c r="AX22" s="21"/>
      <c r="AY22" s="21"/>
      <c r="BA22" s="54"/>
      <c r="BB22" s="36"/>
      <c r="BC22" s="32"/>
      <c r="BD22" s="32"/>
      <c r="BE22" s="32"/>
      <c r="BF22" s="32"/>
      <c r="BG22" s="26"/>
      <c r="BH22" s="33"/>
      <c r="BI22" s="34"/>
      <c r="BJ22" s="33"/>
      <c r="BK22" s="34"/>
      <c r="BL22" s="33"/>
      <c r="BM22" s="34"/>
      <c r="BN22" s="46"/>
      <c r="BO22" s="47"/>
      <c r="BP22" s="33"/>
      <c r="BQ22" s="35"/>
    </row>
    <row r="23" spans="1:69" s="10" customFormat="1" ht="12.75" x14ac:dyDescent="0.2">
      <c r="A23" s="21">
        <v>2026</v>
      </c>
      <c r="B23" s="28"/>
      <c r="C23" s="22"/>
      <c r="D23" s="28"/>
      <c r="E23" s="28"/>
      <c r="F23" s="21">
        <v>478224</v>
      </c>
      <c r="G23" s="11">
        <v>500039</v>
      </c>
      <c r="H23" s="50">
        <v>422512</v>
      </c>
      <c r="I23" s="24"/>
      <c r="J23" s="25"/>
      <c r="K23" s="25"/>
      <c r="L23" s="25"/>
      <c r="M23" s="23"/>
      <c r="N23" s="27"/>
      <c r="O23" s="28"/>
      <c r="P23" s="28"/>
      <c r="Q23" s="28"/>
      <c r="R23" s="48">
        <v>2020</v>
      </c>
      <c r="S23" s="29"/>
      <c r="T23" s="30"/>
      <c r="U23" s="30"/>
      <c r="V23" s="30" t="s">
        <v>46</v>
      </c>
      <c r="W23" s="31" t="s">
        <v>41</v>
      </c>
      <c r="X23" s="23"/>
      <c r="Y23" s="27"/>
      <c r="Z23" s="28"/>
      <c r="AA23" s="28"/>
      <c r="AB23" s="28"/>
      <c r="AC23" s="23"/>
      <c r="AD23" s="32"/>
      <c r="AE23" s="32"/>
      <c r="AF23" s="32"/>
      <c r="AG23" s="32"/>
      <c r="AH23" s="26"/>
      <c r="AI23" s="33"/>
      <c r="AJ23" s="34"/>
      <c r="AK23" s="33"/>
      <c r="AL23" s="34"/>
      <c r="AM23" s="33"/>
      <c r="AN23" s="34"/>
      <c r="AO23" s="33"/>
      <c r="AP23" s="34"/>
      <c r="AQ23" s="46"/>
      <c r="AR23" s="52"/>
      <c r="AS23" s="65"/>
      <c r="AT23" s="66"/>
      <c r="AU23" s="66"/>
      <c r="AV23" s="66"/>
      <c r="AW23" s="35"/>
      <c r="AX23" s="21"/>
      <c r="AY23" s="21"/>
      <c r="BB23" s="56"/>
      <c r="BG23" s="36"/>
      <c r="BH23" s="33"/>
      <c r="BI23" s="34"/>
      <c r="BJ23" s="33"/>
      <c r="BK23" s="34"/>
      <c r="BL23" s="33"/>
      <c r="BM23" s="34"/>
      <c r="BN23" s="33"/>
      <c r="BO23" s="34"/>
      <c r="BP23" s="46"/>
      <c r="BQ23" s="52"/>
    </row>
    <row r="24" spans="1:69" s="10" customFormat="1" ht="12.75" x14ac:dyDescent="0.2">
      <c r="A24" s="21">
        <v>2027</v>
      </c>
      <c r="B24" s="21"/>
      <c r="C24" s="22"/>
      <c r="D24" s="28"/>
      <c r="E24" s="28"/>
      <c r="F24" s="28"/>
      <c r="G24" s="21">
        <v>478224</v>
      </c>
      <c r="H24" s="57">
        <v>500039</v>
      </c>
      <c r="I24" s="27"/>
      <c r="J24" s="28"/>
      <c r="K24" s="28"/>
      <c r="L24" s="28"/>
      <c r="M24" s="23"/>
      <c r="N24" s="27"/>
      <c r="O24" s="28"/>
      <c r="P24" s="28"/>
      <c r="Q24" s="28"/>
      <c r="R24" s="23"/>
      <c r="S24" s="29"/>
      <c r="T24" s="30"/>
      <c r="U24" s="30"/>
      <c r="V24" s="30"/>
      <c r="W24" s="31" t="s">
        <v>46</v>
      </c>
      <c r="X24" s="23"/>
      <c r="Y24" s="27"/>
      <c r="Z24" s="28"/>
      <c r="AA24" s="28"/>
      <c r="AB24" s="28"/>
      <c r="AC24" s="23"/>
      <c r="AD24" s="32"/>
      <c r="AE24" s="32"/>
      <c r="AF24" s="32"/>
      <c r="AG24" s="32"/>
      <c r="AH24" s="26"/>
      <c r="AI24" s="33"/>
      <c r="AJ24" s="34"/>
      <c r="AK24" s="33"/>
      <c r="AL24" s="34"/>
      <c r="AM24" s="33"/>
      <c r="AN24" s="34"/>
      <c r="AO24" s="33"/>
      <c r="AP24" s="34"/>
      <c r="AQ24" s="33"/>
      <c r="AR24" s="35"/>
      <c r="AS24" s="65"/>
      <c r="AT24" s="66"/>
      <c r="AU24" s="66"/>
      <c r="AV24" s="66"/>
      <c r="AW24" s="35"/>
      <c r="AX24" s="21"/>
      <c r="AY24" s="21"/>
      <c r="BB24" s="36"/>
      <c r="BG24" s="36"/>
      <c r="BH24" s="33"/>
      <c r="BI24" s="34"/>
      <c r="BJ24" s="33"/>
      <c r="BK24" s="34"/>
      <c r="BL24" s="33"/>
      <c r="BM24" s="34"/>
      <c r="BN24" s="33"/>
      <c r="BO24" s="34"/>
      <c r="BP24" s="33"/>
      <c r="BQ24" s="35"/>
    </row>
    <row r="25" spans="1:69" x14ac:dyDescent="0.25">
      <c r="BM25" s="86"/>
    </row>
  </sheetData>
  <conditionalFormatting sqref="P9:R9 N9:N12 P13:R14 Q10:R10 P11 R11 P12:Q12 P20:Q20 R16 P19 Q15:R15 N17:N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R10 R11 N9:N12 O10:O13 P11:P14 Q12:Q15 R13:R16 P20:Q20 P19 O18:O19 N17:N18 P9:R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R7 O8:R8 P9:R9 Q10:R10 R11 N9:N12 N17:N18 O18:O19 P19:P20 Q20 O10:O13 P11:P14 Q12:Q15 R13:R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9">
    <cfRule type="colorScale" priority="2">
      <colorScale>
        <cfvo type="min"/>
        <cfvo type="max"/>
        <color rgb="FFFCFCFF"/>
        <color rgb="FF63BE7B"/>
      </colorScale>
    </cfRule>
  </conditionalFormatting>
  <conditionalFormatting sqref="D5:H7 H8:H11 E8:G8 F9:G9 G10 D9:D12 E10:E13 F11:F14 G12:G15 H13:H16 D17:D18 E18:E19 F19:F20 G20:G21 H21:H22 D21 E22 F23 G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incl strays</vt:lpstr>
      <vt:lpstr>excl strays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Thom, Michael (DFO/MPO)</dc:creator>
  <cp:lastModifiedBy>Davidson, Katie (DFO/MPO)</cp:lastModifiedBy>
  <dcterms:created xsi:type="dcterms:W3CDTF">2024-05-28T00:13:04Z</dcterms:created>
  <dcterms:modified xsi:type="dcterms:W3CDTF">2024-11-14T22:26:23Z</dcterms:modified>
</cp:coreProperties>
</file>