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heckCompatibility="1"/>
  <mc:AlternateContent xmlns:mc="http://schemas.openxmlformats.org/markup-compatibility/2006">
    <mc:Choice Requires="x15">
      <x15ac:absPath xmlns:x15ac="http://schemas.microsoft.com/office/spreadsheetml/2010/11/ac" url="/Users/katherineheal/Google_Drive/My Drive/00_XCMS_Working/Gradients_Reanalysis/Manual_Integrations/DataProcessing/MetaData/DMSP_data/"/>
    </mc:Choice>
  </mc:AlternateContent>
  <xr:revisionPtr revIDLastSave="0" documentId="13_ncr:1_{DE5633E8-8EF0-9B41-8343-2ED123E78B5D}" xr6:coauthVersionLast="45" xr6:coauthVersionMax="45" xr10:uidLastSave="{00000000-0000-0000-0000-000000000000}"/>
  <bookViews>
    <workbookView xWindow="20100" yWindow="460" windowWidth="22600" windowHeight="25180" tabRatio="500" xr2:uid="{00000000-000D-0000-FFFF-FFFF00000000}"/>
  </bookViews>
  <sheets>
    <sheet name="Supp Table I" sheetId="2" r:id="rId1"/>
    <sheet name="Supp Table II" sheetId="1" r:id="rId2"/>
    <sheet name="Supp Table III" sheetId="5" r:id="rId3"/>
    <sheet name="Supp Table IV" sheetId="9" r:id="rId4"/>
    <sheet name="Supp Table V" sheetId="8" r:id="rId5"/>
    <sheet name="Supp Table VI" sheetId="6" r:id="rId6"/>
  </sheets>
  <definedNames>
    <definedName name="_xlnm._FilterDatabase" localSheetId="0" hidden="1">'Supp Table I'!$A$9:$O$240</definedName>
    <definedName name="_xlnm.Print_Area" localSheetId="0">'Supp Table I'!$A$1:$K$287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0" i="2" l="1"/>
  <c r="F17" i="6"/>
  <c r="F15" i="6"/>
  <c r="F16" i="6"/>
  <c r="F18" i="6"/>
  <c r="F19" i="6"/>
  <c r="F20" i="6"/>
  <c r="F21" i="6"/>
  <c r="F22" i="6"/>
  <c r="F23" i="6"/>
  <c r="F24" i="6"/>
  <c r="F25" i="6"/>
  <c r="F14" i="6"/>
  <c r="D13" i="9"/>
  <c r="C13" i="9"/>
  <c r="D12" i="9"/>
  <c r="C12" i="9"/>
  <c r="D11" i="9"/>
  <c r="C11" i="9"/>
  <c r="D10" i="9"/>
  <c r="C10" i="9"/>
  <c r="D9" i="9"/>
  <c r="C9" i="9"/>
  <c r="D7" i="9"/>
  <c r="C7" i="9"/>
  <c r="D6" i="9"/>
  <c r="C6" i="9"/>
  <c r="D5" i="9"/>
  <c r="C5" i="9"/>
  <c r="D4" i="9"/>
  <c r="C4" i="9"/>
  <c r="D3" i="9"/>
  <c r="C3" i="9"/>
  <c r="E15" i="6"/>
  <c r="E16" i="6"/>
  <c r="E17" i="6"/>
  <c r="E18" i="6"/>
  <c r="E19" i="6"/>
  <c r="E20" i="6"/>
  <c r="E21" i="6"/>
  <c r="E22" i="6"/>
  <c r="E23" i="6"/>
  <c r="E24" i="6"/>
  <c r="E25" i="6"/>
  <c r="E14" i="6"/>
  <c r="H261" i="2"/>
  <c r="H260" i="2"/>
  <c r="H258" i="2"/>
  <c r="H257" i="2"/>
  <c r="H256" i="2"/>
  <c r="H255" i="2"/>
  <c r="H254" i="2"/>
  <c r="H253" i="2"/>
  <c r="H223" i="2"/>
  <c r="H222" i="2"/>
  <c r="H221" i="2"/>
  <c r="I140" i="2"/>
  <c r="H140" i="2"/>
  <c r="H136" i="2"/>
  <c r="H86" i="2"/>
  <c r="H45" i="2"/>
  <c r="H43" i="2"/>
  <c r="H39" i="2"/>
  <c r="H40" i="2"/>
  <c r="H37" i="2"/>
  <c r="H35" i="2"/>
  <c r="H34" i="2"/>
  <c r="H32" i="2"/>
  <c r="H27" i="2"/>
  <c r="H23" i="2"/>
  <c r="H22" i="2"/>
  <c r="H19" i="2"/>
  <c r="H18" i="2"/>
  <c r="H17" i="2"/>
  <c r="H16" i="2"/>
  <c r="H14" i="2"/>
  <c r="H13" i="2"/>
  <c r="H225" i="2"/>
  <c r="H137" i="2"/>
  <c r="H82" i="2"/>
  <c r="H81" i="2"/>
  <c r="H80" i="2"/>
  <c r="H4" i="2"/>
  <c r="H3" i="2"/>
  <c r="H2" i="2"/>
  <c r="H159" i="2"/>
  <c r="H158" i="2"/>
  <c r="H157" i="2"/>
  <c r="H156" i="2"/>
  <c r="H155" i="2"/>
  <c r="H154" i="2"/>
  <c r="H153" i="2"/>
  <c r="H152" i="2"/>
  <c r="H151" i="2"/>
  <c r="H143" i="2"/>
  <c r="H65" i="2"/>
  <c r="H64" i="2"/>
  <c r="H62" i="2"/>
  <c r="H61" i="2"/>
  <c r="H131" i="2"/>
  <c r="H130" i="2"/>
  <c r="H129" i="2"/>
  <c r="H128" i="2"/>
  <c r="H127" i="2"/>
  <c r="H126" i="2"/>
  <c r="H125" i="2"/>
  <c r="H124" i="2"/>
  <c r="H123" i="2"/>
  <c r="H122" i="2"/>
  <c r="H227" i="2"/>
  <c r="H218" i="2"/>
  <c r="H217" i="2"/>
  <c r="H216" i="2"/>
  <c r="H215" i="2"/>
  <c r="H214" i="2"/>
  <c r="I213" i="2"/>
  <c r="H213" i="2"/>
  <c r="H212" i="2"/>
  <c r="H206" i="2"/>
  <c r="H205" i="2"/>
  <c r="H203" i="2"/>
  <c r="H200" i="2"/>
  <c r="H199" i="2"/>
  <c r="H198" i="2"/>
  <c r="H197" i="2"/>
  <c r="H193" i="2"/>
  <c r="H192" i="2"/>
  <c r="H191" i="2"/>
  <c r="H190" i="2"/>
  <c r="H189" i="2"/>
  <c r="H188" i="2"/>
  <c r="H187" i="2"/>
  <c r="H183" i="2"/>
  <c r="H181" i="2"/>
  <c r="H180" i="2"/>
  <c r="H179" i="2"/>
  <c r="H174" i="2"/>
  <c r="H173" i="2"/>
  <c r="H172" i="2"/>
  <c r="H170" i="2"/>
  <c r="H169" i="2"/>
  <c r="H167" i="2"/>
  <c r="H166" i="2"/>
  <c r="H165" i="2"/>
  <c r="H85" i="2"/>
  <c r="H84" i="2"/>
  <c r="H77" i="2"/>
  <c r="H76" i="2"/>
  <c r="H75" i="2"/>
  <c r="H74" i="2"/>
  <c r="H73" i="2"/>
  <c r="H9" i="2"/>
  <c r="H8" i="2"/>
  <c r="H6" i="2"/>
  <c r="H7" i="2"/>
  <c r="H5" i="2"/>
  <c r="H150" i="2"/>
  <c r="H149" i="2"/>
  <c r="H148" i="2"/>
  <c r="H147" i="2"/>
  <c r="H146" i="2"/>
  <c r="H145" i="2"/>
  <c r="H144" i="2"/>
  <c r="H142" i="2"/>
  <c r="H121" i="2"/>
  <c r="H120" i="2"/>
  <c r="H119" i="2"/>
  <c r="H117" i="2"/>
  <c r="H116" i="2"/>
  <c r="H115" i="2"/>
  <c r="H114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7" i="2"/>
  <c r="H96" i="2"/>
  <c r="K107" i="1"/>
  <c r="K106" i="1"/>
  <c r="K105" i="1"/>
  <c r="K104" i="1"/>
  <c r="K103" i="1"/>
  <c r="K102" i="1"/>
  <c r="K101" i="1"/>
  <c r="K96" i="1"/>
  <c r="K95" i="1"/>
  <c r="K94" i="1"/>
  <c r="K93" i="1"/>
  <c r="K89" i="1"/>
  <c r="K88" i="1"/>
  <c r="K87" i="1"/>
  <c r="K85" i="1"/>
  <c r="K84" i="1"/>
  <c r="K78" i="1"/>
  <c r="K77" i="1"/>
  <c r="K76" i="1"/>
  <c r="K75" i="1"/>
  <c r="K74" i="1"/>
  <c r="K70" i="1"/>
  <c r="K69" i="1"/>
  <c r="K68" i="1"/>
  <c r="K67" i="1"/>
  <c r="K66" i="1"/>
  <c r="K65" i="1"/>
  <c r="K64" i="1"/>
  <c r="K62" i="1"/>
  <c r="K60" i="1"/>
  <c r="K58" i="1"/>
  <c r="K56" i="1"/>
  <c r="K54" i="1"/>
  <c r="K53" i="1"/>
  <c r="K49" i="1"/>
  <c r="K48" i="1"/>
  <c r="K47" i="1"/>
  <c r="K46" i="1"/>
  <c r="K45" i="1"/>
  <c r="K44" i="1"/>
  <c r="K43" i="1"/>
  <c r="K42" i="1"/>
  <c r="K41" i="1"/>
  <c r="K34" i="1"/>
  <c r="K33" i="1"/>
  <c r="K30" i="1"/>
  <c r="K29" i="1"/>
  <c r="K24" i="1"/>
  <c r="K23" i="1"/>
  <c r="K22" i="1"/>
  <c r="K21" i="1"/>
  <c r="K19" i="1"/>
  <c r="K18" i="1"/>
  <c r="K16" i="1"/>
  <c r="K15" i="1"/>
  <c r="K14" i="1"/>
  <c r="K13" i="1"/>
  <c r="K11" i="1"/>
  <c r="K9" i="1"/>
  <c r="K7" i="1"/>
  <c r="K5" i="1"/>
  <c r="K3" i="1"/>
</calcChain>
</file>

<file path=xl/sharedStrings.xml><?xml version="1.0" encoding="utf-8"?>
<sst xmlns="http://schemas.openxmlformats.org/spreadsheetml/2006/main" count="2597" uniqueCount="755">
  <si>
    <t>Species</t>
  </si>
  <si>
    <t>Strain</t>
  </si>
  <si>
    <t>Temp ( C)</t>
  </si>
  <si>
    <t>Light:Dark</t>
  </si>
  <si>
    <t>Growth</t>
  </si>
  <si>
    <t>Treatment</t>
  </si>
  <si>
    <t>Growth rate (d-1)</t>
  </si>
  <si>
    <t>Intracellular DMSP (mM)</t>
  </si>
  <si>
    <t>Franklin et al. 2010</t>
  </si>
  <si>
    <t>Calcidiscus leptoporus</t>
  </si>
  <si>
    <t>RCC1154</t>
  </si>
  <si>
    <t>High</t>
  </si>
  <si>
    <t>Batch</t>
  </si>
  <si>
    <t>k/5 vs k/50</t>
  </si>
  <si>
    <t>Coccolithus braarudii</t>
  </si>
  <si>
    <t>RCC1200</t>
  </si>
  <si>
    <t>Gephyrocapsa oceanica</t>
  </si>
  <si>
    <t>RCC1291</t>
  </si>
  <si>
    <t>Helicosphaera carteri</t>
  </si>
  <si>
    <t>RCC1333</t>
  </si>
  <si>
    <t>Umbilicosphaera sibogae</t>
  </si>
  <si>
    <t>RCC1469</t>
  </si>
  <si>
    <t>Franklin et al. 2012</t>
  </si>
  <si>
    <t>Emiliania huxleyi</t>
  </si>
  <si>
    <t>CCMP 1516</t>
  </si>
  <si>
    <t>Grow to senescence</t>
  </si>
  <si>
    <t>Keller et al. 1999</t>
  </si>
  <si>
    <t>Amphidinium carterae</t>
  </si>
  <si>
    <t>CCMP 1314</t>
  </si>
  <si>
    <t>Chemostat</t>
  </si>
  <si>
    <t>Nitrate limitation</t>
  </si>
  <si>
    <t>CCMP 378</t>
  </si>
  <si>
    <t>Kinsey et al. 2016</t>
  </si>
  <si>
    <t>Phaeocystis antarctica</t>
  </si>
  <si>
    <t>CCMP 3314</t>
  </si>
  <si>
    <t>-</t>
  </si>
  <si>
    <t>Fe limitation</t>
  </si>
  <si>
    <t>Stefels and van Leeuwe 1998</t>
  </si>
  <si>
    <t>Phaeocystis sp.</t>
  </si>
  <si>
    <t>16:8</t>
  </si>
  <si>
    <t>Fe limitation, low light</t>
  </si>
  <si>
    <t>Fe limitation, high light</t>
  </si>
  <si>
    <t>Sunda et al. 2002</t>
  </si>
  <si>
    <t>CCMP 374</t>
  </si>
  <si>
    <t>Semi-con</t>
  </si>
  <si>
    <t>CO2 lim</t>
  </si>
  <si>
    <t>Sunda et al. 2007</t>
  </si>
  <si>
    <t>batch</t>
  </si>
  <si>
    <t>NH4 limitation</t>
  </si>
  <si>
    <t>NO3 limitation</t>
  </si>
  <si>
    <t>semi-con</t>
  </si>
  <si>
    <t>Bucciarelli and Sunda 2003</t>
  </si>
  <si>
    <t>Thalassiosira pseudonana</t>
  </si>
  <si>
    <t>CCMP 1335</t>
  </si>
  <si>
    <t>Low</t>
  </si>
  <si>
    <t>NO3 limi</t>
  </si>
  <si>
    <t>PO4 lim</t>
  </si>
  <si>
    <t>SiO4 lim</t>
  </si>
  <si>
    <t>Bucciarelli et al. 2013</t>
  </si>
  <si>
    <t>Trichodesmium erythraeum</t>
  </si>
  <si>
    <t>IMS101</t>
  </si>
  <si>
    <t>Thalassiosira oceanica</t>
  </si>
  <si>
    <t>CCMP 1005</t>
  </si>
  <si>
    <t>Harada et al. 2009</t>
  </si>
  <si>
    <t>NO3 lim</t>
  </si>
  <si>
    <t>Kettles et al. 2014</t>
  </si>
  <si>
    <t>NO3 starved</t>
  </si>
  <si>
    <t>Spielmeyer and Pohnert 2012</t>
  </si>
  <si>
    <t>Skeletonema marinoi</t>
  </si>
  <si>
    <t>G4</t>
  </si>
  <si>
    <t>CO2 limitation</t>
  </si>
  <si>
    <t>NCBI name</t>
  </si>
  <si>
    <t>Eukaryote</t>
  </si>
  <si>
    <t>Chromalveolata</t>
  </si>
  <si>
    <t>Alveolates</t>
  </si>
  <si>
    <t>Dinophyceae</t>
  </si>
  <si>
    <t>AMPHI</t>
  </si>
  <si>
    <t>EF057407.1</t>
  </si>
  <si>
    <t>Keller et al. 1989</t>
  </si>
  <si>
    <t>CCMP1314</t>
  </si>
  <si>
    <t>Keller et al. 1996</t>
  </si>
  <si>
    <t>Brandtodinium nutricula</t>
  </si>
  <si>
    <t>RCC3468</t>
  </si>
  <si>
    <t>490ˆ</t>
  </si>
  <si>
    <t>Gutierrez-Rodriguez et al. 2017</t>
  </si>
  <si>
    <t>Cachonina niei</t>
  </si>
  <si>
    <t>CACH</t>
  </si>
  <si>
    <t xml:space="preserve">EF492499.1 </t>
  </si>
  <si>
    <t>Crypthecodinium cohnii</t>
  </si>
  <si>
    <t>CCOHNII</t>
  </si>
  <si>
    <t xml:space="preserve">FJ821501.1 </t>
  </si>
  <si>
    <t>CCMP316</t>
  </si>
  <si>
    <t>Gymnodinium simplex</t>
  </si>
  <si>
    <t>CCMP419</t>
  </si>
  <si>
    <t>Gymnodinium sp.</t>
  </si>
  <si>
    <t>94GYR</t>
  </si>
  <si>
    <t>Gymnoxanthella radiolariae</t>
  </si>
  <si>
    <t>RCC3507</t>
  </si>
  <si>
    <t>AB920349.1</t>
  </si>
  <si>
    <t>462ˆ</t>
  </si>
  <si>
    <t>Heterocapsa pygmaea</t>
  </si>
  <si>
    <t>GYMNO</t>
  </si>
  <si>
    <t>EF492500.1</t>
  </si>
  <si>
    <t>Heterocapsa sp.</t>
  </si>
  <si>
    <t>GT23</t>
  </si>
  <si>
    <t>Pelagodinium beii</t>
  </si>
  <si>
    <t>RCC1491</t>
  </si>
  <si>
    <t>JX661028.1</t>
  </si>
  <si>
    <t>272ˆ</t>
  </si>
  <si>
    <t>Prorocentrum micans</t>
  </si>
  <si>
    <t>CCMP691</t>
  </si>
  <si>
    <t>Prorocentrum minimum</t>
  </si>
  <si>
    <t>EXUV</t>
  </si>
  <si>
    <t>FJ587221.1</t>
  </si>
  <si>
    <t>CCMP1329</t>
  </si>
  <si>
    <t>Prorocentrum sp.</t>
  </si>
  <si>
    <t>M12-11</t>
  </si>
  <si>
    <t>Protogonyaulax tamarensis</t>
  </si>
  <si>
    <t>GT429</t>
  </si>
  <si>
    <t>Scrippsiella trochoidea</t>
  </si>
  <si>
    <t>PERI</t>
  </si>
  <si>
    <t>AJ415515.1</t>
  </si>
  <si>
    <t>Symbiodinium microadriaticum</t>
  </si>
  <si>
    <t>HIPP</t>
  </si>
  <si>
    <t>M88521.1</t>
  </si>
  <si>
    <t>Thoracosphaera heimii</t>
  </si>
  <si>
    <t>L603</t>
  </si>
  <si>
    <t>LC054944.1</t>
  </si>
  <si>
    <t>unidentified dinoflagellate</t>
  </si>
  <si>
    <t>DDT</t>
  </si>
  <si>
    <t>Archaeplastida</t>
  </si>
  <si>
    <t>Green algae</t>
  </si>
  <si>
    <t>Prasinophycea</t>
  </si>
  <si>
    <t>Tetraselmis levis</t>
  </si>
  <si>
    <t>CCMP896</t>
  </si>
  <si>
    <t>Prasinophyceae</t>
  </si>
  <si>
    <t>Micromonas pusilla</t>
  </si>
  <si>
    <t>DW8</t>
  </si>
  <si>
    <t>JF794057.1</t>
  </si>
  <si>
    <t>Pycnococcus provasolii</t>
  </si>
  <si>
    <t>CCMP 1203</t>
  </si>
  <si>
    <t xml:space="preserve">AF122889.1 </t>
  </si>
  <si>
    <t>Corn et al. 1996</t>
  </si>
  <si>
    <t>Pycnococcus sp.</t>
  </si>
  <si>
    <t>CCMP 1192</t>
  </si>
  <si>
    <t>unidentified coccoid</t>
  </si>
  <si>
    <t>unidentified flagellate</t>
  </si>
  <si>
    <t>BE92</t>
  </si>
  <si>
    <t>Stramenopile</t>
  </si>
  <si>
    <t>Bacillariophyceae</t>
  </si>
  <si>
    <t>Cylindrotheca closterium</t>
  </si>
  <si>
    <t>CCMP342</t>
  </si>
  <si>
    <t>Melosira nummuloides</t>
  </si>
  <si>
    <t>CCMP482</t>
  </si>
  <si>
    <t xml:space="preserve"> HQ912566.1</t>
  </si>
  <si>
    <t>MEL3</t>
  </si>
  <si>
    <t>Nitzschia laevis</t>
  </si>
  <si>
    <t>CCMP560</t>
  </si>
  <si>
    <t>Skeletonema costatum</t>
  </si>
  <si>
    <t>CCMP1332</t>
  </si>
  <si>
    <t>Chrysophyceae</t>
  </si>
  <si>
    <t>Chrysamoeba sp.</t>
  </si>
  <si>
    <t>IG5</t>
  </si>
  <si>
    <t xml:space="preserve">EF165102.1 </t>
  </si>
  <si>
    <t>Ochromonas sp.</t>
  </si>
  <si>
    <t>U42381.1</t>
  </si>
  <si>
    <t>Ohromonas sp.</t>
  </si>
  <si>
    <t>Rhizochromulina sp.</t>
  </si>
  <si>
    <t>CCMP1150</t>
  </si>
  <si>
    <t>U14388.1</t>
  </si>
  <si>
    <t>IVR5ax</t>
  </si>
  <si>
    <t>Cryptophyceae</t>
  </si>
  <si>
    <t>Cryptomonas sp.</t>
  </si>
  <si>
    <t xml:space="preserve">AJ420696.1 </t>
  </si>
  <si>
    <t>unidentified cryptophyte</t>
  </si>
  <si>
    <t>CCMP1178</t>
  </si>
  <si>
    <t>Rhizaria</t>
  </si>
  <si>
    <t>Chlorarchiniophyte</t>
  </si>
  <si>
    <t>Bigelowiella natans</t>
  </si>
  <si>
    <t>CCMP621</t>
  </si>
  <si>
    <t>FJ973362.1</t>
  </si>
  <si>
    <t>This study</t>
  </si>
  <si>
    <t>Prymnesiophyceae</t>
  </si>
  <si>
    <t>RCC1130</t>
  </si>
  <si>
    <t>AJ544116.1</t>
  </si>
  <si>
    <t>Calcidiscus leptoporus (haploid)</t>
  </si>
  <si>
    <t>Calcidiscus quadriperforatus</t>
  </si>
  <si>
    <t>RCC1159</t>
  </si>
  <si>
    <t>Chrysochromulina ericina</t>
  </si>
  <si>
    <t>NEPCC 109A</t>
  </si>
  <si>
    <t>Chrysochromulina herdlansis</t>
  </si>
  <si>
    <t>NEPCC 186</t>
  </si>
  <si>
    <t xml:space="preserve">AJ246278.1 </t>
  </si>
  <si>
    <t>Chrysochromulina sp.</t>
  </si>
  <si>
    <t>CCMP288</t>
  </si>
  <si>
    <t>Coccolithus neohelis</t>
  </si>
  <si>
    <t>CONE</t>
  </si>
  <si>
    <t xml:space="preserve">AJ246262.1 </t>
  </si>
  <si>
    <t>CCMP298</t>
  </si>
  <si>
    <t>BT6</t>
  </si>
  <si>
    <t>KC404141.1</t>
  </si>
  <si>
    <t>CCMP 370 and RCC1216</t>
  </si>
  <si>
    <t>CCMP378</t>
  </si>
  <si>
    <t>CCMP376</t>
  </si>
  <si>
    <t>RCC1291, RCC1319,RCCC1313</t>
  </si>
  <si>
    <t>AJ246276.2</t>
  </si>
  <si>
    <t>AM490983.2</t>
  </si>
  <si>
    <t>Imantonia rotunda</t>
  </si>
  <si>
    <t>AJ246267.1</t>
  </si>
  <si>
    <t>1197NTA</t>
  </si>
  <si>
    <t>Imantonia sp.</t>
  </si>
  <si>
    <t>PCC 1851</t>
  </si>
  <si>
    <t>Isochrysis galbana</t>
  </si>
  <si>
    <t>ISO</t>
  </si>
  <si>
    <t>AJ246266.1</t>
  </si>
  <si>
    <t>Oolithotus fragilis</t>
  </si>
  <si>
    <t>RCC1376</t>
  </si>
  <si>
    <t>AM491026.2</t>
  </si>
  <si>
    <t>Pavlova pinguis</t>
  </si>
  <si>
    <t>CCMP609</t>
  </si>
  <si>
    <t>Pavlova sp.</t>
  </si>
  <si>
    <t>RCC1383</t>
  </si>
  <si>
    <t>JN381495.1</t>
  </si>
  <si>
    <t>307ˆ</t>
  </si>
  <si>
    <t>677-3</t>
  </si>
  <si>
    <t>CCMP628</t>
  </si>
  <si>
    <t>Pleurochrysis carterae</t>
  </si>
  <si>
    <t>COCCOII</t>
  </si>
  <si>
    <t xml:space="preserve">AJ544120.1 </t>
  </si>
  <si>
    <t>Prymnesium parvum</t>
  </si>
  <si>
    <t>PRYM</t>
  </si>
  <si>
    <t>AJ246269.1</t>
  </si>
  <si>
    <t>CCMP708</t>
  </si>
  <si>
    <t>Umbilicosphaera foliosa</t>
  </si>
  <si>
    <t>RCC1471</t>
  </si>
  <si>
    <t>Umbilicosphaera hulburtiana</t>
  </si>
  <si>
    <t>RCC1474</t>
  </si>
  <si>
    <t>L1178</t>
  </si>
  <si>
    <t>AJ544118.1</t>
  </si>
  <si>
    <t>Unidentified</t>
  </si>
  <si>
    <t>CCMP 625</t>
  </si>
  <si>
    <t>unidentified coccolithophore</t>
  </si>
  <si>
    <t>8613COCCO</t>
  </si>
  <si>
    <t>3D</t>
  </si>
  <si>
    <t>8610C3</t>
  </si>
  <si>
    <t>8610G6</t>
  </si>
  <si>
    <t>326-1</t>
  </si>
  <si>
    <t xml:space="preserve">unidentified </t>
  </si>
  <si>
    <t>unidentified green flagellate</t>
  </si>
  <si>
    <t>LOBD</t>
  </si>
  <si>
    <t>Ceratium longipes</t>
  </si>
  <si>
    <t>AF022192.1</t>
  </si>
  <si>
    <t>Dissodinium lunula</t>
  </si>
  <si>
    <t>L823</t>
  </si>
  <si>
    <t xml:space="preserve">FJ473378.1 </t>
  </si>
  <si>
    <t>Gambierdiscus toxicus</t>
  </si>
  <si>
    <t>GT200A</t>
  </si>
  <si>
    <t xml:space="preserve">AB764301.1 </t>
  </si>
  <si>
    <t>Gonyaulax polyedra</t>
  </si>
  <si>
    <t>GP60e</t>
  </si>
  <si>
    <t>AJ415511.1</t>
  </si>
  <si>
    <t>Gonyaulax spinifera</t>
  </si>
  <si>
    <t>W1</t>
  </si>
  <si>
    <t>Gymndinium nelsoni</t>
  </si>
  <si>
    <t>GSBL</t>
  </si>
  <si>
    <t>WT8</t>
  </si>
  <si>
    <t>JF791031.1</t>
  </si>
  <si>
    <t>Gyrodinium aureolum</t>
  </si>
  <si>
    <t>PLY497A</t>
  </si>
  <si>
    <t xml:space="preserve">AJ415517.1 </t>
  </si>
  <si>
    <t>KT3</t>
  </si>
  <si>
    <t>Pyrocystis noctiluca</t>
  </si>
  <si>
    <t>CCMP4</t>
  </si>
  <si>
    <t>AF022156.1</t>
  </si>
  <si>
    <t>Chlorophyceae</t>
  </si>
  <si>
    <t>Chlamydomonas sp.</t>
  </si>
  <si>
    <t>CCMP231</t>
  </si>
  <si>
    <t>GQ122368.1</t>
  </si>
  <si>
    <t>Chlorella capsulata</t>
  </si>
  <si>
    <t>OPT10</t>
  </si>
  <si>
    <t>AY044652.1</t>
  </si>
  <si>
    <t>CCMP246</t>
  </si>
  <si>
    <t>Chlorococcum sp.</t>
  </si>
  <si>
    <t>Chloro-1</t>
  </si>
  <si>
    <t xml:space="preserve">AB058336.1 </t>
  </si>
  <si>
    <t>Nannochloris sp.</t>
  </si>
  <si>
    <t>CCMP 515</t>
  </si>
  <si>
    <t>CCMP490</t>
  </si>
  <si>
    <t>Bathycoccus prasinos</t>
  </si>
  <si>
    <t>type strain</t>
  </si>
  <si>
    <t>JF794058.1</t>
  </si>
  <si>
    <t>Mantoniella squamata</t>
  </si>
  <si>
    <t>PLY189</t>
  </si>
  <si>
    <t>X73999.1</t>
  </si>
  <si>
    <t>CCMP 490</t>
  </si>
  <si>
    <t>Nephroselmis pyriformis</t>
  </si>
  <si>
    <t>PLY58</t>
  </si>
  <si>
    <t xml:space="preserve">AB058391.1 </t>
  </si>
  <si>
    <t>Pseudoscourfielda marina</t>
  </si>
  <si>
    <t>AJ132619.1</t>
  </si>
  <si>
    <t>Pyraminonas sp.</t>
  </si>
  <si>
    <t>13-10PYR</t>
  </si>
  <si>
    <t xml:space="preserve">AB052289.1 </t>
  </si>
  <si>
    <t xml:space="preserve">PLATY 1 </t>
  </si>
  <si>
    <t xml:space="preserve">DQ207405.1 </t>
  </si>
  <si>
    <t>Tetraselmis sp.</t>
  </si>
  <si>
    <t>OPT4</t>
  </si>
  <si>
    <t>Ω48-23</t>
  </si>
  <si>
    <t>Prokaryote</t>
  </si>
  <si>
    <t>Gammaproteobacteria</t>
  </si>
  <si>
    <t>Purple non-sulfur bacteria</t>
  </si>
  <si>
    <t>Rhodopseudomonas salexigens</t>
  </si>
  <si>
    <t>DSM 2132</t>
  </si>
  <si>
    <t>D12700.1</t>
  </si>
  <si>
    <t>0.6‡</t>
  </si>
  <si>
    <t>Karsten et al. 1996</t>
  </si>
  <si>
    <t>Rhodopseudomonas sulfoviridis</t>
  </si>
  <si>
    <t>DSM 729</t>
  </si>
  <si>
    <t>D86514.1</t>
  </si>
  <si>
    <t>2.2-12.5‡</t>
  </si>
  <si>
    <t>Alphaproteobacteria</t>
  </si>
  <si>
    <t>Rhodovulum euryhalinum</t>
  </si>
  <si>
    <t>DSM 4868</t>
  </si>
  <si>
    <t>NR_043406.1</t>
  </si>
  <si>
    <t>0.3‡</t>
  </si>
  <si>
    <t>Rhodovulum sulfidophilum</t>
  </si>
  <si>
    <t>DSM 1374</t>
  </si>
  <si>
    <t>D16430.1</t>
  </si>
  <si>
    <t>0.06‡</t>
  </si>
  <si>
    <t>Purple sulfur bacteria</t>
  </si>
  <si>
    <t>Chromatium gracile</t>
  </si>
  <si>
    <t>DSM 203</t>
  </si>
  <si>
    <t>X93473.2</t>
  </si>
  <si>
    <t>0.4‡</t>
  </si>
  <si>
    <t>Chromatium minus</t>
  </si>
  <si>
    <t>DSM 178</t>
  </si>
  <si>
    <t>Y12372.2</t>
  </si>
  <si>
    <t>Chromatium minutissimum</t>
  </si>
  <si>
    <t>DSM 1376</t>
  </si>
  <si>
    <t>Y12369.3</t>
  </si>
  <si>
    <t>0.07‡</t>
  </si>
  <si>
    <t>Chromatium violascens</t>
  </si>
  <si>
    <t>DSM 198</t>
  </si>
  <si>
    <t>AJ224438.1</t>
  </si>
  <si>
    <t>0.04‡</t>
  </si>
  <si>
    <t>Thiocapsa pfennigii</t>
  </si>
  <si>
    <t>DSM 226</t>
  </si>
  <si>
    <t>Y12373.3</t>
  </si>
  <si>
    <t>0.2‡</t>
  </si>
  <si>
    <t>Thiocapsa roseopersicina</t>
  </si>
  <si>
    <t>DSM 5653</t>
  </si>
  <si>
    <t>Y12364.3</t>
  </si>
  <si>
    <t>0.1‡</t>
  </si>
  <si>
    <t>Radiolarian</t>
  </si>
  <si>
    <t>Acantharia</t>
  </si>
  <si>
    <t>Amphilonche elongata</t>
  </si>
  <si>
    <t>JN811152.1</t>
  </si>
  <si>
    <t>17.1†</t>
  </si>
  <si>
    <t>Star shape morphotype</t>
  </si>
  <si>
    <t>2.4†</t>
  </si>
  <si>
    <t>Translucid morphotype</t>
  </si>
  <si>
    <t>0.3†</t>
  </si>
  <si>
    <t>Collodaria</t>
  </si>
  <si>
    <t>Collozoum sp.</t>
  </si>
  <si>
    <t>AB690554.1</t>
  </si>
  <si>
    <t>0.1†</t>
  </si>
  <si>
    <t>Sphaerozoum sp.</t>
  </si>
  <si>
    <t>AB690556.1</t>
  </si>
  <si>
    <t>Thalassicolla sp.</t>
  </si>
  <si>
    <t>AY266297.1</t>
  </si>
  <si>
    <t>0.2†</t>
  </si>
  <si>
    <t>Foraminifera</t>
  </si>
  <si>
    <t>Globigerinella sp.</t>
  </si>
  <si>
    <t>Z83959.1</t>
  </si>
  <si>
    <t>7.5†</t>
  </si>
  <si>
    <t>Red algae</t>
  </si>
  <si>
    <t>Rhodophyceae</t>
  </si>
  <si>
    <t>Rhodosorus marinus</t>
  </si>
  <si>
    <t>RHODO</t>
  </si>
  <si>
    <t>AF168625.1</t>
  </si>
  <si>
    <t>Biddulphia sp.</t>
  </si>
  <si>
    <t>L1474</t>
  </si>
  <si>
    <t>EF192990.1</t>
  </si>
  <si>
    <t>Chaetoceros didymum</t>
  </si>
  <si>
    <t>L162</t>
  </si>
  <si>
    <t>AY485449.1</t>
  </si>
  <si>
    <t>Chaetoceros simplex</t>
  </si>
  <si>
    <t>CCMP199</t>
  </si>
  <si>
    <t>Coscinodiscus sp.</t>
  </si>
  <si>
    <t>COSC1</t>
  </si>
  <si>
    <t>KC309533.1</t>
  </si>
  <si>
    <t>NCLOST</t>
  </si>
  <si>
    <t>KC899347.1</t>
  </si>
  <si>
    <t>Ditylum brightwellii</t>
  </si>
  <si>
    <t>L154</t>
  </si>
  <si>
    <t>AY485444.1</t>
  </si>
  <si>
    <t>Fragilariopsis cylindrus</t>
  </si>
  <si>
    <t>recent isolate</t>
  </si>
  <si>
    <t>EF140624.1</t>
  </si>
  <si>
    <t>Minidiscus triocultaus</t>
  </si>
  <si>
    <t>GMe41</t>
  </si>
  <si>
    <t>DQ093363.1</t>
  </si>
  <si>
    <t>CCMP495</t>
  </si>
  <si>
    <t>O7</t>
  </si>
  <si>
    <t xml:space="preserve">KF177775.1 </t>
  </si>
  <si>
    <t>Porosira glacialis</t>
  </si>
  <si>
    <t>HQ912619.1</t>
  </si>
  <si>
    <t xml:space="preserve">Pseudo-nitzschia subcurvata </t>
  </si>
  <si>
    <t>GU373970.1</t>
  </si>
  <si>
    <t>Rhizosolenia setigera</t>
  </si>
  <si>
    <t>RHIZ0</t>
  </si>
  <si>
    <t xml:space="preserve">AY485461.1 </t>
  </si>
  <si>
    <t>SKEL</t>
  </si>
  <si>
    <t>EF433519.1</t>
  </si>
  <si>
    <t>Skeletonema menzellii</t>
  </si>
  <si>
    <t>MEN5</t>
  </si>
  <si>
    <t>AF374479.2</t>
  </si>
  <si>
    <t>CCMP1335</t>
  </si>
  <si>
    <t>3H</t>
  </si>
  <si>
    <t>Thalassiosira rotula</t>
  </si>
  <si>
    <t>MB411</t>
  </si>
  <si>
    <t>Thalassiosira sp.</t>
  </si>
  <si>
    <t>PP86A</t>
  </si>
  <si>
    <t>Rhodomonas salina</t>
  </si>
  <si>
    <t>CCMP1319</t>
  </si>
  <si>
    <t>HM126532.1</t>
  </si>
  <si>
    <t>Eustigmatophyceae</t>
  </si>
  <si>
    <t>Nannochloropsis</t>
  </si>
  <si>
    <t>GSB Sticho</t>
  </si>
  <si>
    <t>KT031997.1</t>
  </si>
  <si>
    <t>Pelagophyceae</t>
  </si>
  <si>
    <t>Pelagomonas sp.</t>
  </si>
  <si>
    <t>EUM 8</t>
  </si>
  <si>
    <t>U14389.1</t>
  </si>
  <si>
    <t>Pavlovophyceae</t>
  </si>
  <si>
    <t>Exanthemachysis sp.</t>
  </si>
  <si>
    <t>Pavlova lutheri</t>
  </si>
  <si>
    <t>MONO</t>
  </si>
  <si>
    <t>AF102370.1</t>
  </si>
  <si>
    <t>Syracosphaera elongata</t>
  </si>
  <si>
    <t>SE62</t>
  </si>
  <si>
    <t>KF422621.1</t>
  </si>
  <si>
    <t>Amorphus coralli</t>
  </si>
  <si>
    <t>DSM19760</t>
  </si>
  <si>
    <t>DQ097300.1</t>
  </si>
  <si>
    <t>Curson et al. 2017</t>
  </si>
  <si>
    <t>Cyanobacteria</t>
  </si>
  <si>
    <t>Anabaena sp.</t>
  </si>
  <si>
    <t>Bo 70</t>
  </si>
  <si>
    <t>AJ133156.1</t>
  </si>
  <si>
    <t>6.28‡</t>
  </si>
  <si>
    <t>Crocosphaera</t>
  </si>
  <si>
    <t>WH0003</t>
  </si>
  <si>
    <t>NR_115288.1</t>
  </si>
  <si>
    <t>WH0005</t>
  </si>
  <si>
    <t>Labrenzia aggregata</t>
  </si>
  <si>
    <t>IAM12614</t>
  </si>
  <si>
    <t>LZB033</t>
  </si>
  <si>
    <t>EU694387.1</t>
  </si>
  <si>
    <t>Lyngbya aestuarii</t>
  </si>
  <si>
    <t>Bo 9</t>
  </si>
  <si>
    <t xml:space="preserve"> AB075989.1</t>
  </si>
  <si>
    <t>4.9‡</t>
  </si>
  <si>
    <t>Microcoleus chthonoplastes</t>
  </si>
  <si>
    <t>MPI MEL-1</t>
  </si>
  <si>
    <t>MPI EBD-1</t>
  </si>
  <si>
    <t>GQ402024.1</t>
  </si>
  <si>
    <t>MPI TOW-1</t>
  </si>
  <si>
    <t>MPI GNL-1</t>
  </si>
  <si>
    <t>0.319‡</t>
  </si>
  <si>
    <t>Nostoc sp.</t>
  </si>
  <si>
    <t>Bo 84</t>
  </si>
  <si>
    <t>EU022731.1</t>
  </si>
  <si>
    <t>1.17-2.39‡</t>
  </si>
  <si>
    <t>Oceanicola batsensis</t>
  </si>
  <si>
    <t>HTCC2597</t>
  </si>
  <si>
    <t>AY424897.1</t>
  </si>
  <si>
    <t>Pelagibaca bermudensis</t>
  </si>
  <si>
    <t>HTCC2601</t>
  </si>
  <si>
    <t>DQ178660.1</t>
  </si>
  <si>
    <t>Prochlorococcus</t>
  </si>
  <si>
    <t>NATL1</t>
  </si>
  <si>
    <t>TATL1</t>
  </si>
  <si>
    <t>TATL2</t>
  </si>
  <si>
    <t>TATL4</t>
  </si>
  <si>
    <t>PAC1A</t>
  </si>
  <si>
    <t>SS120</t>
  </si>
  <si>
    <t xml:space="preserve"> X63140.1</t>
  </si>
  <si>
    <t>MED 4</t>
  </si>
  <si>
    <t>AF001466.1</t>
  </si>
  <si>
    <t>1.6 - 3 E-06</t>
  </si>
  <si>
    <t>0.03 - 0.06</t>
  </si>
  <si>
    <t>Sagittula stellata</t>
  </si>
  <si>
    <t>E-37</t>
  </si>
  <si>
    <t>HG315014.1</t>
  </si>
  <si>
    <t>Sediminimonas qiaohouensis</t>
  </si>
  <si>
    <t>DSM21189</t>
  </si>
  <si>
    <t>EU878003.1</t>
  </si>
  <si>
    <t>Synechococcus</t>
  </si>
  <si>
    <t>DC2</t>
  </si>
  <si>
    <t xml:space="preserve"> AF311291.1</t>
  </si>
  <si>
    <t>MAX42</t>
  </si>
  <si>
    <t>AY172805.1</t>
  </si>
  <si>
    <t>Synechococcus sp</t>
  </si>
  <si>
    <t>WH307</t>
  </si>
  <si>
    <t>Synechocystis sp.</t>
  </si>
  <si>
    <t>Bo79</t>
  </si>
  <si>
    <t>0.14-0.75‡</t>
  </si>
  <si>
    <t>Thalassobaculum salexigens</t>
  </si>
  <si>
    <t>DSM19539</t>
  </si>
  <si>
    <t>NR_116122.1</t>
  </si>
  <si>
    <t>AF013030.1</t>
  </si>
  <si>
    <t>Undetermined</t>
  </si>
  <si>
    <t>Oxyrrhis marina</t>
  </si>
  <si>
    <t>NEPCC534</t>
  </si>
  <si>
    <t>BD</t>
  </si>
  <si>
    <t>EPT3</t>
  </si>
  <si>
    <t>Chlorella sp.</t>
  </si>
  <si>
    <t>O17</t>
  </si>
  <si>
    <t>Dunaliella tertiolecta</t>
  </si>
  <si>
    <t>DUN</t>
  </si>
  <si>
    <t>Nannochloris atomus</t>
  </si>
  <si>
    <t>GSBNanno</t>
  </si>
  <si>
    <t>Stichococcus sp.</t>
  </si>
  <si>
    <t>NB3-18</t>
  </si>
  <si>
    <t>IVP16AX</t>
  </si>
  <si>
    <t>Pedinomonas minutissima</t>
  </si>
  <si>
    <t>VA3</t>
  </si>
  <si>
    <t>EUM 16B</t>
  </si>
  <si>
    <t>Porphyridium cruentum</t>
  </si>
  <si>
    <t>PORPH</t>
  </si>
  <si>
    <t>Amphora coffaeformis</t>
  </si>
  <si>
    <t>47M</t>
  </si>
  <si>
    <t>Asterionella glacialis</t>
  </si>
  <si>
    <t>A6</t>
  </si>
  <si>
    <t>Chaetoceros affinis</t>
  </si>
  <si>
    <t>CCUR</t>
  </si>
  <si>
    <t>Chaetoceros decipiens</t>
  </si>
  <si>
    <t>WTCD</t>
  </si>
  <si>
    <t>BBSM</t>
  </si>
  <si>
    <t>Navicula pelliculosa</t>
  </si>
  <si>
    <t>O4</t>
  </si>
  <si>
    <t>Phaeodactylum tricornutum</t>
  </si>
  <si>
    <t>PHAEO</t>
  </si>
  <si>
    <t>Thalassiosira guillardii</t>
  </si>
  <si>
    <t xml:space="preserve"> 7-15</t>
  </si>
  <si>
    <t>Chloromonadophyceae</t>
  </si>
  <si>
    <t>Chattonella harima</t>
  </si>
  <si>
    <t>WTOMO</t>
  </si>
  <si>
    <t>Chattonella luteus</t>
  </si>
  <si>
    <t>OLISTH</t>
  </si>
  <si>
    <t>Chrysosphaera sp.</t>
  </si>
  <si>
    <t>UW397</t>
  </si>
  <si>
    <t>MC1</t>
  </si>
  <si>
    <t>Chroomonas salina</t>
  </si>
  <si>
    <t>3C</t>
  </si>
  <si>
    <t>PHI</t>
  </si>
  <si>
    <t>Cyanophora paradoxa</t>
  </si>
  <si>
    <t>CY2</t>
  </si>
  <si>
    <t>Rhodomonas lens</t>
  </si>
  <si>
    <t>RLENS</t>
  </si>
  <si>
    <t>unidentified cryptomonad</t>
  </si>
  <si>
    <t>10C</t>
  </si>
  <si>
    <t>Excavata</t>
  </si>
  <si>
    <t>Euglenophyceae</t>
  </si>
  <si>
    <t>Eutreptia sp.</t>
  </si>
  <si>
    <t>EEUI</t>
  </si>
  <si>
    <t>EUM11</t>
  </si>
  <si>
    <t>Cyanophyceae</t>
  </si>
  <si>
    <t>Synechococcus bacillaris</t>
  </si>
  <si>
    <t>SYN</t>
  </si>
  <si>
    <t>Synechococcus elongatus</t>
  </si>
  <si>
    <t>CCMP1631</t>
  </si>
  <si>
    <t>AY946243.1</t>
  </si>
  <si>
    <t>Fiore et al. 2015</t>
  </si>
  <si>
    <t>RCC 555</t>
  </si>
  <si>
    <t>RCC 2673</t>
  </si>
  <si>
    <t>RCC 2369</t>
  </si>
  <si>
    <t>RCC 2553A</t>
  </si>
  <si>
    <t>RCC 2553B</t>
  </si>
  <si>
    <t>WH8102</t>
  </si>
  <si>
    <t>WH8020</t>
  </si>
  <si>
    <t>WH 7803</t>
  </si>
  <si>
    <t>WH8109</t>
  </si>
  <si>
    <t>WH8113</t>
  </si>
  <si>
    <t>Synechococcus sp.</t>
  </si>
  <si>
    <t>L1602</t>
  </si>
  <si>
    <t>L1604</t>
  </si>
  <si>
    <t>Synechocystis sp</t>
  </si>
  <si>
    <t>PCC6803</t>
  </si>
  <si>
    <t>AB041937.1</t>
  </si>
  <si>
    <t>CN0117</t>
  </si>
  <si>
    <t>Trichodesmium sp.</t>
  </si>
  <si>
    <t>MACC0993</t>
  </si>
  <si>
    <t>Trichodesmium thiebautii</t>
  </si>
  <si>
    <t>PFT #</t>
  </si>
  <si>
    <t xml:space="preserve">PFT </t>
  </si>
  <si>
    <t>Diatom</t>
  </si>
  <si>
    <t>Biovolume</t>
  </si>
  <si>
    <t>Cellular C Quota</t>
  </si>
  <si>
    <t>ksat FeT</t>
  </si>
  <si>
    <t>Picoprokaryote</t>
  </si>
  <si>
    <t>Picoeukaryote</t>
  </si>
  <si>
    <t>Coccolithophore</t>
  </si>
  <si>
    <t>Diazotroph</t>
  </si>
  <si>
    <t>Dinoflagellate</t>
  </si>
  <si>
    <r>
      <t>IIB</t>
    </r>
    <r>
      <rPr>
        <vertAlign val="subscript"/>
        <sz val="12"/>
        <color theme="1"/>
        <rFont val="Times Roman"/>
      </rPr>
      <t>2</t>
    </r>
    <r>
      <rPr>
        <sz val="12"/>
        <color theme="1"/>
        <rFont val="Times Roman"/>
      </rPr>
      <t>b</t>
    </r>
    <r>
      <rPr>
        <vertAlign val="subscript"/>
        <sz val="12"/>
        <color theme="1"/>
        <rFont val="Times Roman"/>
      </rPr>
      <t>1</t>
    </r>
  </si>
  <si>
    <r>
      <t>IB</t>
    </r>
    <r>
      <rPr>
        <vertAlign val="subscript"/>
        <sz val="12"/>
        <color theme="1"/>
        <rFont val="Times Roman"/>
      </rPr>
      <t>4</t>
    </r>
  </si>
  <si>
    <r>
      <t>VB</t>
    </r>
    <r>
      <rPr>
        <vertAlign val="subscript"/>
        <sz val="12"/>
        <color theme="1"/>
        <rFont val="Times Roman"/>
      </rPr>
      <t>1</t>
    </r>
  </si>
  <si>
    <r>
      <t>VH</t>
    </r>
    <r>
      <rPr>
        <vertAlign val="subscript"/>
        <sz val="12"/>
        <color theme="1"/>
        <rFont val="Times Roman"/>
      </rPr>
      <t>2</t>
    </r>
    <r>
      <rPr>
        <sz val="12"/>
        <color theme="1"/>
        <rFont val="Times Roman"/>
      </rPr>
      <t>ax</t>
    </r>
  </si>
  <si>
    <r>
      <t>IC</t>
    </r>
    <r>
      <rPr>
        <vertAlign val="subscript"/>
        <sz val="12"/>
        <color theme="1"/>
        <rFont val="Times Roman"/>
      </rPr>
      <t>1</t>
    </r>
  </si>
  <si>
    <r>
      <t>VT</t>
    </r>
    <r>
      <rPr>
        <vertAlign val="subscript"/>
        <sz val="12"/>
        <color rgb="FF000000"/>
        <rFont val="Times Roman"/>
      </rPr>
      <t>1</t>
    </r>
  </si>
  <si>
    <r>
      <t>ID</t>
    </r>
    <r>
      <rPr>
        <vertAlign val="subscript"/>
        <sz val="12"/>
        <color rgb="FF000000"/>
        <rFont val="Times Roman"/>
      </rPr>
      <t>2</t>
    </r>
  </si>
  <si>
    <r>
      <t>IIE</t>
    </r>
    <r>
      <rPr>
        <vertAlign val="subscript"/>
        <sz val="12"/>
        <color theme="1"/>
        <rFont val="Times Roman"/>
      </rPr>
      <t>6</t>
    </r>
  </si>
  <si>
    <r>
      <t>IIB</t>
    </r>
    <r>
      <rPr>
        <vertAlign val="subscript"/>
        <sz val="12"/>
        <color theme="1"/>
        <rFont val="Times Roman"/>
      </rPr>
      <t>3</t>
    </r>
    <r>
      <rPr>
        <vertAlign val="superscript"/>
        <sz val="12"/>
        <color theme="1"/>
        <rFont val="Times Roman"/>
      </rPr>
      <t>+</t>
    </r>
  </si>
  <si>
    <r>
      <t>IIG</t>
    </r>
    <r>
      <rPr>
        <vertAlign val="subscript"/>
        <sz val="12"/>
        <color theme="1"/>
        <rFont val="Times Roman"/>
      </rPr>
      <t>3</t>
    </r>
    <r>
      <rPr>
        <vertAlign val="superscript"/>
        <sz val="12"/>
        <color theme="1"/>
        <rFont val="Times Roman"/>
      </rPr>
      <t>+</t>
    </r>
  </si>
  <si>
    <r>
      <t>IIG</t>
    </r>
    <r>
      <rPr>
        <vertAlign val="subscript"/>
        <sz val="12"/>
        <color theme="1"/>
        <rFont val="Times Roman"/>
      </rPr>
      <t>3</t>
    </r>
    <r>
      <rPr>
        <sz val="12"/>
        <color theme="1"/>
        <rFont val="Times Roman"/>
      </rPr>
      <t>ax</t>
    </r>
  </si>
  <si>
    <r>
      <t>IIG</t>
    </r>
    <r>
      <rPr>
        <vertAlign val="subscript"/>
        <sz val="12"/>
        <color theme="1"/>
        <rFont val="Times Roman"/>
      </rPr>
      <t>6</t>
    </r>
    <r>
      <rPr>
        <vertAlign val="superscript"/>
        <sz val="12"/>
        <color theme="1"/>
        <rFont val="Times Roman"/>
      </rPr>
      <t>+</t>
    </r>
  </si>
  <si>
    <r>
      <t>IIB</t>
    </r>
    <r>
      <rPr>
        <vertAlign val="subscript"/>
        <sz val="12"/>
        <color theme="1"/>
        <rFont val="Times Roman"/>
      </rPr>
      <t>3</t>
    </r>
    <r>
      <rPr>
        <sz val="12"/>
        <color theme="1"/>
        <rFont val="Times Roman"/>
      </rPr>
      <t>ax</t>
    </r>
  </si>
  <si>
    <r>
      <t>IIG</t>
    </r>
    <r>
      <rPr>
        <vertAlign val="subscript"/>
        <sz val="12"/>
        <color theme="1"/>
        <rFont val="Times Roman"/>
      </rPr>
      <t>6</t>
    </r>
    <r>
      <rPr>
        <sz val="12"/>
        <color theme="1"/>
        <rFont val="Times Roman"/>
      </rPr>
      <t>ax</t>
    </r>
  </si>
  <si>
    <r>
      <t>IVP</t>
    </r>
    <r>
      <rPr>
        <vertAlign val="subscript"/>
        <sz val="12"/>
        <color theme="1"/>
        <rFont val="Times Roman"/>
      </rPr>
      <t>11</t>
    </r>
  </si>
  <si>
    <r>
      <t>IG</t>
    </r>
    <r>
      <rPr>
        <vertAlign val="subscript"/>
        <sz val="12"/>
        <color theme="1"/>
        <rFont val="Times Roman"/>
      </rPr>
      <t>7</t>
    </r>
  </si>
  <si>
    <r>
      <t>8.2</t>
    </r>
    <r>
      <rPr>
        <vertAlign val="superscript"/>
        <sz val="12"/>
        <color theme="1"/>
        <rFont val="Times Roman"/>
      </rPr>
      <t>§</t>
    </r>
  </si>
  <si>
    <r>
      <t>3.6</t>
    </r>
    <r>
      <rPr>
        <vertAlign val="superscript"/>
        <sz val="12"/>
        <color theme="1"/>
        <rFont val="Times Roman"/>
      </rPr>
      <t>§</t>
    </r>
  </si>
  <si>
    <r>
      <t>8.4</t>
    </r>
    <r>
      <rPr>
        <vertAlign val="superscript"/>
        <sz val="12"/>
        <color theme="1"/>
        <rFont val="Times Roman"/>
      </rPr>
      <t>§</t>
    </r>
  </si>
  <si>
    <r>
      <t>40.5</t>
    </r>
    <r>
      <rPr>
        <vertAlign val="superscript"/>
        <sz val="12"/>
        <color theme="1"/>
        <rFont val="Times Roman"/>
      </rPr>
      <t>§</t>
    </r>
  </si>
  <si>
    <r>
      <t>259</t>
    </r>
    <r>
      <rPr>
        <vertAlign val="superscript"/>
        <sz val="12"/>
        <color theme="1"/>
        <rFont val="Times Roman"/>
      </rPr>
      <t>§</t>
    </r>
  </si>
  <si>
    <r>
      <t>11.1</t>
    </r>
    <r>
      <rPr>
        <vertAlign val="superscript"/>
        <sz val="12"/>
        <color theme="1"/>
        <rFont val="Times Roman"/>
      </rPr>
      <t>§</t>
    </r>
  </si>
  <si>
    <r>
      <t>122</t>
    </r>
    <r>
      <rPr>
        <vertAlign val="superscript"/>
        <sz val="12"/>
        <color theme="1"/>
        <rFont val="Times Roman"/>
      </rPr>
      <t>§</t>
    </r>
  </si>
  <si>
    <r>
      <t>BD</t>
    </r>
    <r>
      <rPr>
        <vertAlign val="superscript"/>
        <sz val="12"/>
        <color theme="1"/>
        <rFont val="Times Roman"/>
      </rPr>
      <t>+</t>
    </r>
  </si>
  <si>
    <r>
      <t>4.8</t>
    </r>
    <r>
      <rPr>
        <vertAlign val="superscript"/>
        <sz val="12"/>
        <color theme="1"/>
        <rFont val="Times Roman"/>
      </rPr>
      <t>§</t>
    </r>
  </si>
  <si>
    <r>
      <t>IVF</t>
    </r>
    <r>
      <rPr>
        <vertAlign val="subscript"/>
        <sz val="12"/>
        <color theme="1"/>
        <rFont val="Times Roman"/>
      </rPr>
      <t>3</t>
    </r>
  </si>
  <si>
    <r>
      <t>IVP</t>
    </r>
    <r>
      <rPr>
        <vertAlign val="subscript"/>
        <sz val="12"/>
        <color theme="1"/>
        <rFont val="Times Roman"/>
      </rPr>
      <t>8</t>
    </r>
  </si>
  <si>
    <r>
      <t>DC</t>
    </r>
    <r>
      <rPr>
        <vertAlign val="subscript"/>
        <sz val="12"/>
        <color theme="1"/>
        <rFont val="Times Roman"/>
      </rPr>
      <t>2</t>
    </r>
  </si>
  <si>
    <t>Eukaroyte or Prokaryote</t>
  </si>
  <si>
    <t>Intracellular DMSP (mmol/L)</t>
  </si>
  <si>
    <r>
      <t>ksat SiO</t>
    </r>
    <r>
      <rPr>
        <b/>
        <vertAlign val="subscript"/>
        <sz val="12"/>
        <color theme="1"/>
        <rFont val="Times Roman"/>
      </rPr>
      <t>2</t>
    </r>
  </si>
  <si>
    <r>
      <t>ksat PO</t>
    </r>
    <r>
      <rPr>
        <b/>
        <vertAlign val="subscript"/>
        <sz val="12"/>
        <color theme="1"/>
        <rFont val="Times Roman"/>
      </rPr>
      <t>4</t>
    </r>
  </si>
  <si>
    <r>
      <t>ksat NO</t>
    </r>
    <r>
      <rPr>
        <b/>
        <vertAlign val="subscript"/>
        <sz val="12"/>
        <color theme="1"/>
        <rFont val="Times Roman"/>
      </rPr>
      <t>3</t>
    </r>
  </si>
  <si>
    <r>
      <t>ksat NO</t>
    </r>
    <r>
      <rPr>
        <b/>
        <vertAlign val="subscript"/>
        <sz val="12"/>
        <color theme="1"/>
        <rFont val="Times Roman"/>
      </rPr>
      <t>2</t>
    </r>
  </si>
  <si>
    <r>
      <t>ksat NH</t>
    </r>
    <r>
      <rPr>
        <b/>
        <vertAlign val="subscript"/>
        <sz val="12"/>
        <color theme="1"/>
        <rFont val="Times Roman"/>
      </rPr>
      <t>4</t>
    </r>
  </si>
  <si>
    <r>
      <t>um</t>
    </r>
    <r>
      <rPr>
        <b/>
        <vertAlign val="superscript"/>
        <sz val="12"/>
        <color theme="1"/>
        <rFont val="Times Roman"/>
      </rPr>
      <t>3</t>
    </r>
  </si>
  <si>
    <r>
      <t>mmol C⋅cell</t>
    </r>
    <r>
      <rPr>
        <b/>
        <vertAlign val="superscript"/>
        <sz val="12"/>
        <color theme="1"/>
        <rFont val="Times Roman"/>
      </rPr>
      <t>-1</t>
    </r>
  </si>
  <si>
    <r>
      <t>mmol Si⋅m</t>
    </r>
    <r>
      <rPr>
        <b/>
        <vertAlign val="superscript"/>
        <sz val="12"/>
        <color theme="1"/>
        <rFont val="Times Roman"/>
      </rPr>
      <t>3</t>
    </r>
  </si>
  <si>
    <r>
      <t>mmol P⋅m</t>
    </r>
    <r>
      <rPr>
        <b/>
        <vertAlign val="superscript"/>
        <sz val="12"/>
        <color theme="1"/>
        <rFont val="Times Roman"/>
      </rPr>
      <t>3</t>
    </r>
  </si>
  <si>
    <r>
      <t>µmol Fe⋅m</t>
    </r>
    <r>
      <rPr>
        <b/>
        <vertAlign val="superscript"/>
        <sz val="12"/>
        <color theme="1"/>
        <rFont val="Times Roman"/>
      </rPr>
      <t>3</t>
    </r>
  </si>
  <si>
    <r>
      <t>µmol N⋅m</t>
    </r>
    <r>
      <rPr>
        <b/>
        <vertAlign val="superscript"/>
        <sz val="12"/>
        <color theme="1"/>
        <rFont val="Times Roman"/>
      </rPr>
      <t>3</t>
    </r>
  </si>
  <si>
    <t>µ (limited growth/ replete growth)</t>
  </si>
  <si>
    <t>Seawater salinity</t>
  </si>
  <si>
    <t>Seawater osmolarity</t>
  </si>
  <si>
    <t>Median % ionic contribution</t>
  </si>
  <si>
    <t>ppt</t>
  </si>
  <si>
    <r>
      <t>osmol·m</t>
    </r>
    <r>
      <rPr>
        <vertAlign val="superscript"/>
        <sz val="12"/>
        <color theme="1"/>
        <rFont val="Times"/>
        <family val="1"/>
      </rPr>
      <t>-3</t>
    </r>
  </si>
  <si>
    <t>BATS</t>
  </si>
  <si>
    <t>Prochlorophytes</t>
  </si>
  <si>
    <t>Diatoms</t>
  </si>
  <si>
    <t>Prymnesiophytes</t>
  </si>
  <si>
    <t>Pelagophytes</t>
  </si>
  <si>
    <t>Dinoflagellates</t>
  </si>
  <si>
    <t>Palmer</t>
  </si>
  <si>
    <t>Flagellates</t>
  </si>
  <si>
    <t>Prasinophytes</t>
  </si>
  <si>
    <t>Cryptophytes</t>
  </si>
  <si>
    <t>Phaeocystis</t>
  </si>
  <si>
    <t>Curson et al. 2018</t>
  </si>
  <si>
    <t>Chrysochromulina tobin</t>
  </si>
  <si>
    <t>CCMP 291</t>
  </si>
  <si>
    <t>PCC307</t>
  </si>
  <si>
    <t>CCMP 1102</t>
  </si>
  <si>
    <t>CCMP2467</t>
  </si>
  <si>
    <t>CCAP946</t>
  </si>
  <si>
    <t>Alexandrium minutum</t>
  </si>
  <si>
    <t>VGO 651</t>
  </si>
  <si>
    <t>Berdalet et al. 2011</t>
  </si>
  <si>
    <t>Osmolarity contribution by organic osmolytes</t>
  </si>
  <si>
    <t>Total Intracellular osmolarity</t>
  </si>
  <si>
    <t>Intracellular DMSP values tested</t>
  </si>
  <si>
    <t xml:space="preserve">Study </t>
  </si>
  <si>
    <t>Replete</t>
  </si>
  <si>
    <t>Nutrient lim</t>
  </si>
  <si>
    <t>P. antarctica</t>
  </si>
  <si>
    <t>C. leptoporus</t>
  </si>
  <si>
    <t>E. huxleyi</t>
  </si>
  <si>
    <t>S. marinoi</t>
  </si>
  <si>
    <t>T. pseudonana</t>
  </si>
  <si>
    <t>T. erythraeum</t>
  </si>
  <si>
    <t>DMSP (mM)</t>
  </si>
  <si>
    <t>% Contribution to organic osmolarity</t>
  </si>
  <si>
    <t>% Contribution to total osmolarity</t>
  </si>
  <si>
    <t>(a)</t>
  </si>
  <si>
    <t>(b)</t>
  </si>
  <si>
    <t>Stefels and van Boekel 1993</t>
  </si>
  <si>
    <t>Phaeocystis globosa</t>
  </si>
  <si>
    <t>CCMP 627</t>
  </si>
  <si>
    <t>del Valle et al. 2011</t>
  </si>
  <si>
    <t>detected</t>
  </si>
  <si>
    <t>Pavlova viridis</t>
  </si>
  <si>
    <t>Platymonas sp.</t>
  </si>
  <si>
    <t>Chaetoceros didymus</t>
  </si>
  <si>
    <t>RCC75</t>
  </si>
  <si>
    <t>UTEX646</t>
  </si>
  <si>
    <t>Spielmeyer et al. 2011</t>
  </si>
  <si>
    <t>Thalassiosira weissflogii</t>
  </si>
  <si>
    <t>RCC 76</t>
  </si>
  <si>
    <t>Asterionella formosa</t>
  </si>
  <si>
    <t>SAG 8.95</t>
  </si>
  <si>
    <t>Navicula sp.</t>
  </si>
  <si>
    <t>DARWIN predicted</t>
  </si>
  <si>
    <t>RMSE</t>
  </si>
  <si>
    <t>MAPE</t>
  </si>
  <si>
    <t>MRB</t>
  </si>
  <si>
    <t>&lt;0.0001</t>
  </si>
  <si>
    <t>p</t>
  </si>
  <si>
    <t>Proteomonas sulcata</t>
  </si>
  <si>
    <t>CCMP 1175</t>
  </si>
  <si>
    <t>Thalassiosira antarctica</t>
  </si>
  <si>
    <t>CCMP 982</t>
  </si>
  <si>
    <t>Karenia brevis</t>
  </si>
  <si>
    <t>CCMP 2281</t>
  </si>
  <si>
    <t>Pelagococcus sp.</t>
  </si>
  <si>
    <t>Cryptochloris sp.</t>
  </si>
  <si>
    <t>Phaeocystis cordata</t>
  </si>
  <si>
    <t>Decelle et al. 2012</t>
  </si>
  <si>
    <t>Phaeocystis sp. (likely globosa)</t>
  </si>
  <si>
    <t>Phaeocystis sp. (likely antarctica)</t>
  </si>
  <si>
    <r>
      <t xml:space="preserve">Chl </t>
    </r>
    <r>
      <rPr>
        <b/>
        <i/>
        <sz val="12"/>
        <color theme="1"/>
        <rFont val="Calibri"/>
        <family val="2"/>
        <scheme val="minor"/>
      </rPr>
      <t xml:space="preserve">a </t>
    </r>
    <r>
      <rPr>
        <b/>
        <sz val="12"/>
        <color theme="1"/>
        <rFont val="Calibri"/>
        <family val="2"/>
        <scheme val="minor"/>
      </rPr>
      <t>predicted</t>
    </r>
  </si>
  <si>
    <t xml:space="preserve">Nitzschia closterium </t>
  </si>
  <si>
    <t>Pelagococcus subviridus</t>
  </si>
  <si>
    <r>
      <t>PelaCl</t>
    </r>
    <r>
      <rPr>
        <vertAlign val="subscript"/>
        <sz val="12"/>
        <color theme="1"/>
        <rFont val="Times Roman"/>
      </rPr>
      <t>2</t>
    </r>
  </si>
  <si>
    <t>Li et al. 2010</t>
  </si>
  <si>
    <t>High, Low or Undetermined DMSP producer</t>
  </si>
  <si>
    <t>Eukaryotic Class</t>
  </si>
  <si>
    <t>Eukaryotic Phylum</t>
  </si>
  <si>
    <t>Eukaryotic Supergroup/ Prokaryotic Class or Phylum</t>
  </si>
  <si>
    <t>DMSP cell quota (fmol/cell)</t>
  </si>
  <si>
    <t>Study reported in</t>
  </si>
  <si>
    <t>High or low DMSP producer</t>
  </si>
  <si>
    <t>Galí predicted (mixed)</t>
  </si>
  <si>
    <t>Galí predicted (stratified)</t>
  </si>
  <si>
    <r>
      <t>R</t>
    </r>
    <r>
      <rPr>
        <b/>
        <vertAlign val="superscript"/>
        <sz val="12"/>
        <color theme="1"/>
        <rFont val="Calibri (Body)"/>
      </rPr>
      <t>2</t>
    </r>
  </si>
  <si>
    <t>Light (µmol photon⋅m2⋅s-1)</t>
  </si>
  <si>
    <t>Gebser et al 2020</t>
  </si>
  <si>
    <t>I15</t>
  </si>
  <si>
    <t>DMSP (fmol/cell)</t>
  </si>
  <si>
    <t>DMSA (fmol/cell)</t>
  </si>
  <si>
    <t>gonyol (fmol/cell)</t>
  </si>
  <si>
    <t>DMS-equiv (fmol/cell)</t>
  </si>
  <si>
    <t>Nitzschia  cf pellucida</t>
  </si>
  <si>
    <t>DCG303</t>
  </si>
  <si>
    <t>CCMP2561</t>
  </si>
  <si>
    <t>SCCAP K-1280</t>
  </si>
  <si>
    <t>RCC841</t>
  </si>
  <si>
    <t>RCC1703</t>
  </si>
  <si>
    <t>RCC1217</t>
  </si>
  <si>
    <t>SCCAP K-0406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</si>
</sst>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E+00"/>
    <numFmt numFmtId="166" formatCode="0.000"/>
    <numFmt numFmtId="167" formatCode="0.0%"/>
    <numFmt numFmtId="168" formatCode="0.000%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Roman"/>
    </font>
    <font>
      <vertAlign val="subscript"/>
      <sz val="12"/>
      <color theme="1"/>
      <name val="Times Roman"/>
    </font>
    <font>
      <vertAlign val="superscript"/>
      <sz val="12"/>
      <color theme="1"/>
      <name val="Times Roman"/>
    </font>
    <font>
      <i/>
      <sz val="12"/>
      <color theme="1"/>
      <name val="Times Roman"/>
    </font>
    <font>
      <sz val="12"/>
      <color rgb="FF000000"/>
      <name val="Times Roman"/>
    </font>
    <font>
      <vertAlign val="subscript"/>
      <sz val="12"/>
      <color rgb="FF000000"/>
      <name val="Times Roman"/>
    </font>
    <font>
      <sz val="12"/>
      <color rgb="FF444444"/>
      <name val="Times Roman"/>
    </font>
    <font>
      <b/>
      <sz val="12"/>
      <color theme="1"/>
      <name val="Times Roman"/>
    </font>
    <font>
      <b/>
      <vertAlign val="subscript"/>
      <sz val="12"/>
      <color theme="1"/>
      <name val="Times Roman"/>
    </font>
    <font>
      <b/>
      <vertAlign val="superscript"/>
      <sz val="12"/>
      <color theme="1"/>
      <name val="Times Roman"/>
    </font>
    <font>
      <sz val="11.5"/>
      <color theme="1"/>
      <name val="Times"/>
      <family val="1"/>
    </font>
    <font>
      <sz val="12"/>
      <color theme="1"/>
      <name val="Times"/>
      <family val="1"/>
    </font>
    <font>
      <vertAlign val="superscript"/>
      <sz val="12"/>
      <color theme="1"/>
      <name val="Times"/>
      <family val="1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/>
      <right/>
      <top style="slantDashDot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/>
    <xf numFmtId="0" fontId="5" fillId="0" borderId="5" xfId="0" applyFont="1" applyBorder="1"/>
    <xf numFmtId="0" fontId="5" fillId="0" borderId="0" xfId="0" applyFont="1"/>
    <xf numFmtId="165" fontId="5" fillId="0" borderId="5" xfId="0" applyNumberFormat="1" applyFont="1" applyBorder="1"/>
    <xf numFmtId="0" fontId="5" fillId="0" borderId="5" xfId="0" applyFont="1" applyFill="1" applyBorder="1"/>
    <xf numFmtId="0" fontId="5" fillId="0" borderId="1" xfId="0" applyFont="1" applyFill="1" applyBorder="1"/>
    <xf numFmtId="0" fontId="8" fillId="0" borderId="2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left"/>
    </xf>
    <xf numFmtId="20" fontId="5" fillId="0" borderId="2" xfId="0" applyNumberFormat="1" applyFont="1" applyFill="1" applyBorder="1"/>
    <xf numFmtId="2" fontId="5" fillId="0" borderId="2" xfId="0" applyNumberFormat="1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8" fillId="0" borderId="5" xfId="0" applyFont="1" applyFill="1" applyBorder="1"/>
    <xf numFmtId="0" fontId="5" fillId="0" borderId="5" xfId="0" applyFont="1" applyFill="1" applyBorder="1" applyAlignment="1">
      <alignment horizontal="left"/>
    </xf>
    <xf numFmtId="20" fontId="5" fillId="0" borderId="5" xfId="0" applyNumberFormat="1" applyFont="1" applyFill="1" applyBorder="1"/>
    <xf numFmtId="2" fontId="5" fillId="0" borderId="5" xfId="0" applyNumberFormat="1" applyFont="1" applyFill="1" applyBorder="1"/>
    <xf numFmtId="0" fontId="5" fillId="0" borderId="6" xfId="0" applyFont="1" applyFill="1" applyBorder="1"/>
    <xf numFmtId="0" fontId="5" fillId="2" borderId="4" xfId="0" applyFont="1" applyFill="1" applyBorder="1"/>
    <xf numFmtId="0" fontId="8" fillId="2" borderId="5" xfId="0" applyFont="1" applyFill="1" applyBorder="1"/>
    <xf numFmtId="0" fontId="5" fillId="2" borderId="5" xfId="0" applyFont="1" applyFill="1" applyBorder="1"/>
    <xf numFmtId="0" fontId="5" fillId="2" borderId="5" xfId="0" applyFont="1" applyFill="1" applyBorder="1" applyAlignment="1">
      <alignment horizontal="left"/>
    </xf>
    <xf numFmtId="20" fontId="5" fillId="2" borderId="5" xfId="0" applyNumberFormat="1" applyFont="1" applyFill="1" applyBorder="1"/>
    <xf numFmtId="2" fontId="5" fillId="2" borderId="5" xfId="0" applyNumberFormat="1" applyFont="1" applyFill="1" applyBorder="1"/>
    <xf numFmtId="0" fontId="5" fillId="2" borderId="6" xfId="0" applyFont="1" applyFill="1" applyBorder="1"/>
    <xf numFmtId="2" fontId="5" fillId="0" borderId="5" xfId="0" applyNumberFormat="1" applyFont="1" applyFill="1" applyBorder="1" applyAlignment="1">
      <alignment horizontal="right"/>
    </xf>
    <xf numFmtId="2" fontId="5" fillId="2" borderId="5" xfId="0" applyNumberFormat="1" applyFont="1" applyFill="1" applyBorder="1" applyAlignment="1">
      <alignment horizontal="right"/>
    </xf>
    <xf numFmtId="0" fontId="5" fillId="0" borderId="7" xfId="0" applyFont="1" applyFill="1" applyBorder="1"/>
    <xf numFmtId="0" fontId="8" fillId="0" borderId="8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horizontal="left"/>
    </xf>
    <xf numFmtId="20" fontId="5" fillId="0" borderId="8" xfId="0" applyNumberFormat="1" applyFont="1" applyFill="1" applyBorder="1"/>
    <xf numFmtId="2" fontId="5" fillId="0" borderId="8" xfId="0" applyNumberFormat="1" applyFont="1" applyFill="1" applyBorder="1"/>
    <xf numFmtId="0" fontId="5" fillId="0" borderId="9" xfId="0" applyFont="1" applyFill="1" applyBorder="1"/>
    <xf numFmtId="0" fontId="5" fillId="2" borderId="1" xfId="0" applyFont="1" applyFill="1" applyBorder="1"/>
    <xf numFmtId="0" fontId="8" fillId="2" borderId="2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left"/>
    </xf>
    <xf numFmtId="20" fontId="5" fillId="2" borderId="2" xfId="0" applyNumberFormat="1" applyFont="1" applyFill="1" applyBorder="1"/>
    <xf numFmtId="2" fontId="5" fillId="2" borderId="2" xfId="0" applyNumberFormat="1" applyFont="1" applyFill="1" applyBorder="1"/>
    <xf numFmtId="2" fontId="5" fillId="2" borderId="10" xfId="0" applyNumberFormat="1" applyFont="1" applyFill="1" applyBorder="1" applyAlignment="1">
      <alignment horizontal="right"/>
    </xf>
    <xf numFmtId="2" fontId="5" fillId="2" borderId="3" xfId="0" applyNumberFormat="1" applyFont="1" applyFill="1" applyBorder="1"/>
    <xf numFmtId="2" fontId="5" fillId="2" borderId="0" xfId="0" applyNumberFormat="1" applyFont="1" applyFill="1" applyBorder="1"/>
    <xf numFmtId="2" fontId="5" fillId="2" borderId="6" xfId="0" applyNumberFormat="1" applyFont="1" applyFill="1" applyBorder="1"/>
    <xf numFmtId="0" fontId="5" fillId="2" borderId="11" xfId="0" applyFont="1" applyFill="1" applyBorder="1"/>
    <xf numFmtId="0" fontId="8" fillId="2" borderId="12" xfId="0" applyFont="1" applyFill="1" applyBorder="1"/>
    <xf numFmtId="0" fontId="5" fillId="2" borderId="12" xfId="0" applyFont="1" applyFill="1" applyBorder="1"/>
    <xf numFmtId="0" fontId="5" fillId="2" borderId="12" xfId="0" applyFont="1" applyFill="1" applyBorder="1" applyAlignment="1">
      <alignment horizontal="left"/>
    </xf>
    <xf numFmtId="20" fontId="5" fillId="2" borderId="12" xfId="0" applyNumberFormat="1" applyFont="1" applyFill="1" applyBorder="1"/>
    <xf numFmtId="2" fontId="5" fillId="2" borderId="12" xfId="0" applyNumberFormat="1" applyFont="1" applyFill="1" applyBorder="1"/>
    <xf numFmtId="2" fontId="5" fillId="2" borderId="13" xfId="0" applyNumberFormat="1" applyFont="1" applyFill="1" applyBorder="1"/>
    <xf numFmtId="164" fontId="5" fillId="0" borderId="2" xfId="0" applyNumberFormat="1" applyFont="1" applyFill="1" applyBorder="1" applyAlignment="1">
      <alignment horizontal="right"/>
    </xf>
    <xf numFmtId="164" fontId="5" fillId="0" borderId="5" xfId="0" applyNumberFormat="1" applyFont="1" applyFill="1" applyBorder="1" applyAlignment="1">
      <alignment horizontal="right"/>
    </xf>
    <xf numFmtId="164" fontId="5" fillId="2" borderId="5" xfId="0" applyNumberFormat="1" applyFont="1" applyFill="1" applyBorder="1" applyAlignment="1">
      <alignment horizontal="right"/>
    </xf>
    <xf numFmtId="164" fontId="5" fillId="2" borderId="12" xfId="0" applyNumberFormat="1" applyFont="1" applyFill="1" applyBorder="1" applyAlignment="1">
      <alignment horizontal="right"/>
    </xf>
    <xf numFmtId="0" fontId="5" fillId="0" borderId="12" xfId="0" applyFont="1" applyFill="1" applyBorder="1"/>
    <xf numFmtId="0" fontId="5" fillId="2" borderId="13" xfId="0" applyFont="1" applyFill="1" applyBorder="1"/>
    <xf numFmtId="0" fontId="5" fillId="0" borderId="2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11" xfId="0" applyFont="1" applyFill="1" applyBorder="1"/>
    <xf numFmtId="0" fontId="8" fillId="0" borderId="12" xfId="0" applyFont="1" applyFill="1" applyBorder="1"/>
    <xf numFmtId="0" fontId="5" fillId="0" borderId="12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right"/>
    </xf>
    <xf numFmtId="0" fontId="5" fillId="0" borderId="13" xfId="0" applyFont="1" applyFill="1" applyBorder="1"/>
    <xf numFmtId="0" fontId="5" fillId="2" borderId="2" xfId="0" applyFont="1" applyFill="1" applyBorder="1" applyAlignment="1">
      <alignment horizontal="right"/>
    </xf>
    <xf numFmtId="49" fontId="5" fillId="2" borderId="2" xfId="0" applyNumberFormat="1" applyFont="1" applyFill="1" applyBorder="1" applyAlignment="1">
      <alignment horizontal="right"/>
    </xf>
    <xf numFmtId="0" fontId="5" fillId="2" borderId="3" xfId="0" applyFont="1" applyFill="1" applyBorder="1"/>
    <xf numFmtId="0" fontId="5" fillId="2" borderId="5" xfId="0" applyFont="1" applyFill="1" applyBorder="1" applyAlignment="1">
      <alignment horizontal="right"/>
    </xf>
    <xf numFmtId="49" fontId="5" fillId="2" borderId="5" xfId="0" applyNumberFormat="1" applyFont="1" applyFill="1" applyBorder="1" applyAlignment="1">
      <alignment horizontal="right"/>
    </xf>
    <xf numFmtId="49" fontId="5" fillId="0" borderId="5" xfId="0" applyNumberFormat="1" applyFont="1" applyFill="1" applyBorder="1" applyAlignment="1">
      <alignment horizontal="right"/>
    </xf>
    <xf numFmtId="49" fontId="5" fillId="0" borderId="12" xfId="0" applyNumberFormat="1" applyFont="1" applyFill="1" applyBorder="1" applyAlignment="1">
      <alignment horizontal="right"/>
    </xf>
    <xf numFmtId="2" fontId="5" fillId="0" borderId="12" xfId="0" applyNumberFormat="1" applyFont="1" applyFill="1" applyBorder="1" applyAlignment="1">
      <alignment horizontal="right"/>
    </xf>
    <xf numFmtId="0" fontId="5" fillId="0" borderId="14" xfId="0" applyFont="1" applyFill="1" applyBorder="1"/>
    <xf numFmtId="0" fontId="8" fillId="0" borderId="15" xfId="0" applyFont="1" applyFill="1" applyBorder="1"/>
    <xf numFmtId="0" fontId="5" fillId="0" borderId="15" xfId="0" applyFont="1" applyFill="1" applyBorder="1"/>
    <xf numFmtId="0" fontId="5" fillId="0" borderId="15" xfId="0" applyFont="1" applyFill="1" applyBorder="1" applyAlignment="1">
      <alignment horizontal="left"/>
    </xf>
    <xf numFmtId="20" fontId="5" fillId="0" borderId="15" xfId="0" applyNumberFormat="1" applyFont="1" applyFill="1" applyBorder="1"/>
    <xf numFmtId="2" fontId="5" fillId="0" borderId="16" xfId="0" applyNumberFormat="1" applyFont="1" applyFill="1" applyBorder="1"/>
    <xf numFmtId="0" fontId="5" fillId="0" borderId="17" xfId="0" applyFont="1" applyFill="1" applyBorder="1"/>
    <xf numFmtId="2" fontId="5" fillId="0" borderId="5" xfId="0" applyNumberFormat="1" applyFont="1" applyFill="1" applyBorder="1" applyAlignment="1">
      <alignment horizontal="right" wrapText="1"/>
    </xf>
    <xf numFmtId="2" fontId="5" fillId="2" borderId="12" xfId="0" applyNumberFormat="1" applyFont="1" applyFill="1" applyBorder="1" applyAlignment="1">
      <alignment horizontal="right" wrapText="1"/>
    </xf>
    <xf numFmtId="0" fontId="5" fillId="2" borderId="18" xfId="0" applyFont="1" applyFill="1" applyBorder="1"/>
    <xf numFmtId="2" fontId="5" fillId="0" borderId="2" xfId="0" applyNumberFormat="1" applyFont="1" applyFill="1" applyBorder="1" applyAlignment="1">
      <alignment horizontal="right"/>
    </xf>
    <xf numFmtId="2" fontId="5" fillId="0" borderId="3" xfId="0" applyNumberFormat="1" applyFont="1" applyFill="1" applyBorder="1"/>
    <xf numFmtId="2" fontId="5" fillId="0" borderId="6" xfId="0" applyNumberFormat="1" applyFont="1" applyFill="1" applyBorder="1"/>
    <xf numFmtId="2" fontId="5" fillId="0" borderId="9" xfId="0" applyNumberFormat="1" applyFont="1" applyFill="1" applyBorder="1"/>
    <xf numFmtId="2" fontId="5" fillId="2" borderId="10" xfId="0" applyNumberFormat="1" applyFont="1" applyFill="1" applyBorder="1"/>
    <xf numFmtId="2" fontId="9" fillId="2" borderId="5" xfId="0" applyNumberFormat="1" applyFont="1" applyFill="1" applyBorder="1"/>
    <xf numFmtId="2" fontId="9" fillId="2" borderId="12" xfId="0" applyNumberFormat="1" applyFont="1" applyFill="1" applyBorder="1"/>
    <xf numFmtId="0" fontId="5" fillId="2" borderId="0" xfId="0" applyFont="1" applyFill="1" applyBorder="1"/>
    <xf numFmtId="164" fontId="5" fillId="0" borderId="8" xfId="0" applyNumberFormat="1" applyFont="1" applyFill="1" applyBorder="1" applyAlignment="1">
      <alignment horizontal="right"/>
    </xf>
    <xf numFmtId="164" fontId="5" fillId="2" borderId="10" xfId="0" applyNumberFormat="1" applyFont="1" applyFill="1" applyBorder="1"/>
    <xf numFmtId="164" fontId="5" fillId="2" borderId="5" xfId="0" applyNumberFormat="1" applyFont="1" applyFill="1" applyBorder="1"/>
    <xf numFmtId="164" fontId="5" fillId="0" borderId="6" xfId="0" applyNumberFormat="1" applyFont="1" applyFill="1" applyBorder="1"/>
    <xf numFmtId="2" fontId="5" fillId="0" borderId="8" xfId="0" applyNumberFormat="1" applyFont="1" applyFill="1" applyBorder="1" applyAlignment="1">
      <alignment horizontal="right"/>
    </xf>
    <xf numFmtId="164" fontId="5" fillId="0" borderId="9" xfId="0" applyNumberFormat="1" applyFont="1" applyFill="1" applyBorder="1"/>
    <xf numFmtId="0" fontId="8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7" fillId="0" borderId="0" xfId="0" applyFont="1" applyFill="1" applyAlignment="1">
      <alignment horizontal="left"/>
    </xf>
    <xf numFmtId="165" fontId="5" fillId="0" borderId="5" xfId="0" applyNumberFormat="1" applyFont="1" applyFill="1" applyBorder="1" applyAlignment="1">
      <alignment horizontal="right"/>
    </xf>
    <xf numFmtId="0" fontId="9" fillId="0" borderId="5" xfId="0" applyFont="1" applyFill="1" applyBorder="1" applyAlignment="1">
      <alignment horizontal="left"/>
    </xf>
    <xf numFmtId="11" fontId="5" fillId="0" borderId="5" xfId="0" applyNumberFormat="1" applyFont="1" applyFill="1" applyBorder="1" applyAlignment="1">
      <alignment horizontal="right"/>
    </xf>
    <xf numFmtId="0" fontId="11" fillId="0" borderId="5" xfId="0" applyFont="1" applyFill="1" applyBorder="1"/>
    <xf numFmtId="16" fontId="5" fillId="0" borderId="5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6" fontId="5" fillId="0" borderId="5" xfId="0" applyNumberFormat="1" applyFont="1" applyFill="1" applyBorder="1" applyAlignment="1">
      <alignment horizontal="right"/>
    </xf>
    <xf numFmtId="0" fontId="12" fillId="0" borderId="5" xfId="0" applyFont="1" applyFill="1" applyBorder="1" applyAlignment="1">
      <alignment wrapText="1"/>
    </xf>
    <xf numFmtId="0" fontId="12" fillId="0" borderId="5" xfId="0" applyFont="1" applyFill="1" applyBorder="1" applyAlignment="1">
      <alignment horizontal="left" wrapText="1"/>
    </xf>
    <xf numFmtId="0" fontId="12" fillId="0" borderId="5" xfId="0" applyFont="1" applyFill="1" applyBorder="1" applyAlignment="1">
      <alignment horizontal="right" wrapText="1"/>
    </xf>
    <xf numFmtId="0" fontId="12" fillId="0" borderId="0" xfId="0" applyFont="1" applyBorder="1"/>
    <xf numFmtId="0" fontId="12" fillId="0" borderId="0" xfId="0" applyFont="1" applyBorder="1" applyAlignment="1">
      <alignment wrapText="1"/>
    </xf>
    <xf numFmtId="0" fontId="12" fillId="0" borderId="0" xfId="0" applyFont="1" applyBorder="1" applyAlignment="1">
      <alignment horizontal="left" wrapText="1"/>
    </xf>
    <xf numFmtId="0" fontId="5" fillId="0" borderId="19" xfId="0" applyFont="1" applyBorder="1"/>
    <xf numFmtId="165" fontId="5" fillId="0" borderId="19" xfId="0" applyNumberFormat="1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2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4" xfId="0" applyFont="1" applyBorder="1"/>
    <xf numFmtId="165" fontId="5" fillId="0" borderId="6" xfId="0" applyNumberFormat="1" applyFont="1" applyBorder="1"/>
    <xf numFmtId="0" fontId="5" fillId="0" borderId="7" xfId="0" applyFont="1" applyBorder="1"/>
    <xf numFmtId="165" fontId="5" fillId="0" borderId="8" xfId="0" applyNumberFormat="1" applyFont="1" applyBorder="1"/>
    <xf numFmtId="165" fontId="5" fillId="0" borderId="9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16" fillId="2" borderId="5" xfId="0" applyFont="1" applyFill="1" applyBorder="1" applyAlignment="1">
      <alignment vertical="center"/>
    </xf>
    <xf numFmtId="9" fontId="16" fillId="2" borderId="5" xfId="11" applyFont="1" applyFill="1" applyBorder="1" applyAlignment="1">
      <alignment vertical="center"/>
    </xf>
    <xf numFmtId="0" fontId="15" fillId="2" borderId="22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vertical="center"/>
    </xf>
    <xf numFmtId="9" fontId="16" fillId="3" borderId="5" xfId="11" applyFont="1" applyFill="1" applyBorder="1" applyAlignment="1">
      <alignment vertical="center"/>
    </xf>
    <xf numFmtId="0" fontId="0" fillId="0" borderId="5" xfId="0" applyBorder="1"/>
    <xf numFmtId="0" fontId="16" fillId="0" borderId="5" xfId="0" applyFont="1" applyFill="1" applyBorder="1" applyAlignment="1">
      <alignment horizontal="center" vertical="center"/>
    </xf>
    <xf numFmtId="10" fontId="0" fillId="0" borderId="5" xfId="11" applyNumberFormat="1" applyFont="1" applyFill="1" applyBorder="1"/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vertical="center"/>
    </xf>
    <xf numFmtId="0" fontId="16" fillId="2" borderId="6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/>
    </xf>
    <xf numFmtId="0" fontId="16" fillId="3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9" fontId="16" fillId="2" borderId="8" xfId="11" applyFont="1" applyFill="1" applyBorder="1" applyAlignment="1">
      <alignment vertical="center"/>
    </xf>
    <xf numFmtId="0" fontId="16" fillId="2" borderId="9" xfId="0" applyFont="1" applyFill="1" applyBorder="1" applyAlignment="1">
      <alignment vertical="center"/>
    </xf>
    <xf numFmtId="10" fontId="0" fillId="0" borderId="4" xfId="11" applyNumberFormat="1" applyFont="1" applyFill="1" applyBorder="1"/>
    <xf numFmtId="9" fontId="0" fillId="0" borderId="4" xfId="11" applyFont="1" applyFill="1" applyBorder="1"/>
    <xf numFmtId="10" fontId="0" fillId="3" borderId="4" xfId="11" applyNumberFormat="1" applyFont="1" applyFill="1" applyBorder="1"/>
    <xf numFmtId="10" fontId="0" fillId="3" borderId="5" xfId="11" applyNumberFormat="1" applyFont="1" applyFill="1" applyBorder="1"/>
    <xf numFmtId="0" fontId="16" fillId="3" borderId="5" xfId="0" applyFont="1" applyFill="1" applyBorder="1" applyAlignment="1">
      <alignment horizontal="center" vertical="center"/>
    </xf>
    <xf numFmtId="0" fontId="0" fillId="0" borderId="8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5" xfId="0" applyFont="1" applyFill="1" applyBorder="1"/>
    <xf numFmtId="0" fontId="0" fillId="0" borderId="4" xfId="0" applyFont="1" applyFill="1" applyBorder="1"/>
    <xf numFmtId="0" fontId="0" fillId="0" borderId="7" xfId="0" applyFont="1" applyFill="1" applyBorder="1"/>
    <xf numFmtId="0" fontId="0" fillId="0" borderId="0" xfId="0" applyFont="1"/>
    <xf numFmtId="0" fontId="0" fillId="0" borderId="5" xfId="0" applyBorder="1" applyAlignment="1">
      <alignment horizontal="right"/>
    </xf>
    <xf numFmtId="0" fontId="0" fillId="0" borderId="19" xfId="0" applyBorder="1"/>
    <xf numFmtId="0" fontId="0" fillId="0" borderId="8" xfId="0" applyBorder="1"/>
    <xf numFmtId="0" fontId="0" fillId="4" borderId="0" xfId="0" applyFill="1"/>
    <xf numFmtId="0" fontId="2" fillId="0" borderId="0" xfId="0" applyFont="1" applyFill="1"/>
    <xf numFmtId="0" fontId="0" fillId="0" borderId="6" xfId="0" applyBorder="1"/>
    <xf numFmtId="0" fontId="0" fillId="0" borderId="9" xfId="0" applyBorder="1"/>
    <xf numFmtId="0" fontId="0" fillId="0" borderId="21" xfId="0" applyBorder="1"/>
    <xf numFmtId="0" fontId="0" fillId="0" borderId="28" xfId="0" applyBorder="1"/>
    <xf numFmtId="0" fontId="0" fillId="0" borderId="29" xfId="0" applyBorder="1"/>
    <xf numFmtId="0" fontId="19" fillId="0" borderId="4" xfId="0" applyFont="1" applyBorder="1" applyAlignment="1">
      <alignment horizontal="right"/>
    </xf>
    <xf numFmtId="0" fontId="19" fillId="0" borderId="27" xfId="0" applyFont="1" applyBorder="1" applyAlignment="1">
      <alignment horizontal="right"/>
    </xf>
    <xf numFmtId="0" fontId="19" fillId="0" borderId="7" xfId="0" applyFont="1" applyBorder="1" applyAlignment="1">
      <alignment horizontal="right"/>
    </xf>
    <xf numFmtId="0" fontId="20" fillId="0" borderId="20" xfId="0" applyFont="1" applyBorder="1" applyAlignment="1">
      <alignment horizontal="right"/>
    </xf>
    <xf numFmtId="0" fontId="19" fillId="0" borderId="19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0" fillId="0" borderId="30" xfId="0" applyBorder="1"/>
    <xf numFmtId="0" fontId="19" fillId="0" borderId="31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0" fillId="0" borderId="28" xfId="0" applyBorder="1" applyAlignment="1">
      <alignment horizontal="right"/>
    </xf>
    <xf numFmtId="165" fontId="5" fillId="0" borderId="2" xfId="0" applyNumberFormat="1" applyFont="1" applyBorder="1"/>
    <xf numFmtId="165" fontId="5" fillId="0" borderId="3" xfId="0" applyNumberFormat="1" applyFont="1" applyBorder="1"/>
    <xf numFmtId="0" fontId="5" fillId="0" borderId="8" xfId="0" applyFont="1" applyBorder="1"/>
    <xf numFmtId="0" fontId="8" fillId="0" borderId="33" xfId="0" applyFont="1" applyBorder="1" applyAlignment="1">
      <alignment horizontal="right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5" fillId="0" borderId="5" xfId="0" applyFont="1" applyFill="1" applyBorder="1" applyAlignment="1">
      <alignment wrapText="1"/>
    </xf>
    <xf numFmtId="0" fontId="5" fillId="0" borderId="5" xfId="0" applyFont="1" applyFill="1" applyBorder="1" applyAlignment="1">
      <alignment horizontal="right" wrapText="1"/>
    </xf>
    <xf numFmtId="167" fontId="0" fillId="3" borderId="5" xfId="11" applyNumberFormat="1" applyFont="1" applyFill="1" applyBorder="1"/>
    <xf numFmtId="167" fontId="0" fillId="0" borderId="5" xfId="11" applyNumberFormat="1" applyFont="1" applyFill="1" applyBorder="1"/>
    <xf numFmtId="9" fontId="0" fillId="0" borderId="5" xfId="11" applyNumberFormat="1" applyFont="1" applyFill="1" applyBorder="1"/>
    <xf numFmtId="9" fontId="0" fillId="3" borderId="5" xfId="11" applyNumberFormat="1" applyFont="1" applyFill="1" applyBorder="1"/>
    <xf numFmtId="0" fontId="16" fillId="0" borderId="35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wrapText="1"/>
    </xf>
    <xf numFmtId="167" fontId="0" fillId="3" borderId="6" xfId="11" applyNumberFormat="1" applyFont="1" applyFill="1" applyBorder="1"/>
    <xf numFmtId="9" fontId="0" fillId="3" borderId="6" xfId="11" applyNumberFormat="1" applyFont="1" applyFill="1" applyBorder="1"/>
    <xf numFmtId="9" fontId="0" fillId="0" borderId="8" xfId="11" applyNumberFormat="1" applyFont="1" applyFill="1" applyBorder="1"/>
    <xf numFmtId="2" fontId="0" fillId="3" borderId="20" xfId="0" applyNumberFormat="1" applyFont="1" applyFill="1" applyBorder="1"/>
    <xf numFmtId="2" fontId="0" fillId="3" borderId="19" xfId="0" applyNumberFormat="1" applyFont="1" applyFill="1" applyBorder="1"/>
    <xf numFmtId="0" fontId="16" fillId="3" borderId="19" xfId="0" applyFont="1" applyFill="1" applyBorder="1" applyAlignment="1">
      <alignment horizontal="center" vertical="center"/>
    </xf>
    <xf numFmtId="0" fontId="0" fillId="3" borderId="19" xfId="0" applyFont="1" applyFill="1" applyBorder="1"/>
    <xf numFmtId="10" fontId="0" fillId="3" borderId="19" xfId="11" applyNumberFormat="1" applyFont="1" applyFill="1" applyBorder="1"/>
    <xf numFmtId="168" fontId="0" fillId="3" borderId="21" xfId="11" applyNumberFormat="1" applyFont="1" applyFill="1" applyBorder="1"/>
    <xf numFmtId="0" fontId="16" fillId="0" borderId="22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0" fillId="0" borderId="23" xfId="0" applyFont="1" applyFill="1" applyBorder="1"/>
    <xf numFmtId="0" fontId="0" fillId="0" borderId="24" xfId="0" applyFont="1" applyFill="1" applyBorder="1"/>
    <xf numFmtId="167" fontId="0" fillId="0" borderId="6" xfId="11" applyNumberFormat="1" applyFont="1" applyFill="1" applyBorder="1"/>
    <xf numFmtId="9" fontId="0" fillId="0" borderId="6" xfId="11" applyNumberFormat="1" applyFont="1" applyFill="1" applyBorder="1"/>
    <xf numFmtId="9" fontId="0" fillId="0" borderId="9" xfId="11" applyNumberFormat="1" applyFont="1" applyFill="1" applyBorder="1"/>
    <xf numFmtId="0" fontId="12" fillId="0" borderId="5" xfId="0" applyFont="1" applyFill="1" applyBorder="1"/>
    <xf numFmtId="0" fontId="12" fillId="0" borderId="5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16" fillId="0" borderId="34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5" fillId="5" borderId="5" xfId="0" applyFont="1" applyFill="1" applyBorder="1"/>
    <xf numFmtId="0" fontId="5" fillId="5" borderId="5" xfId="0" applyFont="1" applyFill="1" applyBorder="1" applyAlignment="1">
      <alignment horizontal="left"/>
    </xf>
    <xf numFmtId="164" fontId="5" fillId="5" borderId="5" xfId="0" applyNumberFormat="1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0" fillId="5" borderId="0" xfId="0" applyFill="1"/>
    <xf numFmtId="0" fontId="12" fillId="0" borderId="37" xfId="0" applyFont="1" applyFill="1" applyBorder="1" applyAlignment="1">
      <alignment horizontal="center" wrapText="1"/>
    </xf>
    <xf numFmtId="0" fontId="0" fillId="5" borderId="5" xfId="0" applyFill="1" applyBorder="1"/>
    <xf numFmtId="165" fontId="0" fillId="5" borderId="0" xfId="0" applyNumberFormat="1" applyFill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Normal" xfId="0" builtinId="0"/>
    <cellStyle name="Percent" xfId="1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05"/>
  <sheetViews>
    <sheetView tabSelected="1" topLeftCell="E1" zoomScale="93" zoomScaleNormal="120" zoomScalePageLayoutView="62" workbookViewId="0">
      <pane ySplit="1" topLeftCell="A2" activePane="bottomLeft" state="frozen"/>
      <selection pane="bottomLeft" activeCell="F95" sqref="F95"/>
    </sheetView>
  </sheetViews>
  <sheetFormatPr baseColWidth="10" defaultRowHeight="16"/>
  <cols>
    <col min="1" max="1" width="17.33203125" style="113" customWidth="1"/>
    <col min="2" max="2" width="11.5" style="113" customWidth="1"/>
    <col min="3" max="3" width="22.33203125" style="113" bestFit="1" customWidth="1"/>
    <col min="4" max="4" width="22.33203125" style="113" customWidth="1"/>
    <col min="5" max="5" width="20" style="113" bestFit="1" customWidth="1"/>
    <col min="6" max="6" width="27" style="113" bestFit="1" customWidth="1"/>
    <col min="7" max="7" width="28" style="114" bestFit="1" customWidth="1"/>
    <col min="8" max="8" width="15" style="115" customWidth="1"/>
    <col min="9" max="9" width="16.1640625" style="115" bestFit="1" customWidth="1"/>
    <col min="10" max="10" width="27.6640625" style="113" bestFit="1" customWidth="1"/>
    <col min="11" max="11" width="12" style="113" bestFit="1" customWidth="1"/>
    <col min="13" max="16384" width="10.83203125" style="1"/>
  </cols>
  <sheetData>
    <row r="1" spans="1:16" ht="51">
      <c r="A1" s="237" t="s">
        <v>730</v>
      </c>
      <c r="B1" s="237" t="s">
        <v>634</v>
      </c>
      <c r="C1" s="237" t="s">
        <v>733</v>
      </c>
      <c r="D1" s="237" t="s">
        <v>732</v>
      </c>
      <c r="E1" s="237" t="s">
        <v>731</v>
      </c>
      <c r="F1" s="237" t="s">
        <v>0</v>
      </c>
      <c r="G1" s="237" t="s">
        <v>1</v>
      </c>
      <c r="H1" s="237" t="s">
        <v>734</v>
      </c>
      <c r="I1" s="237" t="s">
        <v>635</v>
      </c>
      <c r="J1" s="237" t="s">
        <v>735</v>
      </c>
      <c r="K1" s="237" t="s">
        <v>71</v>
      </c>
      <c r="L1" s="247" t="s">
        <v>743</v>
      </c>
      <c r="M1" s="247" t="s">
        <v>744</v>
      </c>
      <c r="N1" s="247" t="s">
        <v>745</v>
      </c>
      <c r="O1" s="247" t="s">
        <v>746</v>
      </c>
      <c r="P1" s="117"/>
    </row>
    <row r="2" spans="1:16">
      <c r="A2" s="18" t="s">
        <v>54</v>
      </c>
      <c r="B2" s="18" t="s">
        <v>72</v>
      </c>
      <c r="C2" s="18" t="s">
        <v>176</v>
      </c>
      <c r="D2" s="18" t="s">
        <v>353</v>
      </c>
      <c r="E2" s="18" t="s">
        <v>354</v>
      </c>
      <c r="F2" s="18" t="s">
        <v>355</v>
      </c>
      <c r="G2" s="28"/>
      <c r="H2" s="72">
        <f>15.2*1000</f>
        <v>15200</v>
      </c>
      <c r="I2" s="72" t="s">
        <v>357</v>
      </c>
      <c r="J2" s="18" t="s">
        <v>84</v>
      </c>
      <c r="K2" s="18" t="s">
        <v>356</v>
      </c>
      <c r="M2" s="116"/>
      <c r="N2" s="116"/>
      <c r="O2" s="117"/>
      <c r="P2" s="117"/>
    </row>
    <row r="3" spans="1:16">
      <c r="A3" s="18" t="s">
        <v>54</v>
      </c>
      <c r="B3" s="18" t="s">
        <v>72</v>
      </c>
      <c r="C3" s="18" t="s">
        <v>176</v>
      </c>
      <c r="D3" s="18" t="s">
        <v>353</v>
      </c>
      <c r="E3" s="18" t="s">
        <v>354</v>
      </c>
      <c r="F3" s="18" t="s">
        <v>358</v>
      </c>
      <c r="G3" s="28"/>
      <c r="H3" s="72">
        <f>36.4*1000</f>
        <v>36400</v>
      </c>
      <c r="I3" s="72" t="s">
        <v>359</v>
      </c>
      <c r="J3" s="18" t="s">
        <v>84</v>
      </c>
      <c r="K3" s="18"/>
    </row>
    <row r="4" spans="1:16" s="2" customFormat="1">
      <c r="A4" s="18" t="s">
        <v>54</v>
      </c>
      <c r="B4" s="18" t="s">
        <v>72</v>
      </c>
      <c r="C4" s="18" t="s">
        <v>176</v>
      </c>
      <c r="D4" s="18" t="s">
        <v>353</v>
      </c>
      <c r="E4" s="18" t="s">
        <v>354</v>
      </c>
      <c r="F4" s="18" t="s">
        <v>360</v>
      </c>
      <c r="G4" s="28"/>
      <c r="H4" s="72">
        <f>20.9*1000</f>
        <v>20900</v>
      </c>
      <c r="I4" s="72" t="s">
        <v>361</v>
      </c>
      <c r="J4" s="18" t="s">
        <v>84</v>
      </c>
      <c r="K4" s="18"/>
      <c r="M4" s="1"/>
      <c r="N4" s="1"/>
      <c r="O4" s="1"/>
      <c r="P4" s="1"/>
    </row>
    <row r="5" spans="1:16">
      <c r="A5" s="18" t="s">
        <v>11</v>
      </c>
      <c r="B5" s="18" t="s">
        <v>72</v>
      </c>
      <c r="C5" s="18" t="s">
        <v>73</v>
      </c>
      <c r="D5" s="18" t="s">
        <v>148</v>
      </c>
      <c r="E5" s="18" t="s">
        <v>149</v>
      </c>
      <c r="F5" s="18" t="s">
        <v>150</v>
      </c>
      <c r="G5" s="28" t="s">
        <v>151</v>
      </c>
      <c r="H5" s="66">
        <f>0.306*(1000/134.193)</f>
        <v>2.2802977800630431</v>
      </c>
      <c r="I5" s="72"/>
      <c r="J5" s="18" t="s">
        <v>80</v>
      </c>
      <c r="K5" s="18"/>
    </row>
    <row r="6" spans="1:16">
      <c r="A6" s="18" t="s">
        <v>11</v>
      </c>
      <c r="B6" s="18" t="s">
        <v>72</v>
      </c>
      <c r="C6" s="18" t="s">
        <v>73</v>
      </c>
      <c r="D6" s="18" t="s">
        <v>148</v>
      </c>
      <c r="E6" s="18" t="s">
        <v>149</v>
      </c>
      <c r="F6" s="18" t="s">
        <v>152</v>
      </c>
      <c r="G6" s="28" t="s">
        <v>155</v>
      </c>
      <c r="H6" s="66">
        <f>34.5*(1000/134.193)</f>
        <v>257.0923967718137</v>
      </c>
      <c r="I6" s="72">
        <v>264.18</v>
      </c>
      <c r="J6" s="18" t="s">
        <v>78</v>
      </c>
      <c r="K6" s="18"/>
    </row>
    <row r="7" spans="1:16">
      <c r="A7" s="18" t="s">
        <v>11</v>
      </c>
      <c r="B7" s="18" t="s">
        <v>72</v>
      </c>
      <c r="C7" s="18" t="s">
        <v>73</v>
      </c>
      <c r="D7" s="18" t="s">
        <v>148</v>
      </c>
      <c r="E7" s="18" t="s">
        <v>149</v>
      </c>
      <c r="F7" s="18" t="s">
        <v>152</v>
      </c>
      <c r="G7" s="28" t="s">
        <v>153</v>
      </c>
      <c r="H7" s="66">
        <f>6.97*(1000/134.193)</f>
        <v>51.940116101435983</v>
      </c>
      <c r="I7" s="72"/>
      <c r="J7" s="18" t="s">
        <v>80</v>
      </c>
      <c r="K7" s="18" t="s">
        <v>154</v>
      </c>
    </row>
    <row r="8" spans="1:16">
      <c r="A8" s="18" t="s">
        <v>11</v>
      </c>
      <c r="B8" s="18" t="s">
        <v>72</v>
      </c>
      <c r="C8" s="18" t="s">
        <v>73</v>
      </c>
      <c r="D8" s="18" t="s">
        <v>148</v>
      </c>
      <c r="E8" s="18" t="s">
        <v>149</v>
      </c>
      <c r="F8" s="18" t="s">
        <v>156</v>
      </c>
      <c r="G8" s="28" t="s">
        <v>157</v>
      </c>
      <c r="H8" s="66">
        <f>0.485*(1000/134.193)</f>
        <v>3.6141974618646273</v>
      </c>
      <c r="I8" s="72"/>
      <c r="J8" s="18" t="s">
        <v>80</v>
      </c>
      <c r="K8" s="18"/>
    </row>
    <row r="9" spans="1:16">
      <c r="A9" s="18" t="s">
        <v>11</v>
      </c>
      <c r="B9" s="18" t="s">
        <v>72</v>
      </c>
      <c r="C9" s="18" t="s">
        <v>73</v>
      </c>
      <c r="D9" s="18" t="s">
        <v>148</v>
      </c>
      <c r="E9" s="18" t="s">
        <v>149</v>
      </c>
      <c r="F9" s="18" t="s">
        <v>158</v>
      </c>
      <c r="G9" s="28" t="s">
        <v>159</v>
      </c>
      <c r="H9" s="66">
        <f>0.712*(1000/134.193)</f>
        <v>5.3057909130878649</v>
      </c>
      <c r="I9" s="72"/>
      <c r="J9" s="18" t="s">
        <v>80</v>
      </c>
      <c r="K9" s="18"/>
    </row>
    <row r="10" spans="1:16">
      <c r="A10" s="18" t="s">
        <v>11</v>
      </c>
      <c r="B10" s="18" t="s">
        <v>72</v>
      </c>
      <c r="C10" s="18" t="s">
        <v>73</v>
      </c>
      <c r="D10" s="18" t="s">
        <v>148</v>
      </c>
      <c r="E10" s="18" t="s">
        <v>149</v>
      </c>
      <c r="F10" s="18" t="s">
        <v>158</v>
      </c>
      <c r="G10" s="28" t="s">
        <v>699</v>
      </c>
      <c r="H10" s="72">
        <v>2</v>
      </c>
      <c r="I10" s="72"/>
      <c r="J10" s="18" t="s">
        <v>701</v>
      </c>
      <c r="K10" s="18"/>
    </row>
    <row r="11" spans="1:16">
      <c r="A11" s="18" t="s">
        <v>11</v>
      </c>
      <c r="B11" s="18" t="s">
        <v>72</v>
      </c>
      <c r="C11" s="18" t="s">
        <v>73</v>
      </c>
      <c r="D11" s="18" t="s">
        <v>148</v>
      </c>
      <c r="E11" s="18" t="s">
        <v>149</v>
      </c>
      <c r="F11" s="18" t="s">
        <v>68</v>
      </c>
      <c r="G11" s="28" t="s">
        <v>69</v>
      </c>
      <c r="H11" s="72">
        <v>3</v>
      </c>
      <c r="I11" s="72"/>
      <c r="J11" s="18" t="s">
        <v>701</v>
      </c>
      <c r="K11" s="18"/>
    </row>
    <row r="12" spans="1:16">
      <c r="A12" s="18" t="s">
        <v>54</v>
      </c>
      <c r="B12" s="18" t="s">
        <v>72</v>
      </c>
      <c r="C12" s="18" t="s">
        <v>73</v>
      </c>
      <c r="D12" s="18" t="s">
        <v>148</v>
      </c>
      <c r="E12" s="18" t="s">
        <v>149</v>
      </c>
      <c r="F12" s="18" t="s">
        <v>704</v>
      </c>
      <c r="G12" s="28" t="s">
        <v>705</v>
      </c>
      <c r="H12" s="72" t="s">
        <v>695</v>
      </c>
      <c r="I12" s="72"/>
      <c r="J12" s="18" t="s">
        <v>701</v>
      </c>
      <c r="K12" s="18"/>
    </row>
    <row r="13" spans="1:16">
      <c r="A13" s="18" t="s">
        <v>54</v>
      </c>
      <c r="B13" s="18" t="s">
        <v>72</v>
      </c>
      <c r="C13" s="18" t="s">
        <v>73</v>
      </c>
      <c r="D13" s="18" t="s">
        <v>148</v>
      </c>
      <c r="E13" s="18" t="s">
        <v>149</v>
      </c>
      <c r="F13" s="18" t="s">
        <v>380</v>
      </c>
      <c r="G13" s="28" t="s">
        <v>381</v>
      </c>
      <c r="H13" s="66">
        <f>1*(1000/134.193)</f>
        <v>7.4519535296177883</v>
      </c>
      <c r="I13" s="72">
        <v>0.69</v>
      </c>
      <c r="J13" s="18" t="s">
        <v>78</v>
      </c>
      <c r="K13" s="18" t="s">
        <v>382</v>
      </c>
    </row>
    <row r="14" spans="1:16">
      <c r="A14" s="18" t="s">
        <v>54</v>
      </c>
      <c r="B14" s="18" t="s">
        <v>72</v>
      </c>
      <c r="C14" s="18" t="s">
        <v>73</v>
      </c>
      <c r="D14" s="18" t="s">
        <v>148</v>
      </c>
      <c r="E14" s="18" t="s">
        <v>149</v>
      </c>
      <c r="F14" s="18" t="s">
        <v>383</v>
      </c>
      <c r="G14" s="28" t="s">
        <v>384</v>
      </c>
      <c r="H14" s="66">
        <f>0.04*(1000/134.193)</f>
        <v>0.29807814118471154</v>
      </c>
      <c r="I14" s="72">
        <v>18.21</v>
      </c>
      <c r="J14" s="18" t="s">
        <v>78</v>
      </c>
      <c r="K14" s="18" t="s">
        <v>385</v>
      </c>
    </row>
    <row r="15" spans="1:16">
      <c r="A15" s="18" t="s">
        <v>54</v>
      </c>
      <c r="B15" s="18" t="s">
        <v>72</v>
      </c>
      <c r="C15" s="18" t="s">
        <v>73</v>
      </c>
      <c r="D15" s="18" t="s">
        <v>148</v>
      </c>
      <c r="E15" s="18" t="s">
        <v>149</v>
      </c>
      <c r="F15" s="18" t="s">
        <v>698</v>
      </c>
      <c r="G15" s="28"/>
      <c r="H15" s="72">
        <v>0.5</v>
      </c>
      <c r="I15" s="72"/>
      <c r="J15" s="18" t="s">
        <v>701</v>
      </c>
      <c r="K15" s="18"/>
    </row>
    <row r="16" spans="1:16">
      <c r="A16" s="18" t="s">
        <v>54</v>
      </c>
      <c r="B16" s="18" t="s">
        <v>72</v>
      </c>
      <c r="C16" s="18" t="s">
        <v>73</v>
      </c>
      <c r="D16" s="18" t="s">
        <v>148</v>
      </c>
      <c r="E16" s="18" t="s">
        <v>149</v>
      </c>
      <c r="F16" s="18" t="s">
        <v>386</v>
      </c>
      <c r="G16" s="28" t="s">
        <v>387</v>
      </c>
      <c r="H16" s="66">
        <f>0.025*(1000/134.193)</f>
        <v>0.18629883824044471</v>
      </c>
      <c r="I16" s="72"/>
      <c r="J16" s="18" t="s">
        <v>80</v>
      </c>
      <c r="K16" s="18"/>
    </row>
    <row r="17" spans="1:13">
      <c r="A17" s="18" t="s">
        <v>54</v>
      </c>
      <c r="B17" s="18" t="s">
        <v>72</v>
      </c>
      <c r="C17" s="18" t="s">
        <v>73</v>
      </c>
      <c r="D17" s="18" t="s">
        <v>148</v>
      </c>
      <c r="E17" s="18" t="s">
        <v>149</v>
      </c>
      <c r="F17" s="18" t="s">
        <v>388</v>
      </c>
      <c r="G17" s="28" t="s">
        <v>389</v>
      </c>
      <c r="H17" s="66">
        <f>10.4*(1000/134.193)</f>
        <v>77.500316708024997</v>
      </c>
      <c r="I17" s="72">
        <v>0.17</v>
      </c>
      <c r="J17" s="18" t="s">
        <v>78</v>
      </c>
      <c r="K17" s="18" t="s">
        <v>390</v>
      </c>
    </row>
    <row r="18" spans="1:13">
      <c r="A18" s="18" t="s">
        <v>54</v>
      </c>
      <c r="B18" s="18" t="s">
        <v>72</v>
      </c>
      <c r="C18" s="18" t="s">
        <v>73</v>
      </c>
      <c r="D18" s="18" t="s">
        <v>148</v>
      </c>
      <c r="E18" s="18" t="s">
        <v>149</v>
      </c>
      <c r="F18" s="18" t="s">
        <v>150</v>
      </c>
      <c r="G18" s="28" t="s">
        <v>391</v>
      </c>
      <c r="H18" s="66">
        <f>1.49*(1000/134.193)</f>
        <v>11.103410759130504</v>
      </c>
      <c r="I18" s="72">
        <v>41.42</v>
      </c>
      <c r="J18" s="18" t="s">
        <v>78</v>
      </c>
      <c r="K18" s="18" t="s">
        <v>392</v>
      </c>
    </row>
    <row r="19" spans="1:13">
      <c r="A19" s="18" t="s">
        <v>54</v>
      </c>
      <c r="B19" s="18" t="s">
        <v>72</v>
      </c>
      <c r="C19" s="18" t="s">
        <v>73</v>
      </c>
      <c r="D19" s="18" t="s">
        <v>148</v>
      </c>
      <c r="E19" s="18" t="s">
        <v>149</v>
      </c>
      <c r="F19" s="18" t="s">
        <v>393</v>
      </c>
      <c r="G19" s="28" t="s">
        <v>394</v>
      </c>
      <c r="H19" s="66">
        <f>9.81*(1000/134.193)</f>
        <v>73.103664125550509</v>
      </c>
      <c r="I19" s="72">
        <v>4.6100000000000003</v>
      </c>
      <c r="J19" s="18" t="s">
        <v>78</v>
      </c>
      <c r="K19" s="18" t="s">
        <v>395</v>
      </c>
    </row>
    <row r="20" spans="1:13">
      <c r="A20" s="18" t="s">
        <v>54</v>
      </c>
      <c r="B20" s="18" t="s">
        <v>72</v>
      </c>
      <c r="C20" s="18" t="s">
        <v>73</v>
      </c>
      <c r="D20" s="18" t="s">
        <v>148</v>
      </c>
      <c r="E20" s="18" t="s">
        <v>149</v>
      </c>
      <c r="F20" s="18" t="s">
        <v>396</v>
      </c>
      <c r="G20" s="28" t="s">
        <v>668</v>
      </c>
      <c r="H20" s="72"/>
      <c r="I20" s="72">
        <v>6.7</v>
      </c>
      <c r="J20" s="18" t="s">
        <v>664</v>
      </c>
      <c r="K20" s="18"/>
    </row>
    <row r="21" spans="1:13">
      <c r="A21" s="18" t="s">
        <v>54</v>
      </c>
      <c r="B21" s="18" t="s">
        <v>72</v>
      </c>
      <c r="C21" s="18" t="s">
        <v>73</v>
      </c>
      <c r="D21" s="18" t="s">
        <v>148</v>
      </c>
      <c r="E21" s="18" t="s">
        <v>149</v>
      </c>
      <c r="F21" s="18" t="s">
        <v>396</v>
      </c>
      <c r="G21" s="28" t="s">
        <v>397</v>
      </c>
      <c r="H21" s="72">
        <v>0.6</v>
      </c>
      <c r="I21" s="72">
        <v>15.2</v>
      </c>
      <c r="J21" s="18" t="s">
        <v>181</v>
      </c>
      <c r="K21" s="18" t="s">
        <v>398</v>
      </c>
    </row>
    <row r="22" spans="1:13">
      <c r="A22" s="18" t="s">
        <v>54</v>
      </c>
      <c r="B22" s="18" t="s">
        <v>72</v>
      </c>
      <c r="C22" s="18" t="s">
        <v>73</v>
      </c>
      <c r="D22" s="18" t="s">
        <v>148</v>
      </c>
      <c r="E22" s="18" t="s">
        <v>149</v>
      </c>
      <c r="F22" s="18" t="s">
        <v>399</v>
      </c>
      <c r="G22" s="28" t="s">
        <v>400</v>
      </c>
      <c r="H22" s="66">
        <f>0.1*(1000/134.193)</f>
        <v>0.74519535296177886</v>
      </c>
      <c r="I22" s="72">
        <v>32.909999999999997</v>
      </c>
      <c r="J22" s="18" t="s">
        <v>78</v>
      </c>
      <c r="K22" s="18" t="s">
        <v>401</v>
      </c>
    </row>
    <row r="23" spans="1:13">
      <c r="A23" s="18" t="s">
        <v>54</v>
      </c>
      <c r="B23" s="18" t="s">
        <v>72</v>
      </c>
      <c r="C23" s="18" t="s">
        <v>73</v>
      </c>
      <c r="D23" s="18" t="s">
        <v>148</v>
      </c>
      <c r="E23" s="18" t="s">
        <v>149</v>
      </c>
      <c r="F23" s="18" t="s">
        <v>399</v>
      </c>
      <c r="G23" s="28" t="s">
        <v>402</v>
      </c>
      <c r="H23" s="66">
        <f>0.101*(1000/134.193)</f>
        <v>0.75264730649139666</v>
      </c>
      <c r="I23" s="72"/>
      <c r="J23" s="18" t="s">
        <v>80</v>
      </c>
      <c r="K23" s="18"/>
    </row>
    <row r="24" spans="1:13" s="246" customFormat="1">
      <c r="A24" s="242" t="s">
        <v>54</v>
      </c>
      <c r="B24" s="242" t="s">
        <v>72</v>
      </c>
      <c r="C24" s="242" t="s">
        <v>73</v>
      </c>
      <c r="D24" s="242" t="s">
        <v>148</v>
      </c>
      <c r="E24" s="242" t="s">
        <v>149</v>
      </c>
      <c r="F24" s="242" t="s">
        <v>706</v>
      </c>
      <c r="G24" s="243"/>
      <c r="H24" s="245" t="s">
        <v>695</v>
      </c>
      <c r="I24" s="245"/>
      <c r="J24" s="242" t="s">
        <v>701</v>
      </c>
      <c r="K24" s="242"/>
    </row>
    <row r="25" spans="1:13" s="246" customFormat="1">
      <c r="A25" s="242" t="s">
        <v>54</v>
      </c>
      <c r="B25" s="242" t="s">
        <v>72</v>
      </c>
      <c r="C25" s="242" t="s">
        <v>73</v>
      </c>
      <c r="D25" s="242" t="s">
        <v>148</v>
      </c>
      <c r="E25" s="242" t="s">
        <v>149</v>
      </c>
      <c r="F25" s="242" t="s">
        <v>706</v>
      </c>
      <c r="G25" s="243" t="s">
        <v>742</v>
      </c>
      <c r="H25" s="245"/>
      <c r="I25" s="245"/>
      <c r="J25" s="242" t="s">
        <v>701</v>
      </c>
      <c r="K25" s="242"/>
      <c r="L25" s="246">
        <v>7.4999999999999997E-3</v>
      </c>
    </row>
    <row r="26" spans="1:13" ht="17">
      <c r="A26" s="212" t="s">
        <v>54</v>
      </c>
      <c r="B26" s="18" t="s">
        <v>72</v>
      </c>
      <c r="C26" s="18" t="s">
        <v>73</v>
      </c>
      <c r="D26" s="18" t="s">
        <v>148</v>
      </c>
      <c r="E26" s="18" t="s">
        <v>149</v>
      </c>
      <c r="F26" s="212" t="s">
        <v>726</v>
      </c>
      <c r="G26" s="127"/>
      <c r="H26" s="213">
        <v>0.6</v>
      </c>
      <c r="I26" s="128"/>
      <c r="J26" s="212" t="s">
        <v>729</v>
      </c>
      <c r="K26" s="126"/>
    </row>
    <row r="27" spans="1:13">
      <c r="A27" s="18" t="s">
        <v>54</v>
      </c>
      <c r="B27" s="18" t="s">
        <v>72</v>
      </c>
      <c r="C27" s="18" t="s">
        <v>73</v>
      </c>
      <c r="D27" s="18" t="s">
        <v>148</v>
      </c>
      <c r="E27" s="18" t="s">
        <v>149</v>
      </c>
      <c r="F27" s="18" t="s">
        <v>156</v>
      </c>
      <c r="G27" s="28" t="s">
        <v>403</v>
      </c>
      <c r="H27" s="66">
        <f>0.52*(1000/134.193)</f>
        <v>3.8750158354012503</v>
      </c>
      <c r="I27" s="72">
        <v>7.34</v>
      </c>
      <c r="J27" s="18" t="s">
        <v>78</v>
      </c>
      <c r="K27" s="18" t="s">
        <v>404</v>
      </c>
    </row>
    <row r="28" spans="1:13" s="246" customFormat="1">
      <c r="A28" s="242" t="s">
        <v>54</v>
      </c>
      <c r="B28" s="242" t="s">
        <v>72</v>
      </c>
      <c r="C28" s="242" t="s">
        <v>73</v>
      </c>
      <c r="D28" s="242" t="s">
        <v>148</v>
      </c>
      <c r="E28" s="242" t="s">
        <v>149</v>
      </c>
      <c r="F28" s="242" t="s">
        <v>747</v>
      </c>
      <c r="G28" s="243" t="s">
        <v>748</v>
      </c>
      <c r="H28" s="244"/>
      <c r="I28" s="245"/>
      <c r="J28" s="242" t="s">
        <v>741</v>
      </c>
      <c r="K28" s="242"/>
      <c r="L28" s="246">
        <v>0.11</v>
      </c>
    </row>
    <row r="29" spans="1:13" s="246" customFormat="1">
      <c r="A29" s="242" t="s">
        <v>54</v>
      </c>
      <c r="B29" s="242" t="s">
        <v>72</v>
      </c>
      <c r="C29" s="242" t="s">
        <v>73</v>
      </c>
      <c r="D29" s="242" t="s">
        <v>148</v>
      </c>
      <c r="E29" s="242" t="s">
        <v>149</v>
      </c>
      <c r="F29" s="242" t="s">
        <v>542</v>
      </c>
      <c r="G29" s="243" t="s">
        <v>700</v>
      </c>
      <c r="H29" s="245">
        <v>0.8</v>
      </c>
      <c r="I29" s="245"/>
      <c r="J29" s="242" t="s">
        <v>701</v>
      </c>
      <c r="K29" s="242"/>
    </row>
    <row r="30" spans="1:13" s="246" customFormat="1">
      <c r="A30" s="242" t="s">
        <v>54</v>
      </c>
      <c r="B30" s="242" t="s">
        <v>72</v>
      </c>
      <c r="C30" s="242" t="s">
        <v>73</v>
      </c>
      <c r="D30" s="242" t="s">
        <v>148</v>
      </c>
      <c r="E30" s="242" t="s">
        <v>149</v>
      </c>
      <c r="F30" s="242" t="s">
        <v>542</v>
      </c>
      <c r="G30" s="243" t="s">
        <v>749</v>
      </c>
      <c r="H30" s="245"/>
      <c r="I30" s="245"/>
      <c r="J30" s="242" t="s">
        <v>741</v>
      </c>
      <c r="K30" s="242"/>
      <c r="L30" s="246">
        <v>0.52800000000000002</v>
      </c>
      <c r="M30" s="246">
        <v>1.9199999999999998E-2</v>
      </c>
    </row>
    <row r="31" spans="1:13" s="246" customFormat="1">
      <c r="A31" s="242" t="s">
        <v>54</v>
      </c>
      <c r="B31" s="242" t="s">
        <v>72</v>
      </c>
      <c r="C31" s="242" t="s">
        <v>73</v>
      </c>
      <c r="D31" s="242" t="s">
        <v>148</v>
      </c>
      <c r="E31" s="242" t="s">
        <v>149</v>
      </c>
      <c r="F31" s="242" t="s">
        <v>542</v>
      </c>
      <c r="G31" s="243" t="s">
        <v>750</v>
      </c>
      <c r="H31" s="245"/>
      <c r="I31" s="245"/>
      <c r="J31" s="242" t="s">
        <v>741</v>
      </c>
      <c r="K31" s="242"/>
      <c r="L31" s="246">
        <v>1.32</v>
      </c>
      <c r="M31" s="246">
        <v>1.2500000000000001E-2</v>
      </c>
    </row>
    <row r="32" spans="1:13">
      <c r="A32" s="18" t="s">
        <v>54</v>
      </c>
      <c r="B32" s="18" t="s">
        <v>72</v>
      </c>
      <c r="C32" s="18" t="s">
        <v>73</v>
      </c>
      <c r="D32" s="18" t="s">
        <v>148</v>
      </c>
      <c r="E32" s="18" t="s">
        <v>149</v>
      </c>
      <c r="F32" s="18" t="s">
        <v>405</v>
      </c>
      <c r="G32" s="28">
        <v>18</v>
      </c>
      <c r="H32" s="66">
        <f>9.37*(1000/134.193)</f>
        <v>69.824804572518673</v>
      </c>
      <c r="I32" s="72">
        <v>2.09</v>
      </c>
      <c r="J32" s="18" t="s">
        <v>78</v>
      </c>
      <c r="K32" s="18" t="s">
        <v>406</v>
      </c>
    </row>
    <row r="33" spans="1:13">
      <c r="A33" s="18" t="s">
        <v>54</v>
      </c>
      <c r="B33" s="18" t="s">
        <v>72</v>
      </c>
      <c r="C33" s="18" t="s">
        <v>73</v>
      </c>
      <c r="D33" s="18" t="s">
        <v>148</v>
      </c>
      <c r="E33" s="18" t="s">
        <v>149</v>
      </c>
      <c r="F33" s="18" t="s">
        <v>407</v>
      </c>
      <c r="G33" s="28" t="s">
        <v>397</v>
      </c>
      <c r="H33" s="72">
        <v>0.2</v>
      </c>
      <c r="I33" s="72">
        <v>0.6</v>
      </c>
      <c r="J33" s="18" t="s">
        <v>181</v>
      </c>
      <c r="K33" s="18" t="s">
        <v>408</v>
      </c>
    </row>
    <row r="34" spans="1:13">
      <c r="A34" s="18" t="s">
        <v>54</v>
      </c>
      <c r="B34" s="18" t="s">
        <v>72</v>
      </c>
      <c r="C34" s="18" t="s">
        <v>73</v>
      </c>
      <c r="D34" s="18" t="s">
        <v>148</v>
      </c>
      <c r="E34" s="18" t="s">
        <v>149</v>
      </c>
      <c r="F34" s="18" t="s">
        <v>409</v>
      </c>
      <c r="G34" s="28" t="s">
        <v>410</v>
      </c>
      <c r="H34" s="66">
        <f>15.1*(1000/134.193)</f>
        <v>112.5244982972286</v>
      </c>
      <c r="I34" s="72">
        <v>0.46</v>
      </c>
      <c r="J34" s="18" t="s">
        <v>78</v>
      </c>
      <c r="K34" s="18" t="s">
        <v>411</v>
      </c>
    </row>
    <row r="35" spans="1:13" s="246" customFormat="1">
      <c r="A35" s="242" t="s">
        <v>54</v>
      </c>
      <c r="B35" s="242" t="s">
        <v>72</v>
      </c>
      <c r="C35" s="242" t="s">
        <v>73</v>
      </c>
      <c r="D35" s="242" t="s">
        <v>148</v>
      </c>
      <c r="E35" s="242" t="s">
        <v>149</v>
      </c>
      <c r="F35" s="242" t="s">
        <v>158</v>
      </c>
      <c r="G35" s="243" t="s">
        <v>412</v>
      </c>
      <c r="H35" s="244">
        <f>0.5*(1000/134.193)</f>
        <v>3.7259767648088942</v>
      </c>
      <c r="I35" s="245">
        <v>21.87</v>
      </c>
      <c r="J35" s="242" t="s">
        <v>78</v>
      </c>
      <c r="K35" s="242" t="s">
        <v>413</v>
      </c>
    </row>
    <row r="36" spans="1:13" s="246" customFormat="1">
      <c r="A36" s="242" t="s">
        <v>54</v>
      </c>
      <c r="B36" s="242" t="s">
        <v>72</v>
      </c>
      <c r="C36" s="242" t="s">
        <v>73</v>
      </c>
      <c r="D36" s="242" t="s">
        <v>148</v>
      </c>
      <c r="E36" s="242" t="s">
        <v>149</v>
      </c>
      <c r="F36" s="242" t="s">
        <v>158</v>
      </c>
      <c r="G36" s="243" t="s">
        <v>699</v>
      </c>
      <c r="H36" s="244"/>
      <c r="I36" s="245"/>
      <c r="J36" s="242" t="s">
        <v>741</v>
      </c>
      <c r="K36" s="242"/>
      <c r="L36" s="246">
        <v>6.56</v>
      </c>
      <c r="M36" s="246">
        <v>2.7000000000000001E-3</v>
      </c>
    </row>
    <row r="37" spans="1:13">
      <c r="A37" s="18" t="s">
        <v>54</v>
      </c>
      <c r="B37" s="18" t="s">
        <v>72</v>
      </c>
      <c r="C37" s="18" t="s">
        <v>73</v>
      </c>
      <c r="D37" s="18" t="s">
        <v>148</v>
      </c>
      <c r="E37" s="18" t="s">
        <v>149</v>
      </c>
      <c r="F37" s="18" t="s">
        <v>414</v>
      </c>
      <c r="G37" s="28" t="s">
        <v>415</v>
      </c>
      <c r="H37" s="66">
        <f>0.14*(1000/134.193)</f>
        <v>1.0432734941464905</v>
      </c>
      <c r="I37" s="72">
        <v>30.3</v>
      </c>
      <c r="J37" s="18" t="s">
        <v>78</v>
      </c>
      <c r="K37" s="18"/>
    </row>
    <row r="38" spans="1:13">
      <c r="A38" s="18" t="s">
        <v>54</v>
      </c>
      <c r="B38" s="18" t="s">
        <v>72</v>
      </c>
      <c r="C38" s="18" t="s">
        <v>73</v>
      </c>
      <c r="D38" s="18" t="s">
        <v>148</v>
      </c>
      <c r="E38" s="18" t="s">
        <v>149</v>
      </c>
      <c r="F38" s="18" t="s">
        <v>61</v>
      </c>
      <c r="G38" s="28"/>
      <c r="H38" s="72"/>
      <c r="I38" s="72">
        <v>2.8</v>
      </c>
      <c r="J38" s="18" t="s">
        <v>58</v>
      </c>
      <c r="K38" s="18" t="s">
        <v>416</v>
      </c>
    </row>
    <row r="39" spans="1:13" s="246" customFormat="1">
      <c r="A39" s="242" t="s">
        <v>54</v>
      </c>
      <c r="B39" s="242" t="s">
        <v>72</v>
      </c>
      <c r="C39" s="242" t="s">
        <v>73</v>
      </c>
      <c r="D39" s="242" t="s">
        <v>148</v>
      </c>
      <c r="E39" s="242" t="s">
        <v>149</v>
      </c>
      <c r="F39" s="242" t="s">
        <v>52</v>
      </c>
      <c r="G39" s="243" t="s">
        <v>418</v>
      </c>
      <c r="H39" s="244">
        <f>0.08*(1000/134.193)</f>
        <v>0.59615628236942309</v>
      </c>
      <c r="I39" s="245">
        <v>16.64</v>
      </c>
      <c r="J39" s="242" t="s">
        <v>78</v>
      </c>
      <c r="K39" s="242"/>
    </row>
    <row r="40" spans="1:13" s="246" customFormat="1">
      <c r="A40" s="242" t="s">
        <v>54</v>
      </c>
      <c r="B40" s="242" t="s">
        <v>72</v>
      </c>
      <c r="C40" s="242" t="s">
        <v>73</v>
      </c>
      <c r="D40" s="242" t="s">
        <v>148</v>
      </c>
      <c r="E40" s="242" t="s">
        <v>149</v>
      </c>
      <c r="F40" s="242" t="s">
        <v>52</v>
      </c>
      <c r="G40" s="243" t="s">
        <v>417</v>
      </c>
      <c r="H40" s="244">
        <f>0.063*(1000/134.193)</f>
        <v>0.46947307236592067</v>
      </c>
      <c r="I40" s="245"/>
      <c r="J40" s="242" t="s">
        <v>80</v>
      </c>
      <c r="K40" s="242"/>
    </row>
    <row r="41" spans="1:13" s="246" customFormat="1">
      <c r="A41" s="242" t="s">
        <v>54</v>
      </c>
      <c r="B41" s="242" t="s">
        <v>72</v>
      </c>
      <c r="C41" s="242" t="s">
        <v>73</v>
      </c>
      <c r="D41" s="242" t="s">
        <v>148</v>
      </c>
      <c r="E41" s="242" t="s">
        <v>149</v>
      </c>
      <c r="F41" s="242" t="s">
        <v>52</v>
      </c>
      <c r="G41" s="243" t="s">
        <v>53</v>
      </c>
      <c r="H41" s="245">
        <v>0.97</v>
      </c>
      <c r="I41" s="245"/>
      <c r="J41" s="242" t="s">
        <v>701</v>
      </c>
      <c r="K41" s="242"/>
    </row>
    <row r="42" spans="1:13" s="246" customFormat="1">
      <c r="A42" s="242" t="s">
        <v>54</v>
      </c>
      <c r="B42" s="242" t="s">
        <v>72</v>
      </c>
      <c r="C42" s="242" t="s">
        <v>73</v>
      </c>
      <c r="D42" s="242" t="s">
        <v>148</v>
      </c>
      <c r="E42" s="242" t="s">
        <v>149</v>
      </c>
      <c r="F42" s="242" t="s">
        <v>52</v>
      </c>
      <c r="G42" s="243" t="s">
        <v>417</v>
      </c>
      <c r="H42" s="245"/>
      <c r="I42" s="245"/>
      <c r="J42" s="242" t="s">
        <v>741</v>
      </c>
      <c r="K42" s="242"/>
      <c r="L42" s="246">
        <v>1.22</v>
      </c>
      <c r="M42" s="246">
        <v>1.3899999999999999E-2</v>
      </c>
    </row>
    <row r="43" spans="1:13" s="246" customFormat="1">
      <c r="A43" s="242" t="s">
        <v>54</v>
      </c>
      <c r="B43" s="242" t="s">
        <v>72</v>
      </c>
      <c r="C43" s="242" t="s">
        <v>73</v>
      </c>
      <c r="D43" s="242" t="s">
        <v>148</v>
      </c>
      <c r="E43" s="242" t="s">
        <v>149</v>
      </c>
      <c r="F43" s="242" t="s">
        <v>419</v>
      </c>
      <c r="G43" s="243" t="s">
        <v>420</v>
      </c>
      <c r="H43" s="244">
        <f>0.25*(1000/134.193)</f>
        <v>1.8629883824044471</v>
      </c>
      <c r="I43" s="245">
        <v>1.05</v>
      </c>
      <c r="J43" s="242" t="s">
        <v>78</v>
      </c>
      <c r="K43" s="242"/>
    </row>
    <row r="44" spans="1:13" s="246" customFormat="1">
      <c r="A44" s="242" t="s">
        <v>54</v>
      </c>
      <c r="B44" s="242" t="s">
        <v>72</v>
      </c>
      <c r="C44" s="242" t="s">
        <v>73</v>
      </c>
      <c r="D44" s="242" t="s">
        <v>148</v>
      </c>
      <c r="E44" s="242" t="s">
        <v>149</v>
      </c>
      <c r="F44" s="242" t="s">
        <v>419</v>
      </c>
      <c r="G44" s="243" t="s">
        <v>751</v>
      </c>
      <c r="H44" s="244"/>
      <c r="I44" s="245"/>
      <c r="J44" s="242" t="s">
        <v>741</v>
      </c>
      <c r="K44" s="242"/>
      <c r="L44" s="246">
        <v>2.4</v>
      </c>
      <c r="M44" s="246">
        <v>2.0400000000000001E-2</v>
      </c>
    </row>
    <row r="45" spans="1:13">
      <c r="A45" s="18" t="s">
        <v>54</v>
      </c>
      <c r="B45" s="18" t="s">
        <v>72</v>
      </c>
      <c r="C45" s="18" t="s">
        <v>73</v>
      </c>
      <c r="D45" s="18" t="s">
        <v>148</v>
      </c>
      <c r="E45" s="18" t="s">
        <v>149</v>
      </c>
      <c r="F45" s="18" t="s">
        <v>421</v>
      </c>
      <c r="G45" s="28" t="s">
        <v>422</v>
      </c>
      <c r="H45" s="66">
        <f>5.48*(1000/134.193)</f>
        <v>40.836705342305486</v>
      </c>
      <c r="I45" s="72">
        <v>1.82</v>
      </c>
      <c r="J45" s="18" t="s">
        <v>78</v>
      </c>
      <c r="K45" s="18"/>
    </row>
    <row r="46" spans="1:13" s="246" customFormat="1">
      <c r="A46" s="242" t="s">
        <v>54</v>
      </c>
      <c r="B46" s="242" t="s">
        <v>72</v>
      </c>
      <c r="C46" s="242" t="s">
        <v>73</v>
      </c>
      <c r="D46" s="242" t="s">
        <v>148</v>
      </c>
      <c r="E46" s="242" t="s">
        <v>149</v>
      </c>
      <c r="F46" s="242" t="s">
        <v>702</v>
      </c>
      <c r="G46" s="243" t="s">
        <v>703</v>
      </c>
      <c r="H46" s="245" t="s">
        <v>695</v>
      </c>
      <c r="I46" s="248"/>
      <c r="J46" s="242" t="s">
        <v>701</v>
      </c>
      <c r="K46" s="242"/>
      <c r="M46" s="249"/>
    </row>
    <row r="47" spans="1:13" s="246" customFormat="1">
      <c r="A47" s="242" t="s">
        <v>54</v>
      </c>
      <c r="B47" s="242" t="s">
        <v>72</v>
      </c>
      <c r="C47" s="242" t="s">
        <v>73</v>
      </c>
      <c r="D47" s="242" t="s">
        <v>148</v>
      </c>
      <c r="E47" s="242" t="s">
        <v>149</v>
      </c>
      <c r="F47" s="242" t="s">
        <v>702</v>
      </c>
      <c r="G47" s="243" t="s">
        <v>703</v>
      </c>
      <c r="H47" s="245" t="s">
        <v>695</v>
      </c>
      <c r="I47" s="248"/>
      <c r="J47" s="242" t="s">
        <v>741</v>
      </c>
      <c r="K47" s="242"/>
      <c r="L47" s="246">
        <v>0.84799999999999998</v>
      </c>
      <c r="M47" s="249"/>
    </row>
    <row r="48" spans="1:13">
      <c r="A48" s="18" t="s">
        <v>512</v>
      </c>
      <c r="B48" s="18" t="s">
        <v>72</v>
      </c>
      <c r="C48" s="18" t="s">
        <v>73</v>
      </c>
      <c r="D48" s="18" t="s">
        <v>148</v>
      </c>
      <c r="E48" s="18" t="s">
        <v>149</v>
      </c>
      <c r="F48" s="18" t="s">
        <v>531</v>
      </c>
      <c r="G48" s="28" t="s">
        <v>532</v>
      </c>
      <c r="H48" s="66" t="s">
        <v>515</v>
      </c>
      <c r="I48" s="66"/>
      <c r="J48" s="18" t="s">
        <v>78</v>
      </c>
      <c r="K48" s="18"/>
    </row>
    <row r="49" spans="1:11">
      <c r="A49" s="18" t="s">
        <v>512</v>
      </c>
      <c r="B49" s="18" t="s">
        <v>72</v>
      </c>
      <c r="C49" s="18" t="s">
        <v>73</v>
      </c>
      <c r="D49" s="18" t="s">
        <v>148</v>
      </c>
      <c r="E49" s="18" t="s">
        <v>149</v>
      </c>
      <c r="F49" s="18" t="s">
        <v>533</v>
      </c>
      <c r="G49" s="28" t="s">
        <v>534</v>
      </c>
      <c r="H49" s="66" t="s">
        <v>515</v>
      </c>
      <c r="I49" s="66"/>
      <c r="J49" s="18" t="s">
        <v>78</v>
      </c>
      <c r="K49" s="18"/>
    </row>
    <row r="50" spans="1:11">
      <c r="A50" s="18" t="s">
        <v>512</v>
      </c>
      <c r="B50" s="18" t="s">
        <v>72</v>
      </c>
      <c r="C50" s="18" t="s">
        <v>73</v>
      </c>
      <c r="D50" s="18" t="s">
        <v>148</v>
      </c>
      <c r="E50" s="18" t="s">
        <v>149</v>
      </c>
      <c r="F50" s="18" t="s">
        <v>535</v>
      </c>
      <c r="G50" s="28" t="s">
        <v>536</v>
      </c>
      <c r="H50" s="66" t="s">
        <v>515</v>
      </c>
      <c r="I50" s="66"/>
      <c r="J50" s="18" t="s">
        <v>78</v>
      </c>
      <c r="K50" s="18"/>
    </row>
    <row r="51" spans="1:11">
      <c r="A51" s="18" t="s">
        <v>512</v>
      </c>
      <c r="B51" s="18" t="s">
        <v>72</v>
      </c>
      <c r="C51" s="18" t="s">
        <v>73</v>
      </c>
      <c r="D51" s="18" t="s">
        <v>148</v>
      </c>
      <c r="E51" s="18" t="s">
        <v>149</v>
      </c>
      <c r="F51" s="18" t="s">
        <v>537</v>
      </c>
      <c r="G51" s="28" t="s">
        <v>538</v>
      </c>
      <c r="H51" s="66" t="s">
        <v>515</v>
      </c>
      <c r="I51" s="66"/>
      <c r="J51" s="18" t="s">
        <v>78</v>
      </c>
      <c r="K51" s="18"/>
    </row>
    <row r="52" spans="1:11">
      <c r="A52" s="18" t="s">
        <v>512</v>
      </c>
      <c r="B52" s="18" t="s">
        <v>72</v>
      </c>
      <c r="C52" s="18" t="s">
        <v>73</v>
      </c>
      <c r="D52" s="18" t="s">
        <v>148</v>
      </c>
      <c r="E52" s="18" t="s">
        <v>149</v>
      </c>
      <c r="F52" s="18" t="s">
        <v>386</v>
      </c>
      <c r="G52" s="28" t="s">
        <v>539</v>
      </c>
      <c r="H52" s="66" t="s">
        <v>515</v>
      </c>
      <c r="I52" s="66"/>
      <c r="J52" s="18" t="s">
        <v>78</v>
      </c>
      <c r="K52" s="18"/>
    </row>
    <row r="53" spans="1:11">
      <c r="A53" s="18" t="s">
        <v>512</v>
      </c>
      <c r="B53" s="18" t="s">
        <v>72</v>
      </c>
      <c r="C53" s="18" t="s">
        <v>73</v>
      </c>
      <c r="D53" s="18" t="s">
        <v>148</v>
      </c>
      <c r="E53" s="18" t="s">
        <v>149</v>
      </c>
      <c r="F53" s="18" t="s">
        <v>540</v>
      </c>
      <c r="G53" s="28" t="s">
        <v>541</v>
      </c>
      <c r="H53" s="66" t="s">
        <v>515</v>
      </c>
      <c r="I53" s="66"/>
      <c r="J53" s="18" t="s">
        <v>78</v>
      </c>
      <c r="K53" s="18"/>
    </row>
    <row r="54" spans="1:11">
      <c r="A54" s="18" t="s">
        <v>512</v>
      </c>
      <c r="B54" s="18" t="s">
        <v>72</v>
      </c>
      <c r="C54" s="18" t="s">
        <v>73</v>
      </c>
      <c r="D54" s="18" t="s">
        <v>148</v>
      </c>
      <c r="E54" s="18" t="s">
        <v>149</v>
      </c>
      <c r="F54" s="18" t="s">
        <v>542</v>
      </c>
      <c r="G54" s="28" t="s">
        <v>543</v>
      </c>
      <c r="H54" s="66" t="s">
        <v>515</v>
      </c>
      <c r="I54" s="66"/>
      <c r="J54" s="18" t="s">
        <v>78</v>
      </c>
      <c r="K54" s="18"/>
    </row>
    <row r="55" spans="1:11">
      <c r="A55" s="18" t="s">
        <v>512</v>
      </c>
      <c r="B55" s="18" t="s">
        <v>72</v>
      </c>
      <c r="C55" s="18" t="s">
        <v>73</v>
      </c>
      <c r="D55" s="18" t="s">
        <v>148</v>
      </c>
      <c r="E55" s="18" t="s">
        <v>149</v>
      </c>
      <c r="F55" s="18" t="s">
        <v>715</v>
      </c>
      <c r="G55" s="28" t="s">
        <v>716</v>
      </c>
      <c r="H55" s="72" t="s">
        <v>695</v>
      </c>
      <c r="I55" s="72"/>
      <c r="J55" s="18" t="s">
        <v>694</v>
      </c>
      <c r="K55" s="18"/>
    </row>
    <row r="56" spans="1:11">
      <c r="A56" s="18" t="s">
        <v>512</v>
      </c>
      <c r="B56" s="18" t="s">
        <v>72</v>
      </c>
      <c r="C56" s="18" t="s">
        <v>73</v>
      </c>
      <c r="D56" s="18" t="s">
        <v>148</v>
      </c>
      <c r="E56" s="18" t="s">
        <v>149</v>
      </c>
      <c r="F56" s="18" t="s">
        <v>544</v>
      </c>
      <c r="G56" s="123" t="s">
        <v>545</v>
      </c>
      <c r="H56" s="66" t="s">
        <v>515</v>
      </c>
      <c r="I56" s="66"/>
      <c r="J56" s="18" t="s">
        <v>78</v>
      </c>
      <c r="K56" s="124"/>
    </row>
    <row r="57" spans="1:11">
      <c r="A57" s="18" t="s">
        <v>11</v>
      </c>
      <c r="B57" s="18" t="s">
        <v>72</v>
      </c>
      <c r="C57" s="18" t="s">
        <v>176</v>
      </c>
      <c r="D57" s="18"/>
      <c r="E57" s="18" t="s">
        <v>177</v>
      </c>
      <c r="F57" s="18" t="s">
        <v>178</v>
      </c>
      <c r="G57" s="28" t="s">
        <v>179</v>
      </c>
      <c r="H57" s="72">
        <v>1.25</v>
      </c>
      <c r="I57" s="72"/>
      <c r="J57" s="18" t="s">
        <v>181</v>
      </c>
      <c r="K57" s="18" t="s">
        <v>180</v>
      </c>
    </row>
    <row r="58" spans="1:11">
      <c r="A58" s="18" t="s">
        <v>512</v>
      </c>
      <c r="B58" s="18" t="s">
        <v>72</v>
      </c>
      <c r="C58" s="18" t="s">
        <v>73</v>
      </c>
      <c r="D58" s="18" t="s">
        <v>148</v>
      </c>
      <c r="E58" s="18" t="s">
        <v>546</v>
      </c>
      <c r="F58" s="18" t="s">
        <v>547</v>
      </c>
      <c r="G58" s="28" t="s">
        <v>548</v>
      </c>
      <c r="H58" s="66" t="s">
        <v>515</v>
      </c>
      <c r="I58" s="66"/>
      <c r="J58" s="18" t="s">
        <v>78</v>
      </c>
      <c r="K58" s="18"/>
    </row>
    <row r="59" spans="1:11">
      <c r="A59" s="18" t="s">
        <v>512</v>
      </c>
      <c r="B59" s="18" t="s">
        <v>72</v>
      </c>
      <c r="C59" s="18" t="s">
        <v>73</v>
      </c>
      <c r="D59" s="18" t="s">
        <v>148</v>
      </c>
      <c r="E59" s="18" t="s">
        <v>546</v>
      </c>
      <c r="F59" s="18" t="s">
        <v>549</v>
      </c>
      <c r="G59" s="28" t="s">
        <v>550</v>
      </c>
      <c r="H59" s="66" t="s">
        <v>515</v>
      </c>
      <c r="I59" s="66"/>
      <c r="J59" s="18" t="s">
        <v>78</v>
      </c>
      <c r="K59" s="18"/>
    </row>
    <row r="60" spans="1:11">
      <c r="A60" s="18" t="s">
        <v>54</v>
      </c>
      <c r="B60" s="18" t="s">
        <v>72</v>
      </c>
      <c r="C60" s="18" t="s">
        <v>130</v>
      </c>
      <c r="D60" s="18" t="s">
        <v>131</v>
      </c>
      <c r="E60" s="18" t="s">
        <v>274</v>
      </c>
      <c r="F60" s="18" t="s">
        <v>275</v>
      </c>
      <c r="G60" s="28" t="s">
        <v>276</v>
      </c>
      <c r="H60" s="121">
        <f>0.0003*(1000/134.193)</f>
        <v>2.2355860588853362E-3</v>
      </c>
      <c r="I60" s="72"/>
      <c r="J60" s="18" t="s">
        <v>80</v>
      </c>
      <c r="K60" s="18" t="s">
        <v>277</v>
      </c>
    </row>
    <row r="61" spans="1:11">
      <c r="A61" s="18" t="s">
        <v>54</v>
      </c>
      <c r="B61" s="18" t="s">
        <v>72</v>
      </c>
      <c r="C61" s="18" t="s">
        <v>130</v>
      </c>
      <c r="D61" s="18" t="s">
        <v>131</v>
      </c>
      <c r="E61" s="18" t="s">
        <v>274</v>
      </c>
      <c r="F61" s="18" t="s">
        <v>278</v>
      </c>
      <c r="G61" s="28" t="s">
        <v>279</v>
      </c>
      <c r="H61" s="66">
        <f>0.61*(1000/134.193)</f>
        <v>4.545691653066851</v>
      </c>
      <c r="I61" s="72">
        <v>25.22</v>
      </c>
      <c r="J61" s="18" t="s">
        <v>78</v>
      </c>
      <c r="K61" s="18" t="s">
        <v>280</v>
      </c>
    </row>
    <row r="62" spans="1:11">
      <c r="A62" s="18" t="s">
        <v>54</v>
      </c>
      <c r="B62" s="18" t="s">
        <v>72</v>
      </c>
      <c r="C62" s="18" t="s">
        <v>130</v>
      </c>
      <c r="D62" s="18" t="s">
        <v>131</v>
      </c>
      <c r="E62" s="18" t="s">
        <v>274</v>
      </c>
      <c r="F62" s="18" t="s">
        <v>278</v>
      </c>
      <c r="G62" s="28" t="s">
        <v>281</v>
      </c>
      <c r="H62" s="66">
        <f>0.006*(1000/134.193)</f>
        <v>4.4711721177706734E-2</v>
      </c>
      <c r="I62" s="72"/>
      <c r="J62" s="18" t="s">
        <v>80</v>
      </c>
      <c r="K62" s="18"/>
    </row>
    <row r="63" spans="1:11">
      <c r="A63" s="18" t="s">
        <v>54</v>
      </c>
      <c r="B63" s="18" t="s">
        <v>72</v>
      </c>
      <c r="C63" s="18" t="s">
        <v>130</v>
      </c>
      <c r="D63" s="18" t="s">
        <v>131</v>
      </c>
      <c r="E63" s="18" t="s">
        <v>274</v>
      </c>
      <c r="F63" s="18" t="s">
        <v>517</v>
      </c>
      <c r="G63" s="28"/>
      <c r="H63" s="72">
        <v>0.3</v>
      </c>
      <c r="I63" s="72"/>
      <c r="J63" s="18" t="s">
        <v>729</v>
      </c>
      <c r="K63" s="18"/>
    </row>
    <row r="64" spans="1:11">
      <c r="A64" s="18" t="s">
        <v>54</v>
      </c>
      <c r="B64" s="18" t="s">
        <v>72</v>
      </c>
      <c r="C64" s="18" t="s">
        <v>130</v>
      </c>
      <c r="D64" s="18" t="s">
        <v>131</v>
      </c>
      <c r="E64" s="18" t="s">
        <v>274</v>
      </c>
      <c r="F64" s="18" t="s">
        <v>282</v>
      </c>
      <c r="G64" s="28" t="s">
        <v>283</v>
      </c>
      <c r="H64" s="66">
        <f>0.08*(1000/134.193)</f>
        <v>0.59615628236942309</v>
      </c>
      <c r="I64" s="72">
        <v>0.14000000000000001</v>
      </c>
      <c r="J64" s="18" t="s">
        <v>78</v>
      </c>
      <c r="K64" s="18" t="s">
        <v>284</v>
      </c>
    </row>
    <row r="65" spans="1:11">
      <c r="A65" s="18" t="s">
        <v>54</v>
      </c>
      <c r="B65" s="18" t="s">
        <v>72</v>
      </c>
      <c r="C65" s="18" t="s">
        <v>130</v>
      </c>
      <c r="D65" s="18" t="s">
        <v>131</v>
      </c>
      <c r="E65" s="18" t="s">
        <v>274</v>
      </c>
      <c r="F65" s="18" t="s">
        <v>285</v>
      </c>
      <c r="G65" s="28" t="s">
        <v>286</v>
      </c>
      <c r="H65" s="119">
        <f>0.12/134.193</f>
        <v>8.9423442355413463E-4</v>
      </c>
      <c r="I65" s="72">
        <v>0.74</v>
      </c>
      <c r="J65" s="18" t="s">
        <v>142</v>
      </c>
      <c r="K65" s="18"/>
    </row>
    <row r="66" spans="1:11">
      <c r="A66" s="18" t="s">
        <v>54</v>
      </c>
      <c r="B66" s="18" t="s">
        <v>72</v>
      </c>
      <c r="C66" s="18" t="s">
        <v>130</v>
      </c>
      <c r="D66" s="18" t="s">
        <v>131</v>
      </c>
      <c r="E66" s="18" t="s">
        <v>274</v>
      </c>
      <c r="F66" s="18" t="s">
        <v>697</v>
      </c>
      <c r="G66" s="28"/>
      <c r="H66" s="72">
        <v>0.2</v>
      </c>
      <c r="I66" s="72"/>
      <c r="J66" s="18" t="s">
        <v>729</v>
      </c>
      <c r="K66" s="18"/>
    </row>
    <row r="67" spans="1:11">
      <c r="A67" s="18" t="s">
        <v>512</v>
      </c>
      <c r="B67" s="18" t="s">
        <v>72</v>
      </c>
      <c r="C67" s="18" t="s">
        <v>130</v>
      </c>
      <c r="D67" s="18" t="s">
        <v>131</v>
      </c>
      <c r="E67" s="18" t="s">
        <v>274</v>
      </c>
      <c r="F67" s="18" t="s">
        <v>275</v>
      </c>
      <c r="G67" s="28" t="s">
        <v>516</v>
      </c>
      <c r="H67" s="66" t="s">
        <v>515</v>
      </c>
      <c r="I67" s="66"/>
      <c r="J67" s="18" t="s">
        <v>78</v>
      </c>
      <c r="K67" s="18"/>
    </row>
    <row r="68" spans="1:11">
      <c r="A68" s="18" t="s">
        <v>512</v>
      </c>
      <c r="B68" s="18" t="s">
        <v>72</v>
      </c>
      <c r="C68" s="18" t="s">
        <v>130</v>
      </c>
      <c r="D68" s="18" t="s">
        <v>131</v>
      </c>
      <c r="E68" s="18" t="s">
        <v>274</v>
      </c>
      <c r="F68" s="18" t="s">
        <v>517</v>
      </c>
      <c r="G68" s="28" t="s">
        <v>518</v>
      </c>
      <c r="H68" s="66" t="s">
        <v>515</v>
      </c>
      <c r="I68" s="66"/>
      <c r="J68" s="18" t="s">
        <v>78</v>
      </c>
      <c r="K68" s="18"/>
    </row>
    <row r="69" spans="1:11">
      <c r="A69" s="18" t="s">
        <v>512</v>
      </c>
      <c r="B69" s="18" t="s">
        <v>72</v>
      </c>
      <c r="C69" s="18" t="s">
        <v>130</v>
      </c>
      <c r="D69" s="18" t="s">
        <v>131</v>
      </c>
      <c r="E69" s="18" t="s">
        <v>274</v>
      </c>
      <c r="F69" s="18" t="s">
        <v>519</v>
      </c>
      <c r="G69" s="28" t="s">
        <v>520</v>
      </c>
      <c r="H69" s="66" t="s">
        <v>515</v>
      </c>
      <c r="I69" s="66"/>
      <c r="J69" s="18" t="s">
        <v>78</v>
      </c>
      <c r="K69" s="18"/>
    </row>
    <row r="70" spans="1:11">
      <c r="A70" s="18" t="s">
        <v>512</v>
      </c>
      <c r="B70" s="18" t="s">
        <v>72</v>
      </c>
      <c r="C70" s="18" t="s">
        <v>130</v>
      </c>
      <c r="D70" s="18" t="s">
        <v>131</v>
      </c>
      <c r="E70" s="18" t="s">
        <v>274</v>
      </c>
      <c r="F70" s="18" t="s">
        <v>521</v>
      </c>
      <c r="G70" s="28" t="s">
        <v>522</v>
      </c>
      <c r="H70" s="66" t="s">
        <v>515</v>
      </c>
      <c r="I70" s="66"/>
      <c r="J70" s="18" t="s">
        <v>78</v>
      </c>
      <c r="K70" s="18"/>
    </row>
    <row r="71" spans="1:11">
      <c r="A71" s="18" t="s">
        <v>512</v>
      </c>
      <c r="B71" s="18" t="s">
        <v>72</v>
      </c>
      <c r="C71" s="18" t="s">
        <v>130</v>
      </c>
      <c r="D71" s="18" t="s">
        <v>131</v>
      </c>
      <c r="E71" s="18" t="s">
        <v>274</v>
      </c>
      <c r="F71" s="18" t="s">
        <v>523</v>
      </c>
      <c r="G71" s="28" t="s">
        <v>524</v>
      </c>
      <c r="H71" s="66" t="s">
        <v>515</v>
      </c>
      <c r="I71" s="66"/>
      <c r="J71" s="18" t="s">
        <v>78</v>
      </c>
      <c r="K71" s="18"/>
    </row>
    <row r="72" spans="1:11">
      <c r="A72" s="18" t="s">
        <v>512</v>
      </c>
      <c r="B72" s="18" t="s">
        <v>72</v>
      </c>
      <c r="C72" s="18" t="s">
        <v>130</v>
      </c>
      <c r="D72" s="18" t="s">
        <v>131</v>
      </c>
      <c r="E72" s="18" t="s">
        <v>274</v>
      </c>
      <c r="F72" s="18" t="s">
        <v>145</v>
      </c>
      <c r="G72" s="28" t="s">
        <v>525</v>
      </c>
      <c r="H72" s="66" t="s">
        <v>515</v>
      </c>
      <c r="I72" s="66"/>
      <c r="J72" s="18" t="s">
        <v>78</v>
      </c>
      <c r="K72" s="18"/>
    </row>
    <row r="73" spans="1:11">
      <c r="A73" s="18" t="s">
        <v>11</v>
      </c>
      <c r="B73" s="18" t="s">
        <v>72</v>
      </c>
      <c r="C73" s="18" t="s">
        <v>73</v>
      </c>
      <c r="D73" s="18" t="s">
        <v>148</v>
      </c>
      <c r="E73" s="18" t="s">
        <v>160</v>
      </c>
      <c r="F73" s="18" t="s">
        <v>161</v>
      </c>
      <c r="G73" s="28" t="s">
        <v>162</v>
      </c>
      <c r="H73" s="66">
        <f>2.68*(1000/134.193)</f>
        <v>19.971235459375674</v>
      </c>
      <c r="I73" s="72">
        <v>596.27</v>
      </c>
      <c r="J73" s="18" t="s">
        <v>78</v>
      </c>
      <c r="K73" s="18" t="s">
        <v>163</v>
      </c>
    </row>
    <row r="74" spans="1:11" ht="18">
      <c r="A74" s="18" t="s">
        <v>11</v>
      </c>
      <c r="B74" s="18" t="s">
        <v>72</v>
      </c>
      <c r="C74" s="18" t="s">
        <v>73</v>
      </c>
      <c r="D74" s="18" t="s">
        <v>148</v>
      </c>
      <c r="E74" s="18" t="s">
        <v>160</v>
      </c>
      <c r="F74" s="18" t="s">
        <v>164</v>
      </c>
      <c r="G74" s="28" t="s">
        <v>610</v>
      </c>
      <c r="H74" s="66">
        <f>0.38*(1000/134.193)</f>
        <v>2.8317423412547598</v>
      </c>
      <c r="I74" s="72">
        <v>200.75</v>
      </c>
      <c r="J74" s="18" t="s">
        <v>78</v>
      </c>
      <c r="K74" s="18" t="s">
        <v>165</v>
      </c>
    </row>
    <row r="75" spans="1:11" ht="18">
      <c r="A75" s="18" t="s">
        <v>11</v>
      </c>
      <c r="B75" s="18" t="s">
        <v>72</v>
      </c>
      <c r="C75" s="18" t="s">
        <v>73</v>
      </c>
      <c r="D75" s="18" t="s">
        <v>148</v>
      </c>
      <c r="E75" s="18" t="s">
        <v>160</v>
      </c>
      <c r="F75" s="18" t="s">
        <v>166</v>
      </c>
      <c r="G75" s="120" t="s">
        <v>611</v>
      </c>
      <c r="H75" s="66">
        <f>0.58*(1000/134.193)</f>
        <v>4.3221330471783173</v>
      </c>
      <c r="I75" s="72">
        <v>529.1</v>
      </c>
      <c r="J75" s="18" t="s">
        <v>78</v>
      </c>
      <c r="K75" s="18"/>
    </row>
    <row r="76" spans="1:11">
      <c r="A76" s="18" t="s">
        <v>11</v>
      </c>
      <c r="B76" s="18" t="s">
        <v>72</v>
      </c>
      <c r="C76" s="18" t="s">
        <v>73</v>
      </c>
      <c r="D76" s="18" t="s">
        <v>148</v>
      </c>
      <c r="E76" s="18" t="s">
        <v>160</v>
      </c>
      <c r="F76" s="18" t="s">
        <v>167</v>
      </c>
      <c r="G76" s="28" t="s">
        <v>168</v>
      </c>
      <c r="H76" s="66">
        <f>1.396*(1000/134.193)</f>
        <v>10.402927127346432</v>
      </c>
      <c r="I76" s="72"/>
      <c r="J76" s="18" t="s">
        <v>80</v>
      </c>
      <c r="K76" s="18" t="s">
        <v>169</v>
      </c>
    </row>
    <row r="77" spans="1:11">
      <c r="A77" s="18" t="s">
        <v>11</v>
      </c>
      <c r="B77" s="18" t="s">
        <v>72</v>
      </c>
      <c r="C77" s="18" t="s">
        <v>73</v>
      </c>
      <c r="D77" s="18" t="s">
        <v>148</v>
      </c>
      <c r="E77" s="18" t="s">
        <v>160</v>
      </c>
      <c r="F77" s="18" t="s">
        <v>145</v>
      </c>
      <c r="G77" s="28" t="s">
        <v>170</v>
      </c>
      <c r="H77" s="66">
        <f>0.24*(1000/134.193)</f>
        <v>1.788468847108269</v>
      </c>
      <c r="I77" s="72">
        <v>422.39</v>
      </c>
      <c r="J77" s="18" t="s">
        <v>78</v>
      </c>
      <c r="K77" s="18"/>
    </row>
    <row r="78" spans="1:11">
      <c r="A78" s="18" t="s">
        <v>512</v>
      </c>
      <c r="B78" s="18" t="s">
        <v>72</v>
      </c>
      <c r="C78" s="18" t="s">
        <v>73</v>
      </c>
      <c r="D78" s="18" t="s">
        <v>148</v>
      </c>
      <c r="E78" s="18" t="s">
        <v>160</v>
      </c>
      <c r="F78" s="18" t="s">
        <v>551</v>
      </c>
      <c r="G78" s="28" t="s">
        <v>552</v>
      </c>
      <c r="H78" s="66" t="s">
        <v>515</v>
      </c>
      <c r="I78" s="66"/>
      <c r="J78" s="18" t="s">
        <v>78</v>
      </c>
      <c r="K78" s="18"/>
    </row>
    <row r="79" spans="1:11">
      <c r="A79" s="18" t="s">
        <v>512</v>
      </c>
      <c r="B79" s="18" t="s">
        <v>72</v>
      </c>
      <c r="C79" s="18" t="s">
        <v>73</v>
      </c>
      <c r="D79" s="18" t="s">
        <v>148</v>
      </c>
      <c r="E79" s="18" t="s">
        <v>160</v>
      </c>
      <c r="F79" s="18" t="s">
        <v>146</v>
      </c>
      <c r="G79" s="28" t="s">
        <v>553</v>
      </c>
      <c r="H79" s="66" t="s">
        <v>515</v>
      </c>
      <c r="I79" s="72"/>
      <c r="J79" s="18" t="s">
        <v>78</v>
      </c>
      <c r="K79" s="18"/>
    </row>
    <row r="80" spans="1:11">
      <c r="A80" s="18" t="s">
        <v>54</v>
      </c>
      <c r="B80" s="18" t="s">
        <v>72</v>
      </c>
      <c r="C80" s="18" t="s">
        <v>176</v>
      </c>
      <c r="D80" s="18" t="s">
        <v>353</v>
      </c>
      <c r="E80" s="18" t="s">
        <v>362</v>
      </c>
      <c r="F80" s="18" t="s">
        <v>363</v>
      </c>
      <c r="G80" s="28"/>
      <c r="H80" s="72">
        <f>3652*1000</f>
        <v>3652000</v>
      </c>
      <c r="I80" s="72" t="s">
        <v>365</v>
      </c>
      <c r="J80" s="18" t="s">
        <v>84</v>
      </c>
      <c r="K80" s="18" t="s">
        <v>364</v>
      </c>
    </row>
    <row r="81" spans="1:11">
      <c r="A81" s="18" t="s">
        <v>54</v>
      </c>
      <c r="B81" s="18" t="s">
        <v>72</v>
      </c>
      <c r="C81" s="18" t="s">
        <v>176</v>
      </c>
      <c r="D81" s="18" t="s">
        <v>353</v>
      </c>
      <c r="E81" s="18" t="s">
        <v>362</v>
      </c>
      <c r="F81" s="18" t="s">
        <v>366</v>
      </c>
      <c r="G81" s="28"/>
      <c r="H81" s="72">
        <f>3135*1000</f>
        <v>3135000</v>
      </c>
      <c r="I81" s="72" t="s">
        <v>365</v>
      </c>
      <c r="J81" s="18" t="s">
        <v>84</v>
      </c>
      <c r="K81" s="18" t="s">
        <v>367</v>
      </c>
    </row>
    <row r="82" spans="1:11">
      <c r="A82" s="18" t="s">
        <v>54</v>
      </c>
      <c r="B82" s="18" t="s">
        <v>72</v>
      </c>
      <c r="C82" s="18" t="s">
        <v>176</v>
      </c>
      <c r="D82" s="18" t="s">
        <v>353</v>
      </c>
      <c r="E82" s="18" t="s">
        <v>362</v>
      </c>
      <c r="F82" s="18" t="s">
        <v>368</v>
      </c>
      <c r="G82" s="28"/>
      <c r="H82" s="72">
        <f>2757*1000</f>
        <v>2757000</v>
      </c>
      <c r="I82" s="72" t="s">
        <v>370</v>
      </c>
      <c r="J82" s="18" t="s">
        <v>84</v>
      </c>
      <c r="K82" s="18" t="s">
        <v>369</v>
      </c>
    </row>
    <row r="83" spans="1:11">
      <c r="A83" s="18" t="s">
        <v>11</v>
      </c>
      <c r="B83" s="18" t="s">
        <v>72</v>
      </c>
      <c r="C83" s="18" t="s">
        <v>73</v>
      </c>
      <c r="D83" s="18" t="s">
        <v>148</v>
      </c>
      <c r="E83" s="18" t="s">
        <v>171</v>
      </c>
      <c r="F83" s="18" t="s">
        <v>720</v>
      </c>
      <c r="G83" s="28"/>
      <c r="H83" s="72">
        <v>4</v>
      </c>
      <c r="I83" s="72"/>
      <c r="J83" s="18" t="s">
        <v>701</v>
      </c>
      <c r="K83" s="18"/>
    </row>
    <row r="84" spans="1:11" ht="18">
      <c r="A84" s="18" t="s">
        <v>11</v>
      </c>
      <c r="B84" s="18" t="s">
        <v>72</v>
      </c>
      <c r="C84" s="18" t="s">
        <v>73</v>
      </c>
      <c r="D84" s="18" t="s">
        <v>148</v>
      </c>
      <c r="E84" s="18" t="s">
        <v>171</v>
      </c>
      <c r="F84" s="18" t="s">
        <v>172</v>
      </c>
      <c r="G84" s="120" t="s">
        <v>612</v>
      </c>
      <c r="H84" s="66">
        <f>2.86*(1000/134.193)</f>
        <v>21.312587094706874</v>
      </c>
      <c r="I84" s="72">
        <v>345.52</v>
      </c>
      <c r="J84" s="18" t="s">
        <v>78</v>
      </c>
      <c r="K84" s="18" t="s">
        <v>173</v>
      </c>
    </row>
    <row r="85" spans="1:11">
      <c r="A85" s="18" t="s">
        <v>11</v>
      </c>
      <c r="B85" s="18" t="s">
        <v>72</v>
      </c>
      <c r="C85" s="18" t="s">
        <v>73</v>
      </c>
      <c r="D85" s="18" t="s">
        <v>148</v>
      </c>
      <c r="E85" s="18" t="s">
        <v>171</v>
      </c>
      <c r="F85" s="18" t="s">
        <v>174</v>
      </c>
      <c r="G85" s="28" t="s">
        <v>175</v>
      </c>
      <c r="H85" s="66">
        <f>0.445*(1000/134.193)</f>
        <v>3.316119320679916</v>
      </c>
      <c r="I85" s="72"/>
      <c r="J85" s="18" t="s">
        <v>80</v>
      </c>
      <c r="K85" s="18"/>
    </row>
    <row r="86" spans="1:11">
      <c r="A86" s="18" t="s">
        <v>54</v>
      </c>
      <c r="B86" s="18" t="s">
        <v>72</v>
      </c>
      <c r="C86" s="18" t="s">
        <v>73</v>
      </c>
      <c r="D86" s="18" t="s">
        <v>148</v>
      </c>
      <c r="E86" s="18" t="s">
        <v>171</v>
      </c>
      <c r="F86" s="18" t="s">
        <v>423</v>
      </c>
      <c r="G86" s="28" t="s">
        <v>424</v>
      </c>
      <c r="H86" s="66">
        <f>0.018*(1000/134.193)</f>
        <v>0.13413516353312019</v>
      </c>
      <c r="I86" s="72"/>
      <c r="J86" s="18" t="s">
        <v>80</v>
      </c>
      <c r="K86" s="18" t="s">
        <v>425</v>
      </c>
    </row>
    <row r="87" spans="1:11">
      <c r="A87" s="18" t="s">
        <v>512</v>
      </c>
      <c r="B87" s="18" t="s">
        <v>72</v>
      </c>
      <c r="C87" s="18" t="s">
        <v>73</v>
      </c>
      <c r="D87" s="18" t="s">
        <v>148</v>
      </c>
      <c r="E87" s="18" t="s">
        <v>171</v>
      </c>
      <c r="F87" s="18" t="s">
        <v>554</v>
      </c>
      <c r="G87" s="28" t="s">
        <v>555</v>
      </c>
      <c r="H87" s="66" t="s">
        <v>515</v>
      </c>
      <c r="I87" s="72"/>
      <c r="J87" s="18" t="s">
        <v>78</v>
      </c>
      <c r="K87" s="18"/>
    </row>
    <row r="88" spans="1:11">
      <c r="A88" s="18" t="s">
        <v>512</v>
      </c>
      <c r="B88" s="18" t="s">
        <v>72</v>
      </c>
      <c r="C88" s="18" t="s">
        <v>73</v>
      </c>
      <c r="D88" s="18" t="s">
        <v>148</v>
      </c>
      <c r="E88" s="18" t="s">
        <v>171</v>
      </c>
      <c r="F88" s="18" t="s">
        <v>172</v>
      </c>
      <c r="G88" s="28" t="s">
        <v>556</v>
      </c>
      <c r="H88" s="66" t="s">
        <v>515</v>
      </c>
      <c r="I88" s="72"/>
      <c r="J88" s="18" t="s">
        <v>78</v>
      </c>
      <c r="K88" s="18"/>
    </row>
    <row r="89" spans="1:11">
      <c r="A89" s="18" t="s">
        <v>512</v>
      </c>
      <c r="B89" s="18" t="s">
        <v>72</v>
      </c>
      <c r="C89" s="18" t="s">
        <v>73</v>
      </c>
      <c r="D89" s="18" t="s">
        <v>148</v>
      </c>
      <c r="E89" s="18" t="s">
        <v>171</v>
      </c>
      <c r="F89" s="18" t="s">
        <v>557</v>
      </c>
      <c r="G89" s="28" t="s">
        <v>558</v>
      </c>
      <c r="H89" s="66" t="s">
        <v>515</v>
      </c>
      <c r="I89" s="72"/>
      <c r="J89" s="18" t="s">
        <v>78</v>
      </c>
      <c r="K89" s="18"/>
    </row>
    <row r="90" spans="1:11">
      <c r="A90" s="18" t="s">
        <v>512</v>
      </c>
      <c r="B90" s="18" t="s">
        <v>72</v>
      </c>
      <c r="C90" s="18" t="s">
        <v>73</v>
      </c>
      <c r="D90" s="18" t="s">
        <v>148</v>
      </c>
      <c r="E90" s="18" t="s">
        <v>171</v>
      </c>
      <c r="F90" s="18" t="s">
        <v>713</v>
      </c>
      <c r="G90" s="28" t="s">
        <v>714</v>
      </c>
      <c r="H90" s="72" t="s">
        <v>695</v>
      </c>
      <c r="I90" s="72"/>
      <c r="J90" s="18" t="s">
        <v>694</v>
      </c>
      <c r="K90" s="18"/>
    </row>
    <row r="91" spans="1:11">
      <c r="A91" s="18" t="s">
        <v>512</v>
      </c>
      <c r="B91" s="18" t="s">
        <v>72</v>
      </c>
      <c r="C91" s="18" t="s">
        <v>73</v>
      </c>
      <c r="D91" s="18" t="s">
        <v>148</v>
      </c>
      <c r="E91" s="18" t="s">
        <v>171</v>
      </c>
      <c r="F91" s="18" t="s">
        <v>559</v>
      </c>
      <c r="G91" s="28" t="s">
        <v>560</v>
      </c>
      <c r="H91" s="66" t="s">
        <v>515</v>
      </c>
      <c r="I91" s="72"/>
      <c r="J91" s="18" t="s">
        <v>78</v>
      </c>
      <c r="K91" s="18"/>
    </row>
    <row r="92" spans="1:11" ht="18">
      <c r="A92" s="18" t="s">
        <v>512</v>
      </c>
      <c r="B92" s="18" t="s">
        <v>72</v>
      </c>
      <c r="C92" s="18" t="s">
        <v>73</v>
      </c>
      <c r="D92" s="18" t="s">
        <v>148</v>
      </c>
      <c r="E92" s="18" t="s">
        <v>171</v>
      </c>
      <c r="F92" s="18" t="s">
        <v>561</v>
      </c>
      <c r="G92" s="28" t="s">
        <v>631</v>
      </c>
      <c r="H92" s="66" t="s">
        <v>515</v>
      </c>
      <c r="I92" s="72"/>
      <c r="J92" s="18" t="s">
        <v>78</v>
      </c>
      <c r="K92" s="18"/>
    </row>
    <row r="93" spans="1:11" ht="18">
      <c r="A93" s="18" t="s">
        <v>512</v>
      </c>
      <c r="B93" s="18" t="s">
        <v>72</v>
      </c>
      <c r="C93" s="18" t="s">
        <v>73</v>
      </c>
      <c r="D93" s="18" t="s">
        <v>148</v>
      </c>
      <c r="E93" s="18" t="s">
        <v>171</v>
      </c>
      <c r="F93" s="18" t="s">
        <v>561</v>
      </c>
      <c r="G93" s="28" t="s">
        <v>632</v>
      </c>
      <c r="H93" s="66" t="s">
        <v>515</v>
      </c>
      <c r="I93" s="72"/>
      <c r="J93" s="18" t="s">
        <v>78</v>
      </c>
      <c r="K93" s="18"/>
    </row>
    <row r="94" spans="1:11">
      <c r="A94" s="18" t="s">
        <v>512</v>
      </c>
      <c r="B94" s="18" t="s">
        <v>72</v>
      </c>
      <c r="C94" s="18" t="s">
        <v>73</v>
      </c>
      <c r="D94" s="18" t="s">
        <v>148</v>
      </c>
      <c r="E94" s="18" t="s">
        <v>171</v>
      </c>
      <c r="F94" s="18" t="s">
        <v>561</v>
      </c>
      <c r="G94" s="28" t="s">
        <v>562</v>
      </c>
      <c r="H94" s="66" t="s">
        <v>515</v>
      </c>
      <c r="I94" s="72"/>
      <c r="J94" s="18" t="s">
        <v>78</v>
      </c>
      <c r="K94" s="18"/>
    </row>
    <row r="95" spans="1:11">
      <c r="A95" s="18" t="s">
        <v>11</v>
      </c>
      <c r="B95" s="18" t="s">
        <v>72</v>
      </c>
      <c r="C95" s="18" t="s">
        <v>73</v>
      </c>
      <c r="D95" s="18" t="s">
        <v>74</v>
      </c>
      <c r="E95" s="18" t="s">
        <v>75</v>
      </c>
      <c r="F95" s="18" t="s">
        <v>671</v>
      </c>
      <c r="G95" s="28" t="s">
        <v>672</v>
      </c>
      <c r="H95" s="72"/>
      <c r="I95" s="72">
        <v>200</v>
      </c>
      <c r="J95" s="18" t="s">
        <v>673</v>
      </c>
      <c r="K95" s="18"/>
    </row>
    <row r="96" spans="1:11" s="246" customFormat="1">
      <c r="A96" s="242" t="s">
        <v>11</v>
      </c>
      <c r="B96" s="242" t="s">
        <v>72</v>
      </c>
      <c r="C96" s="242" t="s">
        <v>73</v>
      </c>
      <c r="D96" s="242" t="s">
        <v>74</v>
      </c>
      <c r="E96" s="242" t="s">
        <v>75</v>
      </c>
      <c r="F96" s="242" t="s">
        <v>27</v>
      </c>
      <c r="G96" s="243" t="s">
        <v>76</v>
      </c>
      <c r="H96" s="244">
        <f>19.3*(1000/134.193)</f>
        <v>143.82270312162333</v>
      </c>
      <c r="I96" s="245">
        <v>2201.5</v>
      </c>
      <c r="J96" s="242" t="s">
        <v>78</v>
      </c>
      <c r="K96" s="242" t="s">
        <v>77</v>
      </c>
    </row>
    <row r="97" spans="1:14" s="246" customFormat="1">
      <c r="A97" s="242" t="s">
        <v>11</v>
      </c>
      <c r="B97" s="242" t="s">
        <v>72</v>
      </c>
      <c r="C97" s="242" t="s">
        <v>73</v>
      </c>
      <c r="D97" s="242" t="s">
        <v>74</v>
      </c>
      <c r="E97" s="242" t="s">
        <v>75</v>
      </c>
      <c r="F97" s="242" t="s">
        <v>27</v>
      </c>
      <c r="G97" s="243" t="s">
        <v>79</v>
      </c>
      <c r="H97" s="244">
        <f>16.547*(1000/134.193)</f>
        <v>123.30747505458555</v>
      </c>
      <c r="I97" s="245"/>
      <c r="J97" s="242" t="s">
        <v>80</v>
      </c>
      <c r="K97" s="242"/>
    </row>
    <row r="98" spans="1:14" s="246" customFormat="1">
      <c r="A98" s="242" t="s">
        <v>11</v>
      </c>
      <c r="B98" s="242" t="s">
        <v>72</v>
      </c>
      <c r="C98" s="242" t="s">
        <v>73</v>
      </c>
      <c r="D98" s="242" t="s">
        <v>74</v>
      </c>
      <c r="E98" s="242" t="s">
        <v>75</v>
      </c>
      <c r="F98" s="242" t="s">
        <v>27</v>
      </c>
      <c r="G98" s="243" t="s">
        <v>754</v>
      </c>
      <c r="H98" s="244"/>
      <c r="I98" s="245"/>
      <c r="J98" s="242" t="s">
        <v>741</v>
      </c>
      <c r="K98" s="242"/>
      <c r="L98" s="246">
        <v>109.1</v>
      </c>
      <c r="M98" s="246">
        <v>1.1599999999999999E-2</v>
      </c>
      <c r="N98" s="246">
        <v>3.23</v>
      </c>
    </row>
    <row r="99" spans="1:14">
      <c r="A99" s="18" t="s">
        <v>11</v>
      </c>
      <c r="B99" s="18" t="s">
        <v>72</v>
      </c>
      <c r="C99" s="18" t="s">
        <v>73</v>
      </c>
      <c r="D99" s="18" t="s">
        <v>74</v>
      </c>
      <c r="E99" s="18" t="s">
        <v>75</v>
      </c>
      <c r="F99" s="18" t="s">
        <v>81</v>
      </c>
      <c r="G99" s="28" t="s">
        <v>82</v>
      </c>
      <c r="H99" s="72">
        <f>0.2*1000</f>
        <v>200</v>
      </c>
      <c r="I99" s="72" t="s">
        <v>83</v>
      </c>
      <c r="J99" s="18" t="s">
        <v>84</v>
      </c>
      <c r="K99" s="18"/>
    </row>
    <row r="100" spans="1:14">
      <c r="A100" s="18" t="s">
        <v>11</v>
      </c>
      <c r="B100" s="18" t="s">
        <v>72</v>
      </c>
      <c r="C100" s="18" t="s">
        <v>73</v>
      </c>
      <c r="D100" s="18" t="s">
        <v>74</v>
      </c>
      <c r="E100" s="18" t="s">
        <v>75</v>
      </c>
      <c r="F100" s="18" t="s">
        <v>85</v>
      </c>
      <c r="G100" s="28" t="s">
        <v>86</v>
      </c>
      <c r="H100" s="66">
        <f>43*(1000/134.193)</f>
        <v>320.43400177356489</v>
      </c>
      <c r="I100" s="72">
        <v>192.54</v>
      </c>
      <c r="J100" s="18" t="s">
        <v>78</v>
      </c>
      <c r="K100" s="18" t="s">
        <v>87</v>
      </c>
    </row>
    <row r="101" spans="1:14">
      <c r="A101" s="18" t="s">
        <v>11</v>
      </c>
      <c r="B101" s="18" t="s">
        <v>72</v>
      </c>
      <c r="C101" s="18" t="s">
        <v>73</v>
      </c>
      <c r="D101" s="18" t="s">
        <v>74</v>
      </c>
      <c r="E101" s="18" t="s">
        <v>75</v>
      </c>
      <c r="F101" s="18" t="s">
        <v>88</v>
      </c>
      <c r="G101" s="28" t="s">
        <v>89</v>
      </c>
      <c r="H101" s="66">
        <f>45.7*(1000/134.193)</f>
        <v>340.55427630353296</v>
      </c>
      <c r="I101" s="72">
        <v>377.61</v>
      </c>
      <c r="J101" s="18" t="s">
        <v>78</v>
      </c>
      <c r="K101" s="18" t="s">
        <v>90</v>
      </c>
    </row>
    <row r="102" spans="1:14">
      <c r="A102" s="18" t="s">
        <v>11</v>
      </c>
      <c r="B102" s="18" t="s">
        <v>72</v>
      </c>
      <c r="C102" s="18" t="s">
        <v>73</v>
      </c>
      <c r="D102" s="18" t="s">
        <v>74</v>
      </c>
      <c r="E102" s="18" t="s">
        <v>75</v>
      </c>
      <c r="F102" s="18" t="s">
        <v>88</v>
      </c>
      <c r="G102" s="28" t="s">
        <v>91</v>
      </c>
      <c r="H102" s="66">
        <f>4.853*(1000/134.193)</f>
        <v>36.164330479235126</v>
      </c>
      <c r="I102" s="72"/>
      <c r="J102" s="18" t="s">
        <v>80</v>
      </c>
      <c r="K102" s="18"/>
    </row>
    <row r="103" spans="1:14">
      <c r="A103" s="18" t="s">
        <v>11</v>
      </c>
      <c r="B103" s="18" t="s">
        <v>72</v>
      </c>
      <c r="C103" s="18" t="s">
        <v>73</v>
      </c>
      <c r="D103" s="18" t="s">
        <v>74</v>
      </c>
      <c r="E103" s="18" t="s">
        <v>75</v>
      </c>
      <c r="F103" s="18" t="s">
        <v>92</v>
      </c>
      <c r="G103" s="28" t="s">
        <v>93</v>
      </c>
      <c r="H103" s="66">
        <f>46.544*(1000/134.193)</f>
        <v>346.84372508253034</v>
      </c>
      <c r="I103" s="72"/>
      <c r="J103" s="18" t="s">
        <v>80</v>
      </c>
      <c r="K103" s="18"/>
    </row>
    <row r="104" spans="1:14">
      <c r="A104" s="18" t="s">
        <v>11</v>
      </c>
      <c r="B104" s="18" t="s">
        <v>72</v>
      </c>
      <c r="C104" s="18" t="s">
        <v>73</v>
      </c>
      <c r="D104" s="18" t="s">
        <v>74</v>
      </c>
      <c r="E104" s="18" t="s">
        <v>75</v>
      </c>
      <c r="F104" s="18" t="s">
        <v>94</v>
      </c>
      <c r="G104" s="28" t="s">
        <v>95</v>
      </c>
      <c r="H104" s="66">
        <f>24*(1000/134.193)</f>
        <v>178.84688471082691</v>
      </c>
      <c r="I104" s="72">
        <v>124.63</v>
      </c>
      <c r="J104" s="18" t="s">
        <v>78</v>
      </c>
      <c r="K104" s="18"/>
    </row>
    <row r="105" spans="1:14">
      <c r="A105" s="18" t="s">
        <v>11</v>
      </c>
      <c r="B105" s="18" t="s">
        <v>72</v>
      </c>
      <c r="C105" s="18" t="s">
        <v>73</v>
      </c>
      <c r="D105" s="18" t="s">
        <v>74</v>
      </c>
      <c r="E105" s="18" t="s">
        <v>75</v>
      </c>
      <c r="F105" s="18" t="s">
        <v>96</v>
      </c>
      <c r="G105" s="28" t="s">
        <v>97</v>
      </c>
      <c r="H105" s="72">
        <f>0.1*1000</f>
        <v>100</v>
      </c>
      <c r="I105" s="72" t="s">
        <v>99</v>
      </c>
      <c r="J105" s="18" t="s">
        <v>84</v>
      </c>
      <c r="K105" s="18" t="s">
        <v>98</v>
      </c>
    </row>
    <row r="106" spans="1:14">
      <c r="A106" s="18" t="s">
        <v>11</v>
      </c>
      <c r="B106" s="18" t="s">
        <v>72</v>
      </c>
      <c r="C106" s="18" t="s">
        <v>73</v>
      </c>
      <c r="D106" s="18" t="s">
        <v>74</v>
      </c>
      <c r="E106" s="18" t="s">
        <v>75</v>
      </c>
      <c r="F106" s="18" t="s">
        <v>100</v>
      </c>
      <c r="G106" s="28" t="s">
        <v>101</v>
      </c>
      <c r="H106" s="66">
        <f>19.5*(1000/134.193)</f>
        <v>145.31309382754688</v>
      </c>
      <c r="I106" s="72">
        <v>451.49</v>
      </c>
      <c r="J106" s="18" t="s">
        <v>78</v>
      </c>
      <c r="K106" s="18" t="s">
        <v>102</v>
      </c>
    </row>
    <row r="107" spans="1:14">
      <c r="A107" s="18" t="s">
        <v>11</v>
      </c>
      <c r="B107" s="18" t="s">
        <v>72</v>
      </c>
      <c r="C107" s="18" t="s">
        <v>73</v>
      </c>
      <c r="D107" s="18" t="s">
        <v>74</v>
      </c>
      <c r="E107" s="18" t="s">
        <v>75</v>
      </c>
      <c r="F107" s="18" t="s">
        <v>103</v>
      </c>
      <c r="G107" s="28" t="s">
        <v>104</v>
      </c>
      <c r="H107" s="66">
        <f>78.1*(1000/134.193)</f>
        <v>581.99757066314919</v>
      </c>
      <c r="I107" s="72">
        <v>190.3</v>
      </c>
      <c r="J107" s="18" t="s">
        <v>78</v>
      </c>
      <c r="K107" s="18"/>
    </row>
    <row r="108" spans="1:14">
      <c r="A108" s="18" t="s">
        <v>11</v>
      </c>
      <c r="B108" s="18" t="s">
        <v>72</v>
      </c>
      <c r="C108" s="18" t="s">
        <v>73</v>
      </c>
      <c r="D108" s="18" t="s">
        <v>74</v>
      </c>
      <c r="E108" s="18" t="s">
        <v>75</v>
      </c>
      <c r="F108" s="18" t="s">
        <v>105</v>
      </c>
      <c r="G108" s="28" t="s">
        <v>106</v>
      </c>
      <c r="H108" s="72">
        <f>0.9*1000</f>
        <v>900</v>
      </c>
      <c r="I108" s="72" t="s">
        <v>108</v>
      </c>
      <c r="J108" s="18" t="s">
        <v>84</v>
      </c>
      <c r="K108" s="18" t="s">
        <v>107</v>
      </c>
    </row>
    <row r="109" spans="1:14">
      <c r="A109" s="18" t="s">
        <v>11</v>
      </c>
      <c r="B109" s="18" t="s">
        <v>72</v>
      </c>
      <c r="C109" s="18" t="s">
        <v>73</v>
      </c>
      <c r="D109" s="18" t="s">
        <v>74</v>
      </c>
      <c r="E109" s="18" t="s">
        <v>75</v>
      </c>
      <c r="F109" s="18" t="s">
        <v>109</v>
      </c>
      <c r="G109" s="28" t="s">
        <v>110</v>
      </c>
      <c r="H109" s="66">
        <f>239.085*(1000/134.193)</f>
        <v>1781.650309628669</v>
      </c>
      <c r="I109" s="72"/>
      <c r="J109" s="18" t="s">
        <v>80</v>
      </c>
      <c r="K109" s="18"/>
    </row>
    <row r="110" spans="1:14" s="246" customFormat="1">
      <c r="A110" s="242" t="s">
        <v>11</v>
      </c>
      <c r="B110" s="242" t="s">
        <v>72</v>
      </c>
      <c r="C110" s="242" t="s">
        <v>73</v>
      </c>
      <c r="D110" s="242" t="s">
        <v>74</v>
      </c>
      <c r="E110" s="242" t="s">
        <v>75</v>
      </c>
      <c r="F110" s="242" t="s">
        <v>111</v>
      </c>
      <c r="G110" s="243" t="s">
        <v>112</v>
      </c>
      <c r="H110" s="244">
        <f>21.4*(1000/134.193)</f>
        <v>159.47180553382066</v>
      </c>
      <c r="I110" s="245">
        <v>888.06</v>
      </c>
      <c r="J110" s="242" t="s">
        <v>78</v>
      </c>
      <c r="K110" s="242" t="s">
        <v>113</v>
      </c>
    </row>
    <row r="111" spans="1:14" s="246" customFormat="1">
      <c r="A111" s="242" t="s">
        <v>11</v>
      </c>
      <c r="B111" s="242" t="s">
        <v>72</v>
      </c>
      <c r="C111" s="242" t="s">
        <v>73</v>
      </c>
      <c r="D111" s="242" t="s">
        <v>74</v>
      </c>
      <c r="E111" s="242" t="s">
        <v>75</v>
      </c>
      <c r="F111" s="242" t="s">
        <v>111</v>
      </c>
      <c r="G111" s="243" t="s">
        <v>114</v>
      </c>
      <c r="H111" s="244">
        <f>38.116*(1000/134.193)</f>
        <v>284.03866073491162</v>
      </c>
      <c r="I111" s="245"/>
      <c r="J111" s="242" t="s">
        <v>80</v>
      </c>
      <c r="K111" s="242"/>
    </row>
    <row r="112" spans="1:14" s="246" customFormat="1">
      <c r="A112" s="242" t="s">
        <v>11</v>
      </c>
      <c r="B112" s="242" t="s">
        <v>72</v>
      </c>
      <c r="C112" s="242" t="s">
        <v>73</v>
      </c>
      <c r="D112" s="242" t="s">
        <v>74</v>
      </c>
      <c r="E112" s="242" t="s">
        <v>75</v>
      </c>
      <c r="F112" s="242" t="s">
        <v>111</v>
      </c>
      <c r="G112" s="243"/>
      <c r="H112" s="245">
        <v>260</v>
      </c>
      <c r="I112" s="245"/>
      <c r="J112" s="242" t="s">
        <v>701</v>
      </c>
      <c r="K112" s="242"/>
    </row>
    <row r="113" spans="1:15" s="246" customFormat="1">
      <c r="A113" s="242" t="s">
        <v>11</v>
      </c>
      <c r="B113" s="242" t="s">
        <v>72</v>
      </c>
      <c r="C113" s="242" t="s">
        <v>73</v>
      </c>
      <c r="D113" s="242" t="s">
        <v>74</v>
      </c>
      <c r="E113" s="242" t="s">
        <v>75</v>
      </c>
      <c r="F113" s="242" t="s">
        <v>111</v>
      </c>
      <c r="G113" s="243"/>
      <c r="H113" s="245"/>
      <c r="I113" s="245"/>
      <c r="J113" s="242" t="s">
        <v>741</v>
      </c>
      <c r="K113" s="242"/>
      <c r="L113" s="246">
        <v>304.39999999999998</v>
      </c>
      <c r="M113" s="246">
        <v>7.66</v>
      </c>
      <c r="N113" s="246">
        <v>17.079999999999998</v>
      </c>
    </row>
    <row r="114" spans="1:15" ht="18">
      <c r="A114" s="18" t="s">
        <v>11</v>
      </c>
      <c r="B114" s="18" t="s">
        <v>72</v>
      </c>
      <c r="C114" s="18" t="s">
        <v>73</v>
      </c>
      <c r="D114" s="18" t="s">
        <v>74</v>
      </c>
      <c r="E114" s="18" t="s">
        <v>75</v>
      </c>
      <c r="F114" s="18" t="s">
        <v>115</v>
      </c>
      <c r="G114" s="28" t="s">
        <v>606</v>
      </c>
      <c r="H114" s="66">
        <f>16.4*(1000/134.193)</f>
        <v>122.21203788573172</v>
      </c>
      <c r="I114" s="72">
        <v>1082.0999999999999</v>
      </c>
      <c r="J114" s="18" t="s">
        <v>78</v>
      </c>
      <c r="K114" s="18"/>
    </row>
    <row r="115" spans="1:15">
      <c r="A115" s="18" t="s">
        <v>11</v>
      </c>
      <c r="B115" s="18" t="s">
        <v>72</v>
      </c>
      <c r="C115" s="18" t="s">
        <v>73</v>
      </c>
      <c r="D115" s="18" t="s">
        <v>74</v>
      </c>
      <c r="E115" s="18" t="s">
        <v>75</v>
      </c>
      <c r="F115" s="18" t="s">
        <v>115</v>
      </c>
      <c r="G115" s="28" t="s">
        <v>116</v>
      </c>
      <c r="H115" s="66">
        <f>593*(1000/134.193)</f>
        <v>4419.0084430633488</v>
      </c>
      <c r="I115" s="72">
        <v>190.3</v>
      </c>
      <c r="J115" s="18" t="s">
        <v>78</v>
      </c>
      <c r="K115" s="18"/>
    </row>
    <row r="116" spans="1:15">
      <c r="A116" s="18" t="s">
        <v>11</v>
      </c>
      <c r="B116" s="18" t="s">
        <v>72</v>
      </c>
      <c r="C116" s="18" t="s">
        <v>73</v>
      </c>
      <c r="D116" s="18" t="s">
        <v>74</v>
      </c>
      <c r="E116" s="18" t="s">
        <v>75</v>
      </c>
      <c r="F116" s="18" t="s">
        <v>117</v>
      </c>
      <c r="G116" s="28" t="s">
        <v>118</v>
      </c>
      <c r="H116" s="66">
        <f>265*(1000/134.193)</f>
        <v>1974.7676853487139</v>
      </c>
      <c r="I116" s="72">
        <v>139.55000000000001</v>
      </c>
      <c r="J116" s="18" t="s">
        <v>78</v>
      </c>
      <c r="K116" s="18"/>
    </row>
    <row r="117" spans="1:15">
      <c r="A117" s="18" t="s">
        <v>11</v>
      </c>
      <c r="B117" s="18" t="s">
        <v>72</v>
      </c>
      <c r="C117" s="18" t="s">
        <v>73</v>
      </c>
      <c r="D117" s="18" t="s">
        <v>74</v>
      </c>
      <c r="E117" s="18" t="s">
        <v>75</v>
      </c>
      <c r="F117" s="18" t="s">
        <v>119</v>
      </c>
      <c r="G117" s="28" t="s">
        <v>120</v>
      </c>
      <c r="H117" s="66">
        <f>384*(1000/134.193)</f>
        <v>2861.5501553732306</v>
      </c>
      <c r="I117" s="72">
        <v>350</v>
      </c>
      <c r="J117" s="18" t="s">
        <v>78</v>
      </c>
      <c r="K117" s="18" t="s">
        <v>121</v>
      </c>
    </row>
    <row r="118" spans="1:15">
      <c r="A118" s="18" t="s">
        <v>11</v>
      </c>
      <c r="B118" s="18" t="s">
        <v>72</v>
      </c>
      <c r="C118" s="18" t="s">
        <v>73</v>
      </c>
      <c r="D118" s="18" t="s">
        <v>74</v>
      </c>
      <c r="E118" s="18" t="s">
        <v>75</v>
      </c>
      <c r="F118" s="18" t="s">
        <v>122</v>
      </c>
      <c r="G118" s="28" t="s">
        <v>669</v>
      </c>
      <c r="H118" s="72"/>
      <c r="I118" s="72">
        <v>283</v>
      </c>
      <c r="J118" s="18" t="s">
        <v>664</v>
      </c>
      <c r="K118" s="18"/>
    </row>
    <row r="119" spans="1:15">
      <c r="A119" s="18" t="s">
        <v>11</v>
      </c>
      <c r="B119" s="18" t="s">
        <v>72</v>
      </c>
      <c r="C119" s="18" t="s">
        <v>73</v>
      </c>
      <c r="D119" s="18" t="s">
        <v>74</v>
      </c>
      <c r="E119" s="18" t="s">
        <v>75</v>
      </c>
      <c r="F119" s="18" t="s">
        <v>122</v>
      </c>
      <c r="G119" s="28" t="s">
        <v>123</v>
      </c>
      <c r="H119" s="66">
        <f>24.2*(1000/134.193)</f>
        <v>180.33727541675049</v>
      </c>
      <c r="I119" s="72">
        <v>344.78</v>
      </c>
      <c r="J119" s="18" t="s">
        <v>78</v>
      </c>
      <c r="K119" s="18" t="s">
        <v>124</v>
      </c>
      <c r="N119" s="190"/>
      <c r="O119" s="190"/>
    </row>
    <row r="120" spans="1:15">
      <c r="A120" s="18" t="s">
        <v>11</v>
      </c>
      <c r="B120" s="18" t="s">
        <v>72</v>
      </c>
      <c r="C120" s="18" t="s">
        <v>73</v>
      </c>
      <c r="D120" s="18" t="s">
        <v>74</v>
      </c>
      <c r="E120" s="18" t="s">
        <v>75</v>
      </c>
      <c r="F120" s="18" t="s">
        <v>125</v>
      </c>
      <c r="G120" s="28" t="s">
        <v>126</v>
      </c>
      <c r="H120" s="66">
        <f>26.6*(1000/134.193)</f>
        <v>198.22196388783317</v>
      </c>
      <c r="I120" s="72">
        <v>194.03</v>
      </c>
      <c r="J120" s="18" t="s">
        <v>78</v>
      </c>
      <c r="K120" s="18" t="s">
        <v>127</v>
      </c>
    </row>
    <row r="121" spans="1:15">
      <c r="A121" s="18" t="s">
        <v>11</v>
      </c>
      <c r="B121" s="18" t="s">
        <v>72</v>
      </c>
      <c r="C121" s="18" t="s">
        <v>73</v>
      </c>
      <c r="D121" s="18" t="s">
        <v>74</v>
      </c>
      <c r="E121" s="18" t="s">
        <v>75</v>
      </c>
      <c r="F121" s="18" t="s">
        <v>128</v>
      </c>
      <c r="G121" s="28" t="s">
        <v>129</v>
      </c>
      <c r="H121" s="66">
        <f>91.6*(1000/134.193)</f>
        <v>682.59894331298938</v>
      </c>
      <c r="I121" s="72">
        <v>83.58</v>
      </c>
      <c r="J121" s="18" t="s">
        <v>78</v>
      </c>
      <c r="K121" s="18"/>
    </row>
    <row r="122" spans="1:15">
      <c r="A122" s="18" t="s">
        <v>54</v>
      </c>
      <c r="B122" s="18" t="s">
        <v>72</v>
      </c>
      <c r="C122" s="18" t="s">
        <v>73</v>
      </c>
      <c r="D122" s="18" t="s">
        <v>74</v>
      </c>
      <c r="E122" s="18" t="s">
        <v>75</v>
      </c>
      <c r="F122" s="18" t="s">
        <v>250</v>
      </c>
      <c r="G122" s="28">
        <v>90201</v>
      </c>
      <c r="H122" s="66">
        <f>2*(1000/134.193)</f>
        <v>14.903907059235577</v>
      </c>
      <c r="I122" s="72">
        <v>0.23</v>
      </c>
      <c r="J122" s="18" t="s">
        <v>78</v>
      </c>
      <c r="K122" s="18" t="s">
        <v>251</v>
      </c>
    </row>
    <row r="123" spans="1:15">
      <c r="A123" s="18" t="s">
        <v>54</v>
      </c>
      <c r="B123" s="18" t="s">
        <v>72</v>
      </c>
      <c r="C123" s="18" t="s">
        <v>73</v>
      </c>
      <c r="D123" s="18" t="s">
        <v>74</v>
      </c>
      <c r="E123" s="18" t="s">
        <v>75</v>
      </c>
      <c r="F123" s="18" t="s">
        <v>252</v>
      </c>
      <c r="G123" s="28" t="s">
        <v>253</v>
      </c>
      <c r="H123" s="66">
        <f>116*(1000/134.193)</f>
        <v>864.42660943566341</v>
      </c>
      <c r="I123" s="72">
        <v>1.94</v>
      </c>
      <c r="J123" s="18" t="s">
        <v>78</v>
      </c>
      <c r="K123" s="18" t="s">
        <v>254</v>
      </c>
    </row>
    <row r="124" spans="1:15">
      <c r="A124" s="18" t="s">
        <v>54</v>
      </c>
      <c r="B124" s="18" t="s">
        <v>72</v>
      </c>
      <c r="C124" s="18" t="s">
        <v>73</v>
      </c>
      <c r="D124" s="18" t="s">
        <v>74</v>
      </c>
      <c r="E124" s="18" t="s">
        <v>75</v>
      </c>
      <c r="F124" s="18" t="s">
        <v>255</v>
      </c>
      <c r="G124" s="28" t="s">
        <v>256</v>
      </c>
      <c r="H124" s="66">
        <f>160*(1000/134.193)</f>
        <v>1192.312564738846</v>
      </c>
      <c r="I124" s="72">
        <v>10.08</v>
      </c>
      <c r="J124" s="18" t="s">
        <v>78</v>
      </c>
      <c r="K124" s="18" t="s">
        <v>257</v>
      </c>
    </row>
    <row r="125" spans="1:15">
      <c r="A125" s="18" t="s">
        <v>54</v>
      </c>
      <c r="B125" s="18" t="s">
        <v>72</v>
      </c>
      <c r="C125" s="18" t="s">
        <v>73</v>
      </c>
      <c r="D125" s="18" t="s">
        <v>74</v>
      </c>
      <c r="E125" s="18" t="s">
        <v>75</v>
      </c>
      <c r="F125" s="18" t="s">
        <v>258</v>
      </c>
      <c r="G125" s="28" t="s">
        <v>259</v>
      </c>
      <c r="H125" s="66">
        <f>18*(1000/134.193)</f>
        <v>134.13516353312019</v>
      </c>
      <c r="I125" s="72">
        <v>4.01</v>
      </c>
      <c r="J125" s="18" t="s">
        <v>78</v>
      </c>
      <c r="K125" s="18" t="s">
        <v>260</v>
      </c>
    </row>
    <row r="126" spans="1:15">
      <c r="A126" s="18" t="s">
        <v>54</v>
      </c>
      <c r="B126" s="18" t="s">
        <v>72</v>
      </c>
      <c r="C126" s="18" t="s">
        <v>73</v>
      </c>
      <c r="D126" s="18" t="s">
        <v>74</v>
      </c>
      <c r="E126" s="18" t="s">
        <v>75</v>
      </c>
      <c r="F126" s="18" t="s">
        <v>261</v>
      </c>
      <c r="G126" s="28" t="s">
        <v>262</v>
      </c>
      <c r="H126" s="66">
        <f>145*(1000/134.193)</f>
        <v>1080.5332617945794</v>
      </c>
      <c r="I126" s="72">
        <v>16.489999999999998</v>
      </c>
      <c r="J126" s="18" t="s">
        <v>78</v>
      </c>
      <c r="K126" s="18"/>
    </row>
    <row r="127" spans="1:15">
      <c r="A127" s="18" t="s">
        <v>54</v>
      </c>
      <c r="B127" s="18" t="s">
        <v>72</v>
      </c>
      <c r="C127" s="18" t="s">
        <v>73</v>
      </c>
      <c r="D127" s="18" t="s">
        <v>74</v>
      </c>
      <c r="E127" s="18" t="s">
        <v>75</v>
      </c>
      <c r="F127" s="18" t="s">
        <v>263</v>
      </c>
      <c r="G127" s="28" t="s">
        <v>264</v>
      </c>
      <c r="H127" s="66">
        <f>244*(1000/134.193)</f>
        <v>1818.2766612267403</v>
      </c>
      <c r="I127" s="72">
        <v>29.55</v>
      </c>
      <c r="J127" s="18" t="s">
        <v>78</v>
      </c>
      <c r="K127" s="18"/>
    </row>
    <row r="128" spans="1:15">
      <c r="A128" s="18" t="s">
        <v>54</v>
      </c>
      <c r="B128" s="18" t="s">
        <v>72</v>
      </c>
      <c r="C128" s="18" t="s">
        <v>73</v>
      </c>
      <c r="D128" s="18" t="s">
        <v>74</v>
      </c>
      <c r="E128" s="18" t="s">
        <v>75</v>
      </c>
      <c r="F128" s="18" t="s">
        <v>92</v>
      </c>
      <c r="G128" s="28" t="s">
        <v>265</v>
      </c>
      <c r="H128" s="66">
        <f>32*(1000/134.193)</f>
        <v>238.46251294776923</v>
      </c>
      <c r="I128" s="72">
        <v>45.5</v>
      </c>
      <c r="J128" s="18" t="s">
        <v>78</v>
      </c>
      <c r="K128" s="18" t="s">
        <v>266</v>
      </c>
    </row>
    <row r="129" spans="1:11">
      <c r="A129" s="18" t="s">
        <v>54</v>
      </c>
      <c r="B129" s="18" t="s">
        <v>72</v>
      </c>
      <c r="C129" s="18" t="s">
        <v>73</v>
      </c>
      <c r="D129" s="18" t="s">
        <v>74</v>
      </c>
      <c r="E129" s="18" t="s">
        <v>75</v>
      </c>
      <c r="F129" s="18" t="s">
        <v>267</v>
      </c>
      <c r="G129" s="28" t="s">
        <v>268</v>
      </c>
      <c r="H129" s="66">
        <f>0.68*(1000/134.193)</f>
        <v>5.067328400140096</v>
      </c>
      <c r="I129" s="72">
        <v>0.36</v>
      </c>
      <c r="J129" s="18" t="s">
        <v>78</v>
      </c>
      <c r="K129" s="18" t="s">
        <v>269</v>
      </c>
    </row>
    <row r="130" spans="1:11">
      <c r="A130" s="18" t="s">
        <v>54</v>
      </c>
      <c r="B130" s="18" t="s">
        <v>72</v>
      </c>
      <c r="C130" s="18" t="s">
        <v>73</v>
      </c>
      <c r="D130" s="18" t="s">
        <v>74</v>
      </c>
      <c r="E130" s="18" t="s">
        <v>75</v>
      </c>
      <c r="F130" s="18" t="s">
        <v>267</v>
      </c>
      <c r="G130" s="28" t="s">
        <v>270</v>
      </c>
      <c r="H130" s="66">
        <f>0.72*(1000/134.193)</f>
        <v>5.3654065413248073</v>
      </c>
      <c r="I130" s="72">
        <v>0.65</v>
      </c>
      <c r="J130" s="18" t="s">
        <v>78</v>
      </c>
      <c r="K130" s="18"/>
    </row>
    <row r="131" spans="1:11">
      <c r="A131" s="18" t="s">
        <v>54</v>
      </c>
      <c r="B131" s="18" t="s">
        <v>72</v>
      </c>
      <c r="C131" s="18" t="s">
        <v>73</v>
      </c>
      <c r="D131" s="18" t="s">
        <v>74</v>
      </c>
      <c r="E131" s="18" t="s">
        <v>75</v>
      </c>
      <c r="F131" s="18" t="s">
        <v>271</v>
      </c>
      <c r="G131" s="28" t="s">
        <v>272</v>
      </c>
      <c r="H131" s="66">
        <f>6.06*(1000/134.193)</f>
        <v>45.158838389483797</v>
      </c>
      <c r="I131" s="72">
        <v>0.01</v>
      </c>
      <c r="J131" s="18" t="s">
        <v>78</v>
      </c>
      <c r="K131" s="18" t="s">
        <v>273</v>
      </c>
    </row>
    <row r="132" spans="1:11">
      <c r="A132" s="18" t="s">
        <v>512</v>
      </c>
      <c r="B132" s="18" t="s">
        <v>72</v>
      </c>
      <c r="C132" s="18" t="s">
        <v>73</v>
      </c>
      <c r="D132" s="18" t="s">
        <v>74</v>
      </c>
      <c r="E132" s="18" t="s">
        <v>75</v>
      </c>
      <c r="F132" s="18" t="s">
        <v>717</v>
      </c>
      <c r="G132" s="28" t="s">
        <v>718</v>
      </c>
      <c r="H132" s="72" t="s">
        <v>695</v>
      </c>
      <c r="I132" s="72"/>
      <c r="J132" s="18" t="s">
        <v>694</v>
      </c>
      <c r="K132" s="18"/>
    </row>
    <row r="133" spans="1:11">
      <c r="A133" s="18" t="s">
        <v>512</v>
      </c>
      <c r="B133" s="18" t="s">
        <v>72</v>
      </c>
      <c r="C133" s="18" t="s">
        <v>73</v>
      </c>
      <c r="D133" s="18" t="s">
        <v>74</v>
      </c>
      <c r="E133" s="18" t="s">
        <v>75</v>
      </c>
      <c r="F133" s="18" t="s">
        <v>513</v>
      </c>
      <c r="G133" s="28" t="s">
        <v>514</v>
      </c>
      <c r="H133" s="66" t="s">
        <v>515</v>
      </c>
      <c r="I133" s="66"/>
      <c r="J133" s="18" t="s">
        <v>78</v>
      </c>
      <c r="K133" s="18"/>
    </row>
    <row r="134" spans="1:11">
      <c r="A134" s="18" t="s">
        <v>512</v>
      </c>
      <c r="B134" s="18" t="s">
        <v>72</v>
      </c>
      <c r="C134" s="18" t="s">
        <v>73</v>
      </c>
      <c r="D134" s="18" t="s">
        <v>74</v>
      </c>
      <c r="E134" s="18" t="s">
        <v>75</v>
      </c>
      <c r="F134" s="18" t="s">
        <v>115</v>
      </c>
      <c r="G134" s="28">
        <v>86183</v>
      </c>
      <c r="H134" s="66" t="s">
        <v>515</v>
      </c>
      <c r="I134" s="66"/>
      <c r="J134" s="18" t="s">
        <v>78</v>
      </c>
      <c r="K134" s="18"/>
    </row>
    <row r="135" spans="1:11">
      <c r="A135" s="18" t="s">
        <v>512</v>
      </c>
      <c r="B135" s="18" t="s">
        <v>72</v>
      </c>
      <c r="C135" s="18" t="s">
        <v>563</v>
      </c>
      <c r="D135" s="18"/>
      <c r="E135" s="18" t="s">
        <v>564</v>
      </c>
      <c r="F135" s="18" t="s">
        <v>565</v>
      </c>
      <c r="G135" s="28" t="s">
        <v>566</v>
      </c>
      <c r="H135" s="125" t="s">
        <v>515</v>
      </c>
      <c r="I135" s="72"/>
      <c r="J135" s="18" t="s">
        <v>78</v>
      </c>
      <c r="K135" s="18"/>
    </row>
    <row r="136" spans="1:11">
      <c r="A136" s="18" t="s">
        <v>54</v>
      </c>
      <c r="B136" s="18" t="s">
        <v>72</v>
      </c>
      <c r="C136" s="18" t="s">
        <v>73</v>
      </c>
      <c r="D136" s="18" t="s">
        <v>148</v>
      </c>
      <c r="E136" s="18" t="s">
        <v>426</v>
      </c>
      <c r="F136" s="18" t="s">
        <v>427</v>
      </c>
      <c r="G136" s="28" t="s">
        <v>428</v>
      </c>
      <c r="H136" s="66">
        <f>0.02*(1000/134.193)</f>
        <v>0.14903907059235577</v>
      </c>
      <c r="I136" s="72">
        <v>22.76</v>
      </c>
      <c r="J136" s="18" t="s">
        <v>78</v>
      </c>
      <c r="K136" s="18" t="s">
        <v>429</v>
      </c>
    </row>
    <row r="137" spans="1:11">
      <c r="A137" s="18" t="s">
        <v>54</v>
      </c>
      <c r="B137" s="18" t="s">
        <v>72</v>
      </c>
      <c r="C137" s="18" t="s">
        <v>176</v>
      </c>
      <c r="D137" s="18" t="s">
        <v>353</v>
      </c>
      <c r="E137" s="18" t="s">
        <v>371</v>
      </c>
      <c r="F137" s="18" t="s">
        <v>372</v>
      </c>
      <c r="G137" s="28"/>
      <c r="H137" s="72">
        <f>37.8*1000</f>
        <v>37800</v>
      </c>
      <c r="I137" s="72" t="s">
        <v>374</v>
      </c>
      <c r="J137" s="18" t="s">
        <v>84</v>
      </c>
      <c r="K137" s="18" t="s">
        <v>373</v>
      </c>
    </row>
    <row r="138" spans="1:11">
      <c r="A138" s="18" t="s">
        <v>54</v>
      </c>
      <c r="B138" s="18" t="s">
        <v>72</v>
      </c>
      <c r="C138" s="18" t="s">
        <v>73</v>
      </c>
      <c r="D138" s="18"/>
      <c r="E138" s="18" t="s">
        <v>434</v>
      </c>
      <c r="F138" s="18" t="s">
        <v>435</v>
      </c>
      <c r="G138" s="28" t="s">
        <v>397</v>
      </c>
      <c r="H138" s="72">
        <v>0.6</v>
      </c>
      <c r="I138" s="72"/>
      <c r="J138" s="18" t="s">
        <v>181</v>
      </c>
      <c r="K138" s="18"/>
    </row>
    <row r="139" spans="1:11" ht="18">
      <c r="A139" s="18" t="s">
        <v>54</v>
      </c>
      <c r="B139" s="18" t="s">
        <v>72</v>
      </c>
      <c r="C139" s="18" t="s">
        <v>73</v>
      </c>
      <c r="D139" s="18" t="s">
        <v>148</v>
      </c>
      <c r="E139" s="18" t="s">
        <v>430</v>
      </c>
      <c r="F139" s="18" t="s">
        <v>727</v>
      </c>
      <c r="G139" s="28" t="s">
        <v>728</v>
      </c>
      <c r="H139" s="72">
        <v>0.7</v>
      </c>
      <c r="I139" s="72">
        <v>29.9</v>
      </c>
      <c r="J139" s="18" t="s">
        <v>78</v>
      </c>
      <c r="K139" s="18"/>
    </row>
    <row r="140" spans="1:11">
      <c r="A140" s="18" t="s">
        <v>54</v>
      </c>
      <c r="B140" s="18" t="s">
        <v>72</v>
      </c>
      <c r="C140" s="18" t="s">
        <v>73</v>
      </c>
      <c r="D140" s="18" t="s">
        <v>148</v>
      </c>
      <c r="E140" s="18" t="s">
        <v>430</v>
      </c>
      <c r="F140" s="18" t="s">
        <v>431</v>
      </c>
      <c r="G140" s="28" t="s">
        <v>432</v>
      </c>
      <c r="H140" s="119">
        <f>(AVERAGE(4.6,9.3))/134.193</f>
        <v>5.1791077030843631E-2</v>
      </c>
      <c r="I140" s="72">
        <f>AVERAGE(15.4,31.4)</f>
        <v>23.4</v>
      </c>
      <c r="J140" s="18" t="s">
        <v>142</v>
      </c>
      <c r="K140" s="18" t="s">
        <v>433</v>
      </c>
    </row>
    <row r="141" spans="1:11">
      <c r="A141" s="18" t="s">
        <v>512</v>
      </c>
      <c r="B141" s="18" t="s">
        <v>72</v>
      </c>
      <c r="C141" s="18" t="s">
        <v>73</v>
      </c>
      <c r="D141" s="18" t="s">
        <v>148</v>
      </c>
      <c r="E141" s="18" t="s">
        <v>430</v>
      </c>
      <c r="F141" s="18" t="s">
        <v>719</v>
      </c>
      <c r="G141" s="28"/>
      <c r="H141" s="72" t="s">
        <v>695</v>
      </c>
      <c r="I141" s="72"/>
      <c r="J141" s="18" t="s">
        <v>694</v>
      </c>
      <c r="K141" s="18"/>
    </row>
    <row r="142" spans="1:11">
      <c r="A142" s="18" t="s">
        <v>11</v>
      </c>
      <c r="B142" s="18" t="s">
        <v>72</v>
      </c>
      <c r="C142" s="18" t="s">
        <v>130</v>
      </c>
      <c r="D142" s="18" t="s">
        <v>131</v>
      </c>
      <c r="E142" s="18" t="s">
        <v>132</v>
      </c>
      <c r="F142" s="18" t="s">
        <v>133</v>
      </c>
      <c r="G142" s="28" t="s">
        <v>134</v>
      </c>
      <c r="H142" s="66">
        <f>1.473*(1000/134.193)</f>
        <v>10.976727549127002</v>
      </c>
      <c r="I142" s="72"/>
      <c r="J142" s="18" t="s">
        <v>80</v>
      </c>
      <c r="K142" s="18"/>
    </row>
    <row r="143" spans="1:11">
      <c r="A143" s="18" t="s">
        <v>54</v>
      </c>
      <c r="B143" s="18" t="s">
        <v>72</v>
      </c>
      <c r="C143" s="18" t="s">
        <v>130</v>
      </c>
      <c r="D143" s="18" t="s">
        <v>131</v>
      </c>
      <c r="E143" s="18" t="s">
        <v>132</v>
      </c>
      <c r="F143" s="18" t="s">
        <v>136</v>
      </c>
      <c r="G143" s="28" t="s">
        <v>287</v>
      </c>
      <c r="H143" s="66">
        <f>0.051*(1000/134.193)</f>
        <v>0.38004963001050718</v>
      </c>
      <c r="I143" s="238"/>
      <c r="J143" s="18" t="s">
        <v>80</v>
      </c>
      <c r="K143" s="18"/>
    </row>
    <row r="144" spans="1:11">
      <c r="A144" s="18" t="s">
        <v>11</v>
      </c>
      <c r="B144" s="18" t="s">
        <v>72</v>
      </c>
      <c r="C144" s="18" t="s">
        <v>130</v>
      </c>
      <c r="D144" s="18" t="s">
        <v>131</v>
      </c>
      <c r="E144" s="18" t="s">
        <v>135</v>
      </c>
      <c r="F144" s="18" t="s">
        <v>136</v>
      </c>
      <c r="G144" s="28" t="s">
        <v>137</v>
      </c>
      <c r="H144" s="66">
        <f>0.03*(1000/134.193)</f>
        <v>0.22355860588853363</v>
      </c>
      <c r="I144" s="72">
        <v>161.94</v>
      </c>
      <c r="J144" s="18" t="s">
        <v>78</v>
      </c>
      <c r="K144" s="18" t="s">
        <v>138</v>
      </c>
    </row>
    <row r="145" spans="1:11" ht="18">
      <c r="A145" s="18" t="s">
        <v>11</v>
      </c>
      <c r="B145" s="18" t="s">
        <v>72</v>
      </c>
      <c r="C145" s="18" t="s">
        <v>130</v>
      </c>
      <c r="D145" s="18" t="s">
        <v>131</v>
      </c>
      <c r="E145" s="18" t="s">
        <v>135</v>
      </c>
      <c r="F145" s="18" t="s">
        <v>136</v>
      </c>
      <c r="G145" s="28" t="s">
        <v>607</v>
      </c>
      <c r="H145" s="66">
        <f>0.02*(1000/134.193)</f>
        <v>0.14903907059235577</v>
      </c>
      <c r="I145" s="72">
        <v>287.31</v>
      </c>
      <c r="J145" s="18" t="s">
        <v>78</v>
      </c>
      <c r="K145" s="18"/>
    </row>
    <row r="146" spans="1:11">
      <c r="A146" s="18" t="s">
        <v>11</v>
      </c>
      <c r="B146" s="18" t="s">
        <v>72</v>
      </c>
      <c r="C146" s="18" t="s">
        <v>130</v>
      </c>
      <c r="D146" s="18" t="s">
        <v>131</v>
      </c>
      <c r="E146" s="18" t="s">
        <v>135</v>
      </c>
      <c r="F146" s="18" t="s">
        <v>139</v>
      </c>
      <c r="G146" s="28" t="s">
        <v>140</v>
      </c>
      <c r="H146" s="119">
        <f>32/134.193</f>
        <v>0.23846251294776924</v>
      </c>
      <c r="I146" s="72">
        <v>57</v>
      </c>
      <c r="J146" s="18" t="s">
        <v>142</v>
      </c>
      <c r="K146" s="18" t="s">
        <v>141</v>
      </c>
    </row>
    <row r="147" spans="1:11">
      <c r="A147" s="18" t="s">
        <v>11</v>
      </c>
      <c r="B147" s="18" t="s">
        <v>72</v>
      </c>
      <c r="C147" s="18" t="s">
        <v>130</v>
      </c>
      <c r="D147" s="18" t="s">
        <v>131</v>
      </c>
      <c r="E147" s="18" t="s">
        <v>135</v>
      </c>
      <c r="F147" s="18" t="s">
        <v>143</v>
      </c>
      <c r="G147" s="28" t="s">
        <v>144</v>
      </c>
      <c r="H147" s="119">
        <f>19.9/134.193</f>
        <v>0.148293875239394</v>
      </c>
      <c r="I147" s="72">
        <v>58</v>
      </c>
      <c r="J147" s="18" t="s">
        <v>142</v>
      </c>
      <c r="K147" s="18"/>
    </row>
    <row r="148" spans="1:11" ht="18">
      <c r="A148" s="18" t="s">
        <v>11</v>
      </c>
      <c r="B148" s="18" t="s">
        <v>72</v>
      </c>
      <c r="C148" s="18" t="s">
        <v>130</v>
      </c>
      <c r="D148" s="18" t="s">
        <v>131</v>
      </c>
      <c r="E148" s="18" t="s">
        <v>135</v>
      </c>
      <c r="F148" s="18" t="s">
        <v>145</v>
      </c>
      <c r="G148" s="28" t="s">
        <v>608</v>
      </c>
      <c r="H148" s="66">
        <f>1.38*(1000/134.193)</f>
        <v>10.283695870872547</v>
      </c>
      <c r="I148" s="72">
        <v>156.72</v>
      </c>
      <c r="J148" s="18" t="s">
        <v>78</v>
      </c>
      <c r="K148" s="18"/>
    </row>
    <row r="149" spans="1:11" ht="18">
      <c r="A149" s="18" t="s">
        <v>11</v>
      </c>
      <c r="B149" s="18" t="s">
        <v>72</v>
      </c>
      <c r="C149" s="18" t="s">
        <v>130</v>
      </c>
      <c r="D149" s="18" t="s">
        <v>131</v>
      </c>
      <c r="E149" s="18" t="s">
        <v>135</v>
      </c>
      <c r="F149" s="18" t="s">
        <v>145</v>
      </c>
      <c r="G149" s="28" t="s">
        <v>609</v>
      </c>
      <c r="H149" s="66">
        <f>1.92*(1000/134.193)</f>
        <v>14.307750776866152</v>
      </c>
      <c r="I149" s="72">
        <v>126.87</v>
      </c>
      <c r="J149" s="18" t="s">
        <v>78</v>
      </c>
      <c r="K149" s="18"/>
    </row>
    <row r="150" spans="1:11">
      <c r="A150" s="18" t="s">
        <v>11</v>
      </c>
      <c r="B150" s="18" t="s">
        <v>72</v>
      </c>
      <c r="C150" s="18" t="s">
        <v>130</v>
      </c>
      <c r="D150" s="18" t="s">
        <v>131</v>
      </c>
      <c r="E150" s="18" t="s">
        <v>135</v>
      </c>
      <c r="F150" s="18" t="s">
        <v>146</v>
      </c>
      <c r="G150" s="28" t="s">
        <v>147</v>
      </c>
      <c r="H150" s="66">
        <f>0.03*(1000/134.193)</f>
        <v>0.22355860588853363</v>
      </c>
      <c r="I150" s="72">
        <v>484.33</v>
      </c>
      <c r="J150" s="18" t="s">
        <v>78</v>
      </c>
      <c r="K150" s="18"/>
    </row>
    <row r="151" spans="1:11">
      <c r="A151" s="18" t="s">
        <v>54</v>
      </c>
      <c r="B151" s="18" t="s">
        <v>72</v>
      </c>
      <c r="C151" s="18" t="s">
        <v>130</v>
      </c>
      <c r="D151" s="18" t="s">
        <v>131</v>
      </c>
      <c r="E151" s="18" t="s">
        <v>135</v>
      </c>
      <c r="F151" s="18" t="s">
        <v>288</v>
      </c>
      <c r="G151" s="28" t="s">
        <v>289</v>
      </c>
      <c r="H151" s="119">
        <f>4.5/134.193</f>
        <v>3.3533790883280047E-2</v>
      </c>
      <c r="I151" s="72">
        <v>35.6</v>
      </c>
      <c r="J151" s="18" t="s">
        <v>142</v>
      </c>
      <c r="K151" s="18" t="s">
        <v>290</v>
      </c>
    </row>
    <row r="152" spans="1:11">
      <c r="A152" s="18" t="s">
        <v>54</v>
      </c>
      <c r="B152" s="18" t="s">
        <v>72</v>
      </c>
      <c r="C152" s="18" t="s">
        <v>130</v>
      </c>
      <c r="D152" s="18" t="s">
        <v>131</v>
      </c>
      <c r="E152" s="18" t="s">
        <v>135</v>
      </c>
      <c r="F152" s="18" t="s">
        <v>291</v>
      </c>
      <c r="G152" s="28" t="s">
        <v>292</v>
      </c>
      <c r="H152" s="66">
        <f>0.13*(1000/134.193)</f>
        <v>0.96875395885031257</v>
      </c>
      <c r="I152" s="72">
        <v>29.18</v>
      </c>
      <c r="J152" s="18" t="s">
        <v>78</v>
      </c>
      <c r="K152" s="18" t="s">
        <v>293</v>
      </c>
    </row>
    <row r="153" spans="1:11">
      <c r="A153" s="18" t="s">
        <v>54</v>
      </c>
      <c r="B153" s="18" t="s">
        <v>72</v>
      </c>
      <c r="C153" s="18" t="s">
        <v>130</v>
      </c>
      <c r="D153" s="18" t="s">
        <v>131</v>
      </c>
      <c r="E153" s="18" t="s">
        <v>135</v>
      </c>
      <c r="F153" s="18" t="s">
        <v>136</v>
      </c>
      <c r="G153" s="28" t="s">
        <v>294</v>
      </c>
      <c r="H153" s="119">
        <f>2.1/134.193</f>
        <v>1.5649102412197358E-2</v>
      </c>
      <c r="I153" s="72">
        <v>17.899999999999999</v>
      </c>
      <c r="J153" s="18" t="s">
        <v>142</v>
      </c>
      <c r="K153" s="18"/>
    </row>
    <row r="154" spans="1:11">
      <c r="A154" s="18" t="s">
        <v>54</v>
      </c>
      <c r="B154" s="18" t="s">
        <v>72</v>
      </c>
      <c r="C154" s="18" t="s">
        <v>130</v>
      </c>
      <c r="D154" s="18" t="s">
        <v>131</v>
      </c>
      <c r="E154" s="18" t="s">
        <v>135</v>
      </c>
      <c r="F154" s="18" t="s">
        <v>295</v>
      </c>
      <c r="G154" s="28" t="s">
        <v>296</v>
      </c>
      <c r="H154" s="66">
        <f>1.08*(1000/134.193)</f>
        <v>8.0481098119872119</v>
      </c>
      <c r="I154" s="72">
        <v>36.57</v>
      </c>
      <c r="J154" s="18" t="s">
        <v>78</v>
      </c>
      <c r="K154" s="18" t="s">
        <v>297</v>
      </c>
    </row>
    <row r="155" spans="1:11" ht="18">
      <c r="A155" s="18" t="s">
        <v>54</v>
      </c>
      <c r="B155" s="18" t="s">
        <v>72</v>
      </c>
      <c r="C155" s="18" t="s">
        <v>130</v>
      </c>
      <c r="D155" s="18" t="s">
        <v>131</v>
      </c>
      <c r="E155" s="18" t="s">
        <v>135</v>
      </c>
      <c r="F155" s="18" t="s">
        <v>298</v>
      </c>
      <c r="G155" s="28" t="s">
        <v>620</v>
      </c>
      <c r="H155" s="66">
        <f>0.02*(1000/134.193)</f>
        <v>0.14903907059235577</v>
      </c>
      <c r="I155" s="238">
        <v>5.65</v>
      </c>
      <c r="J155" s="18" t="s">
        <v>78</v>
      </c>
      <c r="K155" s="18" t="s">
        <v>299</v>
      </c>
    </row>
    <row r="156" spans="1:11">
      <c r="A156" s="18" t="s">
        <v>54</v>
      </c>
      <c r="B156" s="18" t="s">
        <v>72</v>
      </c>
      <c r="C156" s="18" t="s">
        <v>130</v>
      </c>
      <c r="D156" s="18" t="s">
        <v>131</v>
      </c>
      <c r="E156" s="18" t="s">
        <v>135</v>
      </c>
      <c r="F156" s="18" t="s">
        <v>300</v>
      </c>
      <c r="G156" s="28" t="s">
        <v>301</v>
      </c>
      <c r="H156" s="66">
        <f>0.02*(1000/134.193)</f>
        <v>0.14903907059235577</v>
      </c>
      <c r="I156" s="72">
        <v>0.53</v>
      </c>
      <c r="J156" s="18" t="s">
        <v>78</v>
      </c>
      <c r="K156" s="18" t="s">
        <v>302</v>
      </c>
    </row>
    <row r="157" spans="1:11">
      <c r="A157" s="18" t="s">
        <v>54</v>
      </c>
      <c r="B157" s="18" t="s">
        <v>72</v>
      </c>
      <c r="C157" s="18" t="s">
        <v>130</v>
      </c>
      <c r="D157" s="18" t="s">
        <v>131</v>
      </c>
      <c r="E157" s="18" t="s">
        <v>135</v>
      </c>
      <c r="F157" s="18" t="s">
        <v>133</v>
      </c>
      <c r="G157" s="28" t="s">
        <v>303</v>
      </c>
      <c r="H157" s="66">
        <f>1.62*(1000/134.193)</f>
        <v>12.072164717980819</v>
      </c>
      <c r="I157" s="72">
        <v>32.76</v>
      </c>
      <c r="J157" s="18" t="s">
        <v>78</v>
      </c>
      <c r="K157" s="18" t="s">
        <v>304</v>
      </c>
    </row>
    <row r="158" spans="1:11">
      <c r="A158" s="18" t="s">
        <v>54</v>
      </c>
      <c r="B158" s="18" t="s">
        <v>72</v>
      </c>
      <c r="C158" s="18" t="s">
        <v>130</v>
      </c>
      <c r="D158" s="18" t="s">
        <v>131</v>
      </c>
      <c r="E158" s="18" t="s">
        <v>135</v>
      </c>
      <c r="F158" s="18" t="s">
        <v>305</v>
      </c>
      <c r="G158" s="28" t="s">
        <v>306</v>
      </c>
      <c r="H158" s="66">
        <f>1.09*(1000/134.193)</f>
        <v>8.1226293472833895</v>
      </c>
      <c r="I158" s="72">
        <v>45.45</v>
      </c>
      <c r="J158" s="18" t="s">
        <v>78</v>
      </c>
      <c r="K158" s="18"/>
    </row>
    <row r="159" spans="1:11">
      <c r="A159" s="18" t="s">
        <v>54</v>
      </c>
      <c r="B159" s="18" t="s">
        <v>72</v>
      </c>
      <c r="C159" s="18" t="s">
        <v>130</v>
      </c>
      <c r="D159" s="18" t="s">
        <v>131</v>
      </c>
      <c r="E159" s="18" t="s">
        <v>135</v>
      </c>
      <c r="F159" s="18" t="s">
        <v>145</v>
      </c>
      <c r="G159" s="28" t="s">
        <v>307</v>
      </c>
      <c r="H159" s="66">
        <f>0.09*(1000/134.193)</f>
        <v>0.67067581766560092</v>
      </c>
      <c r="I159" s="72">
        <v>47.69</v>
      </c>
      <c r="J159" s="18" t="s">
        <v>78</v>
      </c>
      <c r="K159" s="18"/>
    </row>
    <row r="160" spans="1:11">
      <c r="A160" s="18" t="s">
        <v>512</v>
      </c>
      <c r="B160" s="18" t="s">
        <v>72</v>
      </c>
      <c r="C160" s="18" t="s">
        <v>130</v>
      </c>
      <c r="D160" s="18" t="s">
        <v>131</v>
      </c>
      <c r="E160" s="18" t="s">
        <v>135</v>
      </c>
      <c r="F160" s="18" t="s">
        <v>526</v>
      </c>
      <c r="G160" s="28" t="s">
        <v>527</v>
      </c>
      <c r="H160" s="66" t="s">
        <v>515</v>
      </c>
      <c r="I160" s="66"/>
      <c r="J160" s="18" t="s">
        <v>78</v>
      </c>
      <c r="K160" s="18"/>
    </row>
    <row r="161" spans="1:21">
      <c r="A161" s="18" t="s">
        <v>512</v>
      </c>
      <c r="B161" s="18" t="s">
        <v>72</v>
      </c>
      <c r="C161" s="18" t="s">
        <v>130</v>
      </c>
      <c r="D161" s="18" t="s">
        <v>131</v>
      </c>
      <c r="E161" s="18" t="s">
        <v>135</v>
      </c>
      <c r="F161" s="18" t="s">
        <v>239</v>
      </c>
      <c r="G161" s="28" t="s">
        <v>528</v>
      </c>
      <c r="H161" s="66" t="s">
        <v>515</v>
      </c>
      <c r="I161" s="66"/>
      <c r="J161" s="18" t="s">
        <v>142</v>
      </c>
      <c r="K161" s="18"/>
    </row>
    <row r="162" spans="1:21">
      <c r="A162" s="18" t="s">
        <v>11</v>
      </c>
      <c r="B162" s="18" t="s">
        <v>72</v>
      </c>
      <c r="C162" s="18" t="s">
        <v>73</v>
      </c>
      <c r="D162" s="18"/>
      <c r="E162" s="18" t="s">
        <v>182</v>
      </c>
      <c r="F162" s="18" t="s">
        <v>9</v>
      </c>
      <c r="G162" s="28" t="s">
        <v>183</v>
      </c>
      <c r="H162" s="66">
        <v>96.732089086384505</v>
      </c>
      <c r="I162" s="72">
        <v>412</v>
      </c>
      <c r="J162" s="18" t="s">
        <v>8</v>
      </c>
      <c r="K162" s="18" t="s">
        <v>184</v>
      </c>
    </row>
    <row r="163" spans="1:21">
      <c r="A163" s="18" t="s">
        <v>11</v>
      </c>
      <c r="B163" s="18" t="s">
        <v>72</v>
      </c>
      <c r="C163" s="18" t="s">
        <v>73</v>
      </c>
      <c r="D163" s="18"/>
      <c r="E163" s="18" t="s">
        <v>182</v>
      </c>
      <c r="F163" s="18" t="s">
        <v>185</v>
      </c>
      <c r="G163" s="28" t="s">
        <v>10</v>
      </c>
      <c r="H163" s="66">
        <v>32.244029695461101</v>
      </c>
      <c r="I163" s="72">
        <v>187</v>
      </c>
      <c r="J163" s="18" t="s">
        <v>8</v>
      </c>
      <c r="K163" s="18"/>
    </row>
    <row r="164" spans="1:21">
      <c r="A164" s="18" t="s">
        <v>11</v>
      </c>
      <c r="B164" s="18" t="s">
        <v>72</v>
      </c>
      <c r="C164" s="18" t="s">
        <v>73</v>
      </c>
      <c r="D164" s="18"/>
      <c r="E164" s="18" t="s">
        <v>182</v>
      </c>
      <c r="F164" s="18" t="s">
        <v>186</v>
      </c>
      <c r="G164" s="28" t="s">
        <v>187</v>
      </c>
      <c r="H164" s="66">
        <v>483.66044543192402</v>
      </c>
      <c r="I164" s="72">
        <v>596</v>
      </c>
      <c r="J164" s="18" t="s">
        <v>8</v>
      </c>
      <c r="K164" s="18"/>
    </row>
    <row r="165" spans="1:21" s="189" customFormat="1">
      <c r="A165" s="18" t="s">
        <v>11</v>
      </c>
      <c r="B165" s="18" t="s">
        <v>72</v>
      </c>
      <c r="C165" s="18" t="s">
        <v>73</v>
      </c>
      <c r="D165" s="18"/>
      <c r="E165" s="18" t="s">
        <v>182</v>
      </c>
      <c r="F165" s="18" t="s">
        <v>188</v>
      </c>
      <c r="G165" s="28" t="s">
        <v>189</v>
      </c>
      <c r="H165" s="66">
        <f>3.81*(1000/134.193)</f>
        <v>28.391942947843773</v>
      </c>
      <c r="I165" s="72">
        <v>251.49</v>
      </c>
      <c r="J165" s="18" t="s">
        <v>78</v>
      </c>
      <c r="K165" s="18"/>
      <c r="M165" s="1"/>
      <c r="N165" s="1"/>
      <c r="O165" s="1"/>
      <c r="P165" s="1"/>
      <c r="Q165" s="1"/>
      <c r="R165" s="1"/>
      <c r="S165" s="1"/>
      <c r="T165" s="1"/>
      <c r="U165" s="1"/>
    </row>
    <row r="166" spans="1:21" s="189" customFormat="1">
      <c r="A166" s="18" t="s">
        <v>11</v>
      </c>
      <c r="B166" s="18" t="s">
        <v>72</v>
      </c>
      <c r="C166" s="18" t="s">
        <v>73</v>
      </c>
      <c r="D166" s="18"/>
      <c r="E166" s="18" t="s">
        <v>182</v>
      </c>
      <c r="F166" s="18" t="s">
        <v>190</v>
      </c>
      <c r="G166" s="28" t="s">
        <v>191</v>
      </c>
      <c r="H166" s="66">
        <f>3.62*(1000/134.193)</f>
        <v>26.976071777216394</v>
      </c>
      <c r="I166" s="72">
        <v>412.69</v>
      </c>
      <c r="J166" s="18" t="s">
        <v>78</v>
      </c>
      <c r="K166" s="18" t="s">
        <v>192</v>
      </c>
      <c r="M166" s="1"/>
      <c r="N166" s="1"/>
      <c r="O166" s="1"/>
      <c r="P166" s="1"/>
      <c r="Q166" s="1"/>
      <c r="R166" s="1"/>
      <c r="S166" s="1"/>
      <c r="T166" s="1"/>
      <c r="U166" s="1"/>
    </row>
    <row r="167" spans="1:21" s="189" customFormat="1">
      <c r="A167" s="18" t="s">
        <v>11</v>
      </c>
      <c r="B167" s="18" t="s">
        <v>72</v>
      </c>
      <c r="C167" s="18" t="s">
        <v>73</v>
      </c>
      <c r="D167" s="18"/>
      <c r="E167" s="18" t="s">
        <v>182</v>
      </c>
      <c r="F167" s="18" t="s">
        <v>193</v>
      </c>
      <c r="G167" s="28" t="s">
        <v>194</v>
      </c>
      <c r="H167" s="66">
        <f>1.299*(1000/134.193)</f>
        <v>9.680087634973507</v>
      </c>
      <c r="I167" s="72"/>
      <c r="J167" s="18" t="s">
        <v>80</v>
      </c>
      <c r="K167" s="18"/>
      <c r="M167" s="1"/>
      <c r="N167" s="1"/>
      <c r="O167" s="1"/>
      <c r="P167" s="1"/>
      <c r="Q167" s="1"/>
      <c r="R167" s="1"/>
      <c r="S167" s="1"/>
      <c r="T167" s="1"/>
      <c r="U167" s="1"/>
    </row>
    <row r="168" spans="1:21" s="189" customFormat="1">
      <c r="A168" s="18" t="s">
        <v>11</v>
      </c>
      <c r="B168" s="18" t="s">
        <v>72</v>
      </c>
      <c r="C168" s="18" t="s">
        <v>73</v>
      </c>
      <c r="D168" s="18"/>
      <c r="E168" s="18" t="s">
        <v>182</v>
      </c>
      <c r="F168" s="18" t="s">
        <v>14</v>
      </c>
      <c r="G168" s="28" t="s">
        <v>15</v>
      </c>
      <c r="H168" s="66">
        <v>713.66785725954901</v>
      </c>
      <c r="I168" s="72">
        <v>541</v>
      </c>
      <c r="J168" s="18" t="s">
        <v>8</v>
      </c>
      <c r="K168" s="18"/>
      <c r="M168" s="1"/>
      <c r="N168" s="1"/>
      <c r="O168" s="1"/>
      <c r="P168" s="1"/>
      <c r="Q168" s="1"/>
      <c r="R168" s="1"/>
      <c r="S168" s="1"/>
      <c r="T168" s="1"/>
      <c r="U168" s="1"/>
    </row>
    <row r="169" spans="1:21" s="189" customFormat="1">
      <c r="A169" s="18" t="s">
        <v>11</v>
      </c>
      <c r="B169" s="18" t="s">
        <v>72</v>
      </c>
      <c r="C169" s="18" t="s">
        <v>73</v>
      </c>
      <c r="D169" s="18"/>
      <c r="E169" s="18" t="s">
        <v>182</v>
      </c>
      <c r="F169" s="18" t="s">
        <v>195</v>
      </c>
      <c r="G169" s="28" t="s">
        <v>196</v>
      </c>
      <c r="H169" s="66">
        <f>2.53*(1000/134.193)</f>
        <v>18.853442429933004</v>
      </c>
      <c r="I169" s="72">
        <v>85.08</v>
      </c>
      <c r="J169" s="18" t="s">
        <v>78</v>
      </c>
      <c r="K169" s="18" t="s">
        <v>197</v>
      </c>
      <c r="M169" s="1"/>
      <c r="N169" s="1"/>
      <c r="O169" s="1"/>
      <c r="P169" s="1"/>
      <c r="Q169" s="1"/>
      <c r="R169" s="1"/>
      <c r="S169" s="1"/>
      <c r="T169" s="1"/>
      <c r="U169" s="1"/>
    </row>
    <row r="170" spans="1:21" s="189" customFormat="1">
      <c r="A170" s="18" t="s">
        <v>11</v>
      </c>
      <c r="B170" s="18" t="s">
        <v>72</v>
      </c>
      <c r="C170" s="18" t="s">
        <v>73</v>
      </c>
      <c r="D170" s="18"/>
      <c r="E170" s="18" t="s">
        <v>182</v>
      </c>
      <c r="F170" s="18" t="s">
        <v>195</v>
      </c>
      <c r="G170" s="28" t="s">
        <v>198</v>
      </c>
      <c r="H170" s="66">
        <f>7.474*(1000/134.193)</f>
        <v>55.695900680363351</v>
      </c>
      <c r="I170" s="238"/>
      <c r="J170" s="18" t="s">
        <v>80</v>
      </c>
      <c r="K170" s="18"/>
      <c r="M170" s="1"/>
      <c r="N170" s="1"/>
      <c r="O170" s="1"/>
      <c r="P170" s="1"/>
      <c r="Q170" s="1"/>
      <c r="R170" s="1"/>
      <c r="S170" s="1"/>
      <c r="T170" s="1"/>
      <c r="U170" s="1"/>
    </row>
    <row r="171" spans="1:21" s="246" customFormat="1">
      <c r="A171" s="242" t="s">
        <v>11</v>
      </c>
      <c r="B171" s="242" t="s">
        <v>72</v>
      </c>
      <c r="C171" s="242" t="s">
        <v>73</v>
      </c>
      <c r="D171" s="242"/>
      <c r="E171" s="242" t="s">
        <v>182</v>
      </c>
      <c r="F171" s="242" t="s">
        <v>23</v>
      </c>
      <c r="G171" s="243" t="s">
        <v>201</v>
      </c>
      <c r="H171" s="244">
        <v>2.14960197969712</v>
      </c>
      <c r="I171" s="245">
        <v>295</v>
      </c>
      <c r="J171" s="242" t="s">
        <v>8</v>
      </c>
      <c r="K171" s="242"/>
      <c r="M171" s="249"/>
    </row>
    <row r="172" spans="1:21" s="246" customFormat="1">
      <c r="A172" s="242" t="s">
        <v>11</v>
      </c>
      <c r="B172" s="242" t="s">
        <v>72</v>
      </c>
      <c r="C172" s="242" t="s">
        <v>73</v>
      </c>
      <c r="D172" s="242"/>
      <c r="E172" s="242" t="s">
        <v>182</v>
      </c>
      <c r="F172" s="242" t="s">
        <v>23</v>
      </c>
      <c r="G172" s="243" t="s">
        <v>199</v>
      </c>
      <c r="H172" s="244">
        <f>0.75*(1000/134.193)</f>
        <v>5.588965147213341</v>
      </c>
      <c r="I172" s="245">
        <v>166.42</v>
      </c>
      <c r="J172" s="242" t="s">
        <v>78</v>
      </c>
      <c r="K172" s="242" t="s">
        <v>200</v>
      </c>
    </row>
    <row r="173" spans="1:21" s="246" customFormat="1">
      <c r="A173" s="242" t="s">
        <v>11</v>
      </c>
      <c r="B173" s="242" t="s">
        <v>72</v>
      </c>
      <c r="C173" s="242" t="s">
        <v>73</v>
      </c>
      <c r="D173" s="242"/>
      <c r="E173" s="242" t="s">
        <v>182</v>
      </c>
      <c r="F173" s="242" t="s">
        <v>23</v>
      </c>
      <c r="G173" s="243" t="s">
        <v>202</v>
      </c>
      <c r="H173" s="244">
        <f>0.792*(1000/134.193)</f>
        <v>5.9019471954572884</v>
      </c>
      <c r="I173" s="245"/>
      <c r="J173" s="242" t="s">
        <v>80</v>
      </c>
      <c r="K173" s="242"/>
    </row>
    <row r="174" spans="1:21" s="246" customFormat="1">
      <c r="A174" s="242" t="s">
        <v>11</v>
      </c>
      <c r="B174" s="242" t="s">
        <v>72</v>
      </c>
      <c r="C174" s="242" t="s">
        <v>73</v>
      </c>
      <c r="D174" s="242"/>
      <c r="E174" s="242" t="s">
        <v>182</v>
      </c>
      <c r="F174" s="242" t="s">
        <v>23</v>
      </c>
      <c r="G174" s="243" t="s">
        <v>203</v>
      </c>
      <c r="H174" s="244">
        <f>1.13*(1000/134.193)</f>
        <v>8.4207074884680999</v>
      </c>
      <c r="I174" s="245"/>
      <c r="J174" s="242" t="s">
        <v>80</v>
      </c>
      <c r="K174" s="242"/>
    </row>
    <row r="175" spans="1:21" s="246" customFormat="1">
      <c r="A175" s="242" t="s">
        <v>11</v>
      </c>
      <c r="B175" s="242" t="s">
        <v>72</v>
      </c>
      <c r="C175" s="242" t="s">
        <v>73</v>
      </c>
      <c r="D175" s="242"/>
      <c r="E175" s="242" t="s">
        <v>182</v>
      </c>
      <c r="F175" s="242" t="s">
        <v>23</v>
      </c>
      <c r="G175" s="243" t="s">
        <v>752</v>
      </c>
      <c r="H175" s="244"/>
      <c r="I175" s="245"/>
      <c r="J175" s="242" t="s">
        <v>741</v>
      </c>
      <c r="K175" s="242"/>
      <c r="L175" s="246">
        <v>4.4400000000000004</v>
      </c>
      <c r="M175" s="246">
        <v>5.0000000000000001E-4</v>
      </c>
      <c r="N175" s="246">
        <v>0.11</v>
      </c>
    </row>
    <row r="176" spans="1:21" s="246" customFormat="1">
      <c r="A176" s="242" t="s">
        <v>11</v>
      </c>
      <c r="B176" s="242" t="s">
        <v>72</v>
      </c>
      <c r="C176" s="242" t="s">
        <v>73</v>
      </c>
      <c r="D176" s="242"/>
      <c r="E176" s="242" t="s">
        <v>182</v>
      </c>
      <c r="F176" s="242" t="s">
        <v>23</v>
      </c>
      <c r="G176" s="243" t="s">
        <v>753</v>
      </c>
      <c r="H176" s="244"/>
      <c r="I176" s="245"/>
      <c r="J176" s="242" t="s">
        <v>741</v>
      </c>
      <c r="K176" s="242"/>
      <c r="L176" s="246">
        <v>4.83</v>
      </c>
      <c r="M176" s="246">
        <v>1.2999999999999999E-3</v>
      </c>
      <c r="N176" s="246">
        <v>0.17599999999999999</v>
      </c>
    </row>
    <row r="177" spans="1:21" s="189" customFormat="1">
      <c r="A177" s="18" t="s">
        <v>11</v>
      </c>
      <c r="B177" s="18" t="s">
        <v>72</v>
      </c>
      <c r="C177" s="18" t="s">
        <v>73</v>
      </c>
      <c r="D177" s="18"/>
      <c r="E177" s="18" t="s">
        <v>182</v>
      </c>
      <c r="F177" s="18" t="s">
        <v>16</v>
      </c>
      <c r="G177" s="28" t="s">
        <v>204</v>
      </c>
      <c r="H177" s="66">
        <v>10.7480098984867</v>
      </c>
      <c r="I177" s="72">
        <v>174</v>
      </c>
      <c r="J177" s="18" t="s">
        <v>8</v>
      </c>
      <c r="K177" s="18" t="s">
        <v>205</v>
      </c>
      <c r="M177" s="1"/>
      <c r="N177" s="1"/>
      <c r="O177" s="1"/>
      <c r="P177" s="1"/>
      <c r="Q177" s="1"/>
      <c r="R177" s="1"/>
      <c r="S177" s="1"/>
      <c r="T177" s="1"/>
      <c r="U177" s="1"/>
    </row>
    <row r="178" spans="1:21" s="189" customFormat="1">
      <c r="A178" s="18" t="s">
        <v>11</v>
      </c>
      <c r="B178" s="18" t="s">
        <v>72</v>
      </c>
      <c r="C178" s="18" t="s">
        <v>73</v>
      </c>
      <c r="D178" s="18"/>
      <c r="E178" s="18" t="s">
        <v>182</v>
      </c>
      <c r="F178" s="18" t="s">
        <v>18</v>
      </c>
      <c r="G178" s="28" t="s">
        <v>19</v>
      </c>
      <c r="H178" s="66">
        <v>358.98353060947198</v>
      </c>
      <c r="I178" s="72">
        <v>628</v>
      </c>
      <c r="J178" s="18" t="s">
        <v>8</v>
      </c>
      <c r="K178" s="18" t="s">
        <v>206</v>
      </c>
      <c r="M178" s="1"/>
      <c r="N178" s="1"/>
      <c r="O178" s="1"/>
      <c r="P178" s="1"/>
      <c r="Q178" s="1"/>
      <c r="R178" s="1"/>
      <c r="S178" s="1"/>
      <c r="T178" s="1"/>
      <c r="U178" s="1"/>
    </row>
    <row r="179" spans="1:21" s="189" customFormat="1" ht="18">
      <c r="A179" s="18" t="s">
        <v>11</v>
      </c>
      <c r="B179" s="18" t="s">
        <v>72</v>
      </c>
      <c r="C179" s="18" t="s">
        <v>73</v>
      </c>
      <c r="D179" s="18"/>
      <c r="E179" s="18" t="s">
        <v>182</v>
      </c>
      <c r="F179" s="18" t="s">
        <v>207</v>
      </c>
      <c r="G179" s="28" t="s">
        <v>613</v>
      </c>
      <c r="H179" s="66">
        <f>0.18*(1000/134.193)</f>
        <v>1.3413516353312018</v>
      </c>
      <c r="I179" s="72">
        <v>159.69999999999999</v>
      </c>
      <c r="J179" s="18" t="s">
        <v>78</v>
      </c>
      <c r="K179" s="18" t="s">
        <v>208</v>
      </c>
      <c r="M179" s="1"/>
      <c r="N179" s="1"/>
      <c r="O179" s="1"/>
      <c r="P179" s="1"/>
      <c r="Q179" s="1"/>
      <c r="R179" s="1"/>
      <c r="S179" s="1"/>
      <c r="T179" s="1"/>
      <c r="U179" s="1"/>
    </row>
    <row r="180" spans="1:21" s="189" customFormat="1">
      <c r="A180" s="18" t="s">
        <v>11</v>
      </c>
      <c r="B180" s="18" t="s">
        <v>72</v>
      </c>
      <c r="C180" s="18" t="s">
        <v>73</v>
      </c>
      <c r="D180" s="18"/>
      <c r="E180" s="18" t="s">
        <v>182</v>
      </c>
      <c r="F180" s="18" t="s">
        <v>207</v>
      </c>
      <c r="G180" s="28" t="s">
        <v>209</v>
      </c>
      <c r="H180" s="66">
        <f>0.26*(1000/134.193)</f>
        <v>1.9375079177006251</v>
      </c>
      <c r="I180" s="72">
        <v>87.31</v>
      </c>
      <c r="J180" s="18" t="s">
        <v>78</v>
      </c>
      <c r="K180" s="18"/>
      <c r="M180" s="1"/>
      <c r="N180" s="1"/>
      <c r="O180" s="1"/>
      <c r="P180" s="1"/>
      <c r="Q180" s="1"/>
      <c r="R180" s="1"/>
      <c r="S180" s="1"/>
      <c r="T180" s="1"/>
      <c r="U180" s="1"/>
    </row>
    <row r="181" spans="1:21" s="189" customFormat="1">
      <c r="A181" s="18" t="s">
        <v>11</v>
      </c>
      <c r="B181" s="18" t="s">
        <v>72</v>
      </c>
      <c r="C181" s="18" t="s">
        <v>73</v>
      </c>
      <c r="D181" s="18"/>
      <c r="E181" s="18" t="s">
        <v>182</v>
      </c>
      <c r="F181" s="18" t="s">
        <v>210</v>
      </c>
      <c r="G181" s="28" t="s">
        <v>211</v>
      </c>
      <c r="H181" s="39">
        <f>199/134.193</f>
        <v>1.4829387523939399</v>
      </c>
      <c r="I181" s="72">
        <v>149</v>
      </c>
      <c r="J181" s="18" t="s">
        <v>142</v>
      </c>
      <c r="K181" s="18"/>
      <c r="M181" s="1"/>
      <c r="N181" s="1"/>
      <c r="O181" s="1"/>
      <c r="P181" s="1"/>
      <c r="Q181" s="1"/>
      <c r="R181" s="1"/>
      <c r="S181" s="1"/>
      <c r="T181" s="1"/>
      <c r="U181" s="1"/>
    </row>
    <row r="182" spans="1:21" s="246" customFormat="1">
      <c r="A182" s="242" t="s">
        <v>11</v>
      </c>
      <c r="B182" s="242" t="s">
        <v>72</v>
      </c>
      <c r="C182" s="242" t="s">
        <v>73</v>
      </c>
      <c r="D182" s="242"/>
      <c r="E182" s="242" t="s">
        <v>182</v>
      </c>
      <c r="F182" s="242" t="s">
        <v>212</v>
      </c>
      <c r="G182" s="243">
        <v>8701</v>
      </c>
      <c r="H182" s="245">
        <v>4.3</v>
      </c>
      <c r="I182" s="245"/>
      <c r="J182" s="242" t="s">
        <v>729</v>
      </c>
      <c r="K182" s="242"/>
    </row>
    <row r="183" spans="1:21" s="246" customFormat="1">
      <c r="A183" s="242" t="s">
        <v>11</v>
      </c>
      <c r="B183" s="242" t="s">
        <v>72</v>
      </c>
      <c r="C183" s="242" t="s">
        <v>73</v>
      </c>
      <c r="D183" s="242"/>
      <c r="E183" s="242" t="s">
        <v>182</v>
      </c>
      <c r="F183" s="242" t="s">
        <v>212</v>
      </c>
      <c r="G183" s="243" t="s">
        <v>213</v>
      </c>
      <c r="H183" s="244">
        <f>0.5*(1000/134.193)</f>
        <v>3.7259767648088942</v>
      </c>
      <c r="I183" s="245">
        <v>56.87</v>
      </c>
      <c r="J183" s="242" t="s">
        <v>78</v>
      </c>
      <c r="K183" s="242" t="s">
        <v>214</v>
      </c>
    </row>
    <row r="184" spans="1:21" s="246" customFormat="1">
      <c r="A184" s="242" t="s">
        <v>11</v>
      </c>
      <c r="B184" s="242" t="s">
        <v>72</v>
      </c>
      <c r="C184" s="242" t="s">
        <v>73</v>
      </c>
      <c r="D184" s="242"/>
      <c r="E184" s="242" t="s">
        <v>182</v>
      </c>
      <c r="F184" s="242" t="s">
        <v>212</v>
      </c>
      <c r="G184" s="243"/>
      <c r="H184" s="245">
        <v>2.8</v>
      </c>
      <c r="I184" s="245"/>
      <c r="J184" s="242" t="s">
        <v>701</v>
      </c>
      <c r="K184" s="242"/>
    </row>
    <row r="185" spans="1:21" s="246" customFormat="1">
      <c r="A185" s="242" t="s">
        <v>11</v>
      </c>
      <c r="B185" s="242" t="s">
        <v>72</v>
      </c>
      <c r="C185" s="242" t="s">
        <v>73</v>
      </c>
      <c r="D185" s="242"/>
      <c r="E185" s="242" t="s">
        <v>182</v>
      </c>
      <c r="F185" s="242" t="s">
        <v>212</v>
      </c>
      <c r="G185" s="243"/>
      <c r="H185" s="245"/>
      <c r="I185" s="245"/>
      <c r="J185" s="242" t="s">
        <v>741</v>
      </c>
      <c r="K185" s="242"/>
      <c r="L185" s="246">
        <v>4.6900000000000004</v>
      </c>
      <c r="M185" s="246">
        <v>5.4000000000000003E-3</v>
      </c>
      <c r="N185" s="246">
        <v>0.25600000000000001</v>
      </c>
    </row>
    <row r="186" spans="1:21" s="189" customFormat="1">
      <c r="A186" s="18" t="s">
        <v>11</v>
      </c>
      <c r="B186" s="18" t="s">
        <v>72</v>
      </c>
      <c r="C186" s="18" t="s">
        <v>73</v>
      </c>
      <c r="D186" s="18"/>
      <c r="E186" s="18" t="s">
        <v>182</v>
      </c>
      <c r="F186" s="18" t="s">
        <v>215</v>
      </c>
      <c r="G186" s="28" t="s">
        <v>216</v>
      </c>
      <c r="H186" s="66">
        <v>171.96815837579501</v>
      </c>
      <c r="I186" s="72">
        <v>386</v>
      </c>
      <c r="J186" s="18" t="s">
        <v>8</v>
      </c>
      <c r="K186" s="18" t="s">
        <v>217</v>
      </c>
      <c r="M186" s="1"/>
      <c r="N186" s="1"/>
      <c r="O186" s="1"/>
      <c r="P186" s="1"/>
      <c r="Q186" s="1"/>
      <c r="R186" s="1"/>
      <c r="S186" s="1"/>
      <c r="T186" s="1"/>
      <c r="U186" s="1"/>
    </row>
    <row r="187" spans="1:21" s="189" customFormat="1">
      <c r="A187" s="18" t="s">
        <v>11</v>
      </c>
      <c r="B187" s="18" t="s">
        <v>72</v>
      </c>
      <c r="C187" s="18" t="s">
        <v>73</v>
      </c>
      <c r="D187" s="18"/>
      <c r="E187" s="18" t="s">
        <v>182</v>
      </c>
      <c r="F187" s="18" t="s">
        <v>218</v>
      </c>
      <c r="G187" s="28" t="s">
        <v>219</v>
      </c>
      <c r="H187" s="66">
        <f>1.066*(1000/134.193)</f>
        <v>7.943782462572563</v>
      </c>
      <c r="I187" s="72"/>
      <c r="J187" s="18" t="s">
        <v>80</v>
      </c>
      <c r="K187" s="18"/>
      <c r="M187" s="1"/>
      <c r="N187" s="1"/>
      <c r="O187" s="1"/>
      <c r="P187" s="1"/>
      <c r="Q187" s="1"/>
      <c r="R187" s="1"/>
      <c r="S187" s="1"/>
      <c r="T187" s="1"/>
      <c r="U187" s="1"/>
    </row>
    <row r="188" spans="1:21" s="189" customFormat="1" ht="19">
      <c r="A188" s="18" t="s">
        <v>11</v>
      </c>
      <c r="B188" s="18" t="s">
        <v>72</v>
      </c>
      <c r="C188" s="18" t="s">
        <v>73</v>
      </c>
      <c r="D188" s="18"/>
      <c r="E188" s="18" t="s">
        <v>182</v>
      </c>
      <c r="F188" s="18" t="s">
        <v>220</v>
      </c>
      <c r="G188" s="28" t="s">
        <v>614</v>
      </c>
      <c r="H188" s="66">
        <f>0.22*(1000/134.193)</f>
        <v>1.6394297765159134</v>
      </c>
      <c r="I188" s="72">
        <v>53.36</v>
      </c>
      <c r="J188" s="18" t="s">
        <v>78</v>
      </c>
      <c r="K188" s="18"/>
      <c r="M188" s="1"/>
      <c r="N188" s="1"/>
      <c r="O188" s="1"/>
      <c r="P188" s="1"/>
      <c r="Q188" s="1"/>
      <c r="R188" s="1"/>
      <c r="S188" s="1"/>
      <c r="T188" s="1"/>
      <c r="U188" s="1"/>
    </row>
    <row r="189" spans="1:21" s="189" customFormat="1" ht="19">
      <c r="A189" s="18" t="s">
        <v>11</v>
      </c>
      <c r="B189" s="18" t="s">
        <v>72</v>
      </c>
      <c r="C189" s="18" t="s">
        <v>73</v>
      </c>
      <c r="D189" s="18"/>
      <c r="E189" s="18" t="s">
        <v>182</v>
      </c>
      <c r="F189" s="18" t="s">
        <v>220</v>
      </c>
      <c r="G189" s="28" t="s">
        <v>615</v>
      </c>
      <c r="H189" s="66">
        <f>0.45*(1000/134.193)</f>
        <v>3.3533790883280048</v>
      </c>
      <c r="I189" s="72">
        <v>51.19</v>
      </c>
      <c r="J189" s="18" t="s">
        <v>78</v>
      </c>
      <c r="K189" s="18"/>
      <c r="M189" s="1"/>
      <c r="N189" s="1"/>
      <c r="O189" s="1"/>
      <c r="P189" s="1"/>
      <c r="Q189" s="1"/>
      <c r="R189" s="1"/>
      <c r="S189" s="1"/>
      <c r="T189" s="1"/>
      <c r="U189" s="1"/>
    </row>
    <row r="190" spans="1:21" s="189" customFormat="1" ht="18">
      <c r="A190" s="18" t="s">
        <v>11</v>
      </c>
      <c r="B190" s="18" t="s">
        <v>72</v>
      </c>
      <c r="C190" s="18" t="s">
        <v>73</v>
      </c>
      <c r="D190" s="18"/>
      <c r="E190" s="18" t="s">
        <v>182</v>
      </c>
      <c r="F190" s="18" t="s">
        <v>220</v>
      </c>
      <c r="G190" s="28" t="s">
        <v>616</v>
      </c>
      <c r="H190" s="66">
        <f>0.52*(1000/134.193)</f>
        <v>3.8750158354012503</v>
      </c>
      <c r="I190" s="72">
        <v>59.18</v>
      </c>
      <c r="J190" s="18" t="s">
        <v>78</v>
      </c>
      <c r="K190" s="18"/>
      <c r="M190" s="1"/>
      <c r="N190" s="1"/>
      <c r="O190" s="1"/>
      <c r="P190" s="1"/>
      <c r="Q190" s="1"/>
      <c r="R190" s="1"/>
      <c r="S190" s="1"/>
      <c r="T190" s="1"/>
      <c r="U190" s="1"/>
    </row>
    <row r="191" spans="1:21" s="189" customFormat="1" ht="19">
      <c r="A191" s="18" t="s">
        <v>11</v>
      </c>
      <c r="B191" s="18" t="s">
        <v>72</v>
      </c>
      <c r="C191" s="18" t="s">
        <v>73</v>
      </c>
      <c r="D191" s="18"/>
      <c r="E191" s="18" t="s">
        <v>182</v>
      </c>
      <c r="F191" s="18" t="s">
        <v>220</v>
      </c>
      <c r="G191" s="28" t="s">
        <v>617</v>
      </c>
      <c r="H191" s="66">
        <f>0.65*(1000/134.193)</f>
        <v>4.8437697942515623</v>
      </c>
      <c r="I191" s="72">
        <v>73.66</v>
      </c>
      <c r="J191" s="18" t="s">
        <v>78</v>
      </c>
      <c r="K191" s="18"/>
      <c r="M191" s="1"/>
      <c r="N191" s="1"/>
      <c r="O191" s="1"/>
      <c r="P191" s="1"/>
      <c r="Q191" s="1"/>
      <c r="R191" s="1"/>
      <c r="S191" s="1"/>
      <c r="T191" s="1"/>
      <c r="U191" s="1"/>
    </row>
    <row r="192" spans="1:21" s="189" customFormat="1" ht="18">
      <c r="A192" s="18" t="s">
        <v>11</v>
      </c>
      <c r="B192" s="18" t="s">
        <v>72</v>
      </c>
      <c r="C192" s="18" t="s">
        <v>73</v>
      </c>
      <c r="D192" s="18"/>
      <c r="E192" s="18" t="s">
        <v>182</v>
      </c>
      <c r="F192" s="18" t="s">
        <v>220</v>
      </c>
      <c r="G192" s="28" t="s">
        <v>618</v>
      </c>
      <c r="H192" s="66">
        <f>0.65*(1000/134.193)</f>
        <v>4.8437697942515623</v>
      </c>
      <c r="I192" s="72">
        <v>156.72</v>
      </c>
      <c r="J192" s="18" t="s">
        <v>78</v>
      </c>
      <c r="K192" s="18"/>
      <c r="M192" s="1"/>
      <c r="N192" s="1"/>
      <c r="O192" s="1"/>
      <c r="P192" s="1"/>
      <c r="Q192" s="1"/>
      <c r="R192" s="1"/>
      <c r="S192" s="1"/>
      <c r="T192" s="1"/>
      <c r="U192" s="1"/>
    </row>
    <row r="193" spans="1:21" s="189" customFormat="1" ht="18">
      <c r="A193" s="18" t="s">
        <v>11</v>
      </c>
      <c r="B193" s="18" t="s">
        <v>72</v>
      </c>
      <c r="C193" s="18" t="s">
        <v>73</v>
      </c>
      <c r="D193" s="18"/>
      <c r="E193" s="18" t="s">
        <v>182</v>
      </c>
      <c r="F193" s="18" t="s">
        <v>220</v>
      </c>
      <c r="G193" s="28" t="s">
        <v>619</v>
      </c>
      <c r="H193" s="66">
        <f>0.73*(1000/134.193)</f>
        <v>5.4399260766209849</v>
      </c>
      <c r="I193" s="72">
        <v>83.58</v>
      </c>
      <c r="J193" s="18" t="s">
        <v>78</v>
      </c>
      <c r="K193" s="18"/>
      <c r="M193" s="1"/>
      <c r="N193" s="1"/>
      <c r="O193" s="1"/>
      <c r="P193" s="1"/>
      <c r="Q193" s="1"/>
      <c r="R193" s="1"/>
      <c r="S193" s="1"/>
      <c r="T193" s="1"/>
      <c r="U193" s="1"/>
    </row>
    <row r="194" spans="1:21" s="189" customFormat="1">
      <c r="A194" s="18" t="s">
        <v>11</v>
      </c>
      <c r="B194" s="18" t="s">
        <v>72</v>
      </c>
      <c r="C194" s="18" t="s">
        <v>73</v>
      </c>
      <c r="D194" s="18"/>
      <c r="E194" s="18" t="s">
        <v>182</v>
      </c>
      <c r="F194" s="18" t="s">
        <v>696</v>
      </c>
      <c r="G194" s="28"/>
      <c r="H194" s="72">
        <v>5</v>
      </c>
      <c r="I194" s="72"/>
      <c r="J194" s="18" t="s">
        <v>729</v>
      </c>
      <c r="K194" s="18"/>
      <c r="M194" s="1"/>
      <c r="N194" s="1"/>
      <c r="O194" s="1"/>
      <c r="P194" s="1"/>
      <c r="Q194" s="1"/>
      <c r="R194" s="1"/>
      <c r="S194" s="1"/>
      <c r="T194" s="1"/>
      <c r="U194" s="1"/>
    </row>
    <row r="195" spans="1:21" s="189" customFormat="1">
      <c r="A195" s="18" t="s">
        <v>11</v>
      </c>
      <c r="B195" s="18" t="s">
        <v>72</v>
      </c>
      <c r="C195" s="18" t="s">
        <v>73</v>
      </c>
      <c r="D195" s="18"/>
      <c r="E195" s="18" t="s">
        <v>182</v>
      </c>
      <c r="F195" s="18" t="s">
        <v>33</v>
      </c>
      <c r="G195" s="28"/>
      <c r="H195" s="72"/>
      <c r="I195" s="72">
        <v>275</v>
      </c>
      <c r="J195" s="18" t="s">
        <v>32</v>
      </c>
      <c r="K195" s="18"/>
      <c r="M195" s="1"/>
      <c r="N195" s="1"/>
      <c r="O195" s="1"/>
      <c r="P195" s="1"/>
      <c r="Q195" s="1"/>
      <c r="R195" s="1"/>
      <c r="S195" s="1"/>
      <c r="T195" s="1"/>
      <c r="U195" s="1"/>
    </row>
    <row r="196" spans="1:21">
      <c r="A196" s="18" t="s">
        <v>11</v>
      </c>
      <c r="B196" s="18" t="s">
        <v>72</v>
      </c>
      <c r="C196" s="18" t="s">
        <v>73</v>
      </c>
      <c r="D196" s="18"/>
      <c r="E196" s="18" t="s">
        <v>182</v>
      </c>
      <c r="F196" s="18" t="s">
        <v>721</v>
      </c>
      <c r="G196" s="28"/>
      <c r="H196" s="72">
        <v>12</v>
      </c>
      <c r="I196" s="72">
        <v>358</v>
      </c>
      <c r="J196" s="18" t="s">
        <v>722</v>
      </c>
      <c r="K196" s="18"/>
    </row>
    <row r="197" spans="1:21">
      <c r="A197" s="18" t="s">
        <v>11</v>
      </c>
      <c r="B197" s="18" t="s">
        <v>72</v>
      </c>
      <c r="C197" s="18" t="s">
        <v>73</v>
      </c>
      <c r="D197" s="18"/>
      <c r="E197" s="18" t="s">
        <v>182</v>
      </c>
      <c r="F197" s="18" t="s">
        <v>38</v>
      </c>
      <c r="G197" s="28" t="s">
        <v>221</v>
      </c>
      <c r="H197" s="72">
        <f>0.01*1000</f>
        <v>10</v>
      </c>
      <c r="I197" s="72" t="s">
        <v>223</v>
      </c>
      <c r="J197" s="18" t="s">
        <v>84</v>
      </c>
      <c r="K197" s="18" t="s">
        <v>222</v>
      </c>
    </row>
    <row r="198" spans="1:21">
      <c r="A198" s="18" t="s">
        <v>11</v>
      </c>
      <c r="B198" s="18" t="s">
        <v>72</v>
      </c>
      <c r="C198" s="18" t="s">
        <v>73</v>
      </c>
      <c r="D198" s="18"/>
      <c r="E198" s="18" t="s">
        <v>182</v>
      </c>
      <c r="F198" s="18" t="s">
        <v>38</v>
      </c>
      <c r="G198" s="28">
        <v>1209</v>
      </c>
      <c r="H198" s="66">
        <f>1*(1000/134.193)</f>
        <v>7.4519535296177883</v>
      </c>
      <c r="I198" s="72">
        <v>113.43</v>
      </c>
      <c r="J198" s="18" t="s">
        <v>78</v>
      </c>
      <c r="K198" s="18"/>
    </row>
    <row r="199" spans="1:21">
      <c r="A199" s="18" t="s">
        <v>11</v>
      </c>
      <c r="B199" s="18" t="s">
        <v>72</v>
      </c>
      <c r="C199" s="18" t="s">
        <v>73</v>
      </c>
      <c r="D199" s="18"/>
      <c r="E199" s="18" t="s">
        <v>182</v>
      </c>
      <c r="F199" s="18" t="s">
        <v>38</v>
      </c>
      <c r="G199" s="28" t="s">
        <v>224</v>
      </c>
      <c r="H199" s="66">
        <f>2.29*(1000/134.193)</f>
        <v>17.064973582824734</v>
      </c>
      <c r="I199" s="72">
        <v>260.45</v>
      </c>
      <c r="J199" s="18" t="s">
        <v>78</v>
      </c>
      <c r="K199" s="18"/>
    </row>
    <row r="200" spans="1:21">
      <c r="A200" s="18" t="s">
        <v>11</v>
      </c>
      <c r="B200" s="18" t="s">
        <v>72</v>
      </c>
      <c r="C200" s="18" t="s">
        <v>73</v>
      </c>
      <c r="D200" s="18"/>
      <c r="E200" s="18" t="s">
        <v>182</v>
      </c>
      <c r="F200" s="18" t="s">
        <v>38</v>
      </c>
      <c r="G200" s="28" t="s">
        <v>225</v>
      </c>
      <c r="H200" s="66">
        <f>4.09*(1000/134.193)</f>
        <v>30.478489936136754</v>
      </c>
      <c r="I200" s="238"/>
      <c r="J200" s="18" t="s">
        <v>80</v>
      </c>
      <c r="K200" s="18"/>
    </row>
    <row r="201" spans="1:21">
      <c r="A201" s="18" t="s">
        <v>11</v>
      </c>
      <c r="B201" s="18" t="s">
        <v>72</v>
      </c>
      <c r="C201" s="18" t="s">
        <v>73</v>
      </c>
      <c r="D201" s="18"/>
      <c r="E201" s="18" t="s">
        <v>182</v>
      </c>
      <c r="F201" s="18" t="s">
        <v>724</v>
      </c>
      <c r="G201" s="28"/>
      <c r="H201" s="72"/>
      <c r="I201" s="72">
        <v>125</v>
      </c>
      <c r="J201" s="18" t="s">
        <v>37</v>
      </c>
      <c r="K201" s="18"/>
    </row>
    <row r="202" spans="1:21">
      <c r="A202" s="18" t="s">
        <v>11</v>
      </c>
      <c r="B202" s="18" t="s">
        <v>72</v>
      </c>
      <c r="C202" s="18" t="s">
        <v>73</v>
      </c>
      <c r="D202" s="18"/>
      <c r="E202" s="18" t="s">
        <v>182</v>
      </c>
      <c r="F202" s="18" t="s">
        <v>723</v>
      </c>
      <c r="G202" s="28"/>
      <c r="H202" s="72"/>
      <c r="I202" s="72">
        <v>71</v>
      </c>
      <c r="J202" s="18" t="s">
        <v>691</v>
      </c>
      <c r="K202" s="18"/>
    </row>
    <row r="203" spans="1:21">
      <c r="A203" s="18" t="s">
        <v>11</v>
      </c>
      <c r="B203" s="18" t="s">
        <v>72</v>
      </c>
      <c r="C203" s="18" t="s">
        <v>73</v>
      </c>
      <c r="D203" s="18"/>
      <c r="E203" s="18" t="s">
        <v>182</v>
      </c>
      <c r="F203" s="18" t="s">
        <v>226</v>
      </c>
      <c r="G203" s="28" t="s">
        <v>227</v>
      </c>
      <c r="H203" s="66">
        <f>12*(1000/134.193)</f>
        <v>89.423442355413457</v>
      </c>
      <c r="I203" s="72">
        <v>170.15</v>
      </c>
      <c r="J203" s="18" t="s">
        <v>78</v>
      </c>
      <c r="K203" s="18" t="s">
        <v>228</v>
      </c>
    </row>
    <row r="204" spans="1:21" s="246" customFormat="1">
      <c r="A204" s="242" t="s">
        <v>11</v>
      </c>
      <c r="B204" s="242" t="s">
        <v>72</v>
      </c>
      <c r="C204" s="242" t="s">
        <v>73</v>
      </c>
      <c r="D204" s="242"/>
      <c r="E204" s="242" t="s">
        <v>182</v>
      </c>
      <c r="F204" s="242" t="s">
        <v>229</v>
      </c>
      <c r="G204" s="243" t="s">
        <v>670</v>
      </c>
      <c r="H204" s="245"/>
      <c r="I204" s="245">
        <v>55</v>
      </c>
      <c r="J204" s="242" t="s">
        <v>664</v>
      </c>
      <c r="K204" s="242"/>
    </row>
    <row r="205" spans="1:21" s="246" customFormat="1">
      <c r="A205" s="242" t="s">
        <v>11</v>
      </c>
      <c r="B205" s="242" t="s">
        <v>72</v>
      </c>
      <c r="C205" s="242" t="s">
        <v>73</v>
      </c>
      <c r="D205" s="242"/>
      <c r="E205" s="242" t="s">
        <v>182</v>
      </c>
      <c r="F205" s="242" t="s">
        <v>229</v>
      </c>
      <c r="G205" s="243" t="s">
        <v>230</v>
      </c>
      <c r="H205" s="244">
        <f>1.7*(1000/134.193)</f>
        <v>12.66832100035024</v>
      </c>
      <c r="I205" s="245">
        <v>111.94</v>
      </c>
      <c r="J205" s="242" t="s">
        <v>78</v>
      </c>
      <c r="K205" s="242" t="s">
        <v>231</v>
      </c>
    </row>
    <row r="206" spans="1:21" s="246" customFormat="1">
      <c r="A206" s="242" t="s">
        <v>11</v>
      </c>
      <c r="B206" s="242" t="s">
        <v>72</v>
      </c>
      <c r="C206" s="242" t="s">
        <v>73</v>
      </c>
      <c r="D206" s="242"/>
      <c r="E206" s="242" t="s">
        <v>182</v>
      </c>
      <c r="F206" s="242" t="s">
        <v>229</v>
      </c>
      <c r="G206" s="243" t="s">
        <v>232</v>
      </c>
      <c r="H206" s="244">
        <f>1.831*(1000/134.193)</f>
        <v>13.64452691273017</v>
      </c>
      <c r="I206" s="245"/>
      <c r="J206" s="242" t="s">
        <v>80</v>
      </c>
      <c r="K206" s="242"/>
    </row>
    <row r="207" spans="1:21" s="246" customFormat="1">
      <c r="A207" s="242" t="s">
        <v>11</v>
      </c>
      <c r="B207" s="242" t="s">
        <v>72</v>
      </c>
      <c r="C207" s="242" t="s">
        <v>73</v>
      </c>
      <c r="D207" s="242"/>
      <c r="E207" s="242" t="s">
        <v>182</v>
      </c>
      <c r="F207" s="242" t="s">
        <v>229</v>
      </c>
      <c r="G207" s="243"/>
      <c r="H207" s="245">
        <v>17</v>
      </c>
      <c r="I207" s="245"/>
      <c r="J207" s="242" t="s">
        <v>701</v>
      </c>
      <c r="K207" s="242"/>
    </row>
    <row r="208" spans="1:21" s="246" customFormat="1">
      <c r="A208" s="242" t="s">
        <v>11</v>
      </c>
      <c r="B208" s="242" t="s">
        <v>72</v>
      </c>
      <c r="C208" s="242" t="s">
        <v>73</v>
      </c>
      <c r="D208" s="242"/>
      <c r="E208" s="242" t="s">
        <v>182</v>
      </c>
      <c r="F208" s="242" t="s">
        <v>229</v>
      </c>
      <c r="G208" s="243"/>
      <c r="H208" s="245"/>
      <c r="I208" s="245"/>
      <c r="J208" s="242" t="s">
        <v>741</v>
      </c>
      <c r="K208" s="242"/>
      <c r="L208" s="246">
        <v>16.2</v>
      </c>
      <c r="M208" s="246">
        <v>0.255</v>
      </c>
      <c r="N208" s="246">
        <v>9.9000000000000008E-3</v>
      </c>
    </row>
    <row r="209" spans="1:11">
      <c r="A209" s="18" t="s">
        <v>11</v>
      </c>
      <c r="B209" s="18" t="s">
        <v>72</v>
      </c>
      <c r="C209" s="18" t="s">
        <v>73</v>
      </c>
      <c r="D209" s="18"/>
      <c r="E209" s="18" t="s">
        <v>182</v>
      </c>
      <c r="F209" s="18" t="s">
        <v>233</v>
      </c>
      <c r="G209" s="28" t="s">
        <v>234</v>
      </c>
      <c r="H209" s="66">
        <v>47.2912435533433</v>
      </c>
      <c r="I209" s="72">
        <v>79</v>
      </c>
      <c r="J209" s="18" t="s">
        <v>8</v>
      </c>
      <c r="K209" s="18"/>
    </row>
    <row r="210" spans="1:11">
      <c r="A210" s="18" t="s">
        <v>11</v>
      </c>
      <c r="B210" s="18" t="s">
        <v>72</v>
      </c>
      <c r="C210" s="18" t="s">
        <v>73</v>
      </c>
      <c r="D210" s="18"/>
      <c r="E210" s="18" t="s">
        <v>182</v>
      </c>
      <c r="F210" s="18" t="s">
        <v>235</v>
      </c>
      <c r="G210" s="28" t="s">
        <v>236</v>
      </c>
      <c r="H210" s="66">
        <v>23.645621776671501</v>
      </c>
      <c r="I210" s="72">
        <v>715</v>
      </c>
      <c r="J210" s="18" t="s">
        <v>8</v>
      </c>
      <c r="K210" s="18"/>
    </row>
    <row r="211" spans="1:11">
      <c r="A211" s="18" t="s">
        <v>11</v>
      </c>
      <c r="B211" s="18" t="s">
        <v>72</v>
      </c>
      <c r="C211" s="18" t="s">
        <v>73</v>
      </c>
      <c r="D211" s="18"/>
      <c r="E211" s="18" t="s">
        <v>182</v>
      </c>
      <c r="F211" s="18" t="s">
        <v>20</v>
      </c>
      <c r="G211" s="28" t="s">
        <v>21</v>
      </c>
      <c r="H211" s="66">
        <v>105.330497005174</v>
      </c>
      <c r="I211" s="238">
        <v>291</v>
      </c>
      <c r="J211" s="18" t="s">
        <v>8</v>
      </c>
      <c r="K211" s="18"/>
    </row>
    <row r="212" spans="1:11">
      <c r="A212" s="18" t="s">
        <v>11</v>
      </c>
      <c r="B212" s="18" t="s">
        <v>72</v>
      </c>
      <c r="C212" s="18" t="s">
        <v>73</v>
      </c>
      <c r="D212" s="18"/>
      <c r="E212" s="18" t="s">
        <v>182</v>
      </c>
      <c r="F212" s="18" t="s">
        <v>20</v>
      </c>
      <c r="G212" s="28" t="s">
        <v>237</v>
      </c>
      <c r="H212" s="66">
        <f>13.8*(1000/134.193)</f>
        <v>102.83695870872549</v>
      </c>
      <c r="I212" s="72">
        <v>195.52</v>
      </c>
      <c r="J212" s="18" t="s">
        <v>78</v>
      </c>
      <c r="K212" s="18" t="s">
        <v>238</v>
      </c>
    </row>
    <row r="213" spans="1:11">
      <c r="A213" s="18" t="s">
        <v>11</v>
      </c>
      <c r="B213" s="18" t="s">
        <v>72</v>
      </c>
      <c r="C213" s="18" t="s">
        <v>73</v>
      </c>
      <c r="D213" s="18"/>
      <c r="E213" s="18" t="s">
        <v>182</v>
      </c>
      <c r="F213" s="18" t="s">
        <v>239</v>
      </c>
      <c r="G213" s="28" t="s">
        <v>240</v>
      </c>
      <c r="H213" s="119">
        <f>(AVERAGE(184,56))/134.193</f>
        <v>0.89423442355413463</v>
      </c>
      <c r="I213" s="72">
        <f>AVERAGE(196,60)</f>
        <v>128</v>
      </c>
      <c r="J213" s="18" t="s">
        <v>142</v>
      </c>
      <c r="K213" s="18"/>
    </row>
    <row r="214" spans="1:11">
      <c r="A214" s="18" t="s">
        <v>11</v>
      </c>
      <c r="B214" s="18" t="s">
        <v>72</v>
      </c>
      <c r="C214" s="18" t="s">
        <v>73</v>
      </c>
      <c r="D214" s="18"/>
      <c r="E214" s="18" t="s">
        <v>182</v>
      </c>
      <c r="F214" s="18" t="s">
        <v>241</v>
      </c>
      <c r="G214" s="28" t="s">
        <v>242</v>
      </c>
      <c r="H214" s="66">
        <f>1.1*(1000/134.193)</f>
        <v>8.1971488825795671</v>
      </c>
      <c r="I214" s="72">
        <v>125.37</v>
      </c>
      <c r="J214" s="18" t="s">
        <v>78</v>
      </c>
      <c r="K214" s="18"/>
    </row>
    <row r="215" spans="1:11">
      <c r="A215" s="18" t="s">
        <v>11</v>
      </c>
      <c r="B215" s="18" t="s">
        <v>72</v>
      </c>
      <c r="C215" s="18" t="s">
        <v>73</v>
      </c>
      <c r="D215" s="18"/>
      <c r="E215" s="18" t="s">
        <v>182</v>
      </c>
      <c r="F215" s="18" t="s">
        <v>146</v>
      </c>
      <c r="G215" s="28" t="s">
        <v>243</v>
      </c>
      <c r="H215" s="66">
        <f>1.57*(1000/134.193)</f>
        <v>11.699567041499929</v>
      </c>
      <c r="I215" s="72">
        <v>179.1</v>
      </c>
      <c r="J215" s="18" t="s">
        <v>78</v>
      </c>
      <c r="K215" s="18"/>
    </row>
    <row r="216" spans="1:11">
      <c r="A216" s="18" t="s">
        <v>11</v>
      </c>
      <c r="B216" s="18" t="s">
        <v>72</v>
      </c>
      <c r="C216" s="18" t="s">
        <v>73</v>
      </c>
      <c r="D216" s="18"/>
      <c r="E216" s="18" t="s">
        <v>182</v>
      </c>
      <c r="F216" s="18" t="s">
        <v>146</v>
      </c>
      <c r="G216" s="28" t="s">
        <v>244</v>
      </c>
      <c r="H216" s="66">
        <f>3.15*(1000/134.193)</f>
        <v>23.473653618296034</v>
      </c>
      <c r="I216" s="72">
        <v>358.21</v>
      </c>
      <c r="J216" s="18" t="s">
        <v>78</v>
      </c>
      <c r="K216" s="18"/>
    </row>
    <row r="217" spans="1:11">
      <c r="A217" s="18" t="s">
        <v>11</v>
      </c>
      <c r="B217" s="18" t="s">
        <v>72</v>
      </c>
      <c r="C217" s="18" t="s">
        <v>73</v>
      </c>
      <c r="D217" s="18"/>
      <c r="E217" s="18" t="s">
        <v>182</v>
      </c>
      <c r="F217" s="18" t="s">
        <v>146</v>
      </c>
      <c r="G217" s="28" t="s">
        <v>245</v>
      </c>
      <c r="H217" s="66">
        <f>3.37*(1000/134.193)</f>
        <v>25.113083394811948</v>
      </c>
      <c r="I217" s="72">
        <v>139.55000000000001</v>
      </c>
      <c r="J217" s="18" t="s">
        <v>78</v>
      </c>
      <c r="K217" s="18"/>
    </row>
    <row r="218" spans="1:11">
      <c r="A218" s="18" t="s">
        <v>11</v>
      </c>
      <c r="B218" s="18" t="s">
        <v>72</v>
      </c>
      <c r="C218" s="18" t="s">
        <v>73</v>
      </c>
      <c r="D218" s="18"/>
      <c r="E218" s="18" t="s">
        <v>182</v>
      </c>
      <c r="F218" s="18" t="s">
        <v>146</v>
      </c>
      <c r="G218" s="28" t="s">
        <v>246</v>
      </c>
      <c r="H218" s="66">
        <f>5.55*(1000/134.193)</f>
        <v>41.358342089378723</v>
      </c>
      <c r="I218" s="72">
        <v>365.67</v>
      </c>
      <c r="J218" s="18" t="s">
        <v>78</v>
      </c>
      <c r="K218" s="18"/>
    </row>
    <row r="219" spans="1:11">
      <c r="A219" s="18" t="s">
        <v>54</v>
      </c>
      <c r="B219" s="18" t="s">
        <v>72</v>
      </c>
      <c r="C219" s="18" t="s">
        <v>73</v>
      </c>
      <c r="D219" s="18"/>
      <c r="E219" s="18" t="s">
        <v>182</v>
      </c>
      <c r="F219" s="18" t="s">
        <v>193</v>
      </c>
      <c r="G219" s="28" t="s">
        <v>667</v>
      </c>
      <c r="H219" s="72"/>
      <c r="I219" s="72">
        <v>0.2</v>
      </c>
      <c r="J219" s="18" t="s">
        <v>664</v>
      </c>
      <c r="K219" s="18"/>
    </row>
    <row r="220" spans="1:11">
      <c r="A220" s="18" t="s">
        <v>54</v>
      </c>
      <c r="B220" s="18" t="s">
        <v>72</v>
      </c>
      <c r="C220" s="18" t="s">
        <v>73</v>
      </c>
      <c r="D220" s="18"/>
      <c r="E220" s="18" t="s">
        <v>182</v>
      </c>
      <c r="F220" s="18" t="s">
        <v>665</v>
      </c>
      <c r="G220" s="28" t="s">
        <v>666</v>
      </c>
      <c r="H220" s="72"/>
      <c r="I220" s="238">
        <v>0.6</v>
      </c>
      <c r="J220" s="18" t="s">
        <v>664</v>
      </c>
      <c r="K220" s="18"/>
    </row>
    <row r="221" spans="1:11">
      <c r="A221" s="18" t="s">
        <v>54</v>
      </c>
      <c r="B221" s="18" t="s">
        <v>72</v>
      </c>
      <c r="C221" s="18" t="s">
        <v>73</v>
      </c>
      <c r="D221" s="18"/>
      <c r="E221" s="18" t="s">
        <v>182</v>
      </c>
      <c r="F221" s="18" t="s">
        <v>436</v>
      </c>
      <c r="G221" s="28" t="s">
        <v>437</v>
      </c>
      <c r="H221" s="66">
        <f>0.05*(1000/134.193)</f>
        <v>0.37259767648088943</v>
      </c>
      <c r="I221" s="72">
        <v>3.28</v>
      </c>
      <c r="J221" s="18" t="s">
        <v>78</v>
      </c>
      <c r="K221" s="18"/>
    </row>
    <row r="222" spans="1:11" ht="18">
      <c r="A222" s="18" t="s">
        <v>54</v>
      </c>
      <c r="B222" s="18" t="s">
        <v>72</v>
      </c>
      <c r="C222" s="18" t="s">
        <v>73</v>
      </c>
      <c r="D222" s="18"/>
      <c r="E222" s="18" t="s">
        <v>182</v>
      </c>
      <c r="F222" s="18" t="s">
        <v>218</v>
      </c>
      <c r="G222" s="28" t="s">
        <v>621</v>
      </c>
      <c r="H222" s="66">
        <f>0.71*(1000/134.193)</f>
        <v>5.2908870060286297</v>
      </c>
      <c r="I222" s="72">
        <v>46.87</v>
      </c>
      <c r="J222" s="18" t="s">
        <v>78</v>
      </c>
      <c r="K222" s="18" t="s">
        <v>438</v>
      </c>
    </row>
    <row r="223" spans="1:11">
      <c r="A223" s="18" t="s">
        <v>54</v>
      </c>
      <c r="B223" s="18" t="s">
        <v>72</v>
      </c>
      <c r="C223" s="18" t="s">
        <v>73</v>
      </c>
      <c r="D223" s="18"/>
      <c r="E223" s="18" t="s">
        <v>182</v>
      </c>
      <c r="F223" s="18" t="s">
        <v>439</v>
      </c>
      <c r="G223" s="28" t="s">
        <v>440</v>
      </c>
      <c r="H223" s="66">
        <f>19.8*(1000/134.193)</f>
        <v>147.54867988643221</v>
      </c>
      <c r="I223" s="72">
        <v>35.299999999999997</v>
      </c>
      <c r="J223" s="18" t="s">
        <v>78</v>
      </c>
      <c r="K223" s="18" t="s">
        <v>441</v>
      </c>
    </row>
    <row r="224" spans="1:11">
      <c r="A224" s="18" t="s">
        <v>512</v>
      </c>
      <c r="B224" s="18" t="s">
        <v>72</v>
      </c>
      <c r="C224" s="18" t="s">
        <v>73</v>
      </c>
      <c r="D224" s="18"/>
      <c r="E224" s="18" t="s">
        <v>182</v>
      </c>
      <c r="F224" s="18" t="s">
        <v>692</v>
      </c>
      <c r="G224" s="28" t="s">
        <v>693</v>
      </c>
      <c r="H224" s="72" t="s">
        <v>695</v>
      </c>
      <c r="I224" s="72"/>
      <c r="J224" s="18" t="s">
        <v>694</v>
      </c>
      <c r="K224" s="18"/>
    </row>
    <row r="225" spans="1:11">
      <c r="A225" s="18" t="s">
        <v>54</v>
      </c>
      <c r="B225" s="18" t="s">
        <v>72</v>
      </c>
      <c r="C225" s="18" t="s">
        <v>130</v>
      </c>
      <c r="D225" s="18" t="s">
        <v>375</v>
      </c>
      <c r="E225" s="18" t="s">
        <v>376</v>
      </c>
      <c r="F225" s="18" t="s">
        <v>377</v>
      </c>
      <c r="G225" s="28" t="s">
        <v>378</v>
      </c>
      <c r="H225" s="66">
        <f>0.31*(1000/134.193)</f>
        <v>2.3101055941815143</v>
      </c>
      <c r="I225" s="238">
        <v>35.67</v>
      </c>
      <c r="J225" s="18" t="s">
        <v>78</v>
      </c>
      <c r="K225" s="18" t="s">
        <v>379</v>
      </c>
    </row>
    <row r="226" spans="1:11">
      <c r="A226" s="18" t="s">
        <v>512</v>
      </c>
      <c r="B226" s="18" t="s">
        <v>72</v>
      </c>
      <c r="C226" s="18" t="s">
        <v>130</v>
      </c>
      <c r="D226" s="18" t="s">
        <v>375</v>
      </c>
      <c r="E226" s="18" t="s">
        <v>376</v>
      </c>
      <c r="F226" s="18" t="s">
        <v>529</v>
      </c>
      <c r="G226" s="28" t="s">
        <v>530</v>
      </c>
      <c r="H226" s="66" t="s">
        <v>515</v>
      </c>
      <c r="I226" s="239"/>
      <c r="J226" s="18" t="s">
        <v>78</v>
      </c>
      <c r="K226" s="18"/>
    </row>
    <row r="227" spans="1:11">
      <c r="A227" s="18" t="s">
        <v>11</v>
      </c>
      <c r="B227" s="18" t="s">
        <v>72</v>
      </c>
      <c r="C227" s="18"/>
      <c r="D227" s="18"/>
      <c r="E227" s="18" t="s">
        <v>247</v>
      </c>
      <c r="F227" s="18" t="s">
        <v>248</v>
      </c>
      <c r="G227" s="28" t="s">
        <v>249</v>
      </c>
      <c r="H227" s="66">
        <f>2.81*(1000/134.193)</f>
        <v>20.939989418225984</v>
      </c>
      <c r="I227" s="72">
        <v>94.78</v>
      </c>
      <c r="J227" s="18" t="s">
        <v>78</v>
      </c>
      <c r="K227" s="18"/>
    </row>
    <row r="228" spans="1:11">
      <c r="A228" s="18" t="s">
        <v>54</v>
      </c>
      <c r="B228" s="18" t="s">
        <v>308</v>
      </c>
      <c r="C228" s="18" t="s">
        <v>320</v>
      </c>
      <c r="D228" s="18" t="s">
        <v>310</v>
      </c>
      <c r="E228" s="18"/>
      <c r="F228" s="18" t="s">
        <v>321</v>
      </c>
      <c r="G228" s="28" t="s">
        <v>322</v>
      </c>
      <c r="H228" s="72" t="s">
        <v>324</v>
      </c>
      <c r="I228" s="72"/>
      <c r="J228" s="18" t="s">
        <v>315</v>
      </c>
      <c r="K228" s="18" t="s">
        <v>323</v>
      </c>
    </row>
    <row r="229" spans="1:11">
      <c r="A229" s="18" t="s">
        <v>54</v>
      </c>
      <c r="B229" s="18" t="s">
        <v>308</v>
      </c>
      <c r="C229" s="18" t="s">
        <v>320</v>
      </c>
      <c r="D229" s="18" t="s">
        <v>310</v>
      </c>
      <c r="E229" s="18"/>
      <c r="F229" s="18" t="s">
        <v>325</v>
      </c>
      <c r="G229" s="28" t="s">
        <v>326</v>
      </c>
      <c r="H229" s="72" t="s">
        <v>328</v>
      </c>
      <c r="I229" s="72"/>
      <c r="J229" s="18" t="s">
        <v>315</v>
      </c>
      <c r="K229" s="18" t="s">
        <v>327</v>
      </c>
    </row>
    <row r="230" spans="1:11">
      <c r="A230" s="18" t="s">
        <v>54</v>
      </c>
      <c r="B230" s="18" t="s">
        <v>308</v>
      </c>
      <c r="C230" s="18" t="s">
        <v>320</v>
      </c>
      <c r="D230" s="18" t="s">
        <v>329</v>
      </c>
      <c r="E230" s="18"/>
      <c r="F230" s="18" t="s">
        <v>330</v>
      </c>
      <c r="G230" s="28" t="s">
        <v>331</v>
      </c>
      <c r="H230" s="72" t="s">
        <v>333</v>
      </c>
      <c r="I230" s="72"/>
      <c r="J230" s="18" t="s">
        <v>315</v>
      </c>
      <c r="K230" s="18" t="s">
        <v>332</v>
      </c>
    </row>
    <row r="231" spans="1:11">
      <c r="A231" s="18" t="s">
        <v>54</v>
      </c>
      <c r="B231" s="18" t="s">
        <v>308</v>
      </c>
      <c r="C231" s="18" t="s">
        <v>320</v>
      </c>
      <c r="D231" s="18" t="s">
        <v>329</v>
      </c>
      <c r="E231" s="18"/>
      <c r="F231" s="18" t="s">
        <v>334</v>
      </c>
      <c r="G231" s="28" t="s">
        <v>335</v>
      </c>
      <c r="H231" s="72" t="s">
        <v>314</v>
      </c>
      <c r="I231" s="72"/>
      <c r="J231" s="18" t="s">
        <v>315</v>
      </c>
      <c r="K231" s="18" t="s">
        <v>336</v>
      </c>
    </row>
    <row r="232" spans="1:11">
      <c r="A232" s="18" t="s">
        <v>54</v>
      </c>
      <c r="B232" s="18" t="s">
        <v>308</v>
      </c>
      <c r="C232" s="18" t="s">
        <v>320</v>
      </c>
      <c r="D232" s="18" t="s">
        <v>329</v>
      </c>
      <c r="E232" s="18"/>
      <c r="F232" s="18" t="s">
        <v>337</v>
      </c>
      <c r="G232" s="28" t="s">
        <v>338</v>
      </c>
      <c r="H232" s="72" t="s">
        <v>340</v>
      </c>
      <c r="I232" s="72"/>
      <c r="J232" s="18" t="s">
        <v>315</v>
      </c>
      <c r="K232" s="18" t="s">
        <v>339</v>
      </c>
    </row>
    <row r="233" spans="1:11">
      <c r="A233" s="18" t="s">
        <v>54</v>
      </c>
      <c r="B233" s="18" t="s">
        <v>308</v>
      </c>
      <c r="C233" s="18" t="s">
        <v>320</v>
      </c>
      <c r="D233" s="18" t="s">
        <v>329</v>
      </c>
      <c r="E233" s="18"/>
      <c r="F233" s="18" t="s">
        <v>341</v>
      </c>
      <c r="G233" s="28" t="s">
        <v>342</v>
      </c>
      <c r="H233" s="72" t="s">
        <v>344</v>
      </c>
      <c r="I233" s="72"/>
      <c r="J233" s="18" t="s">
        <v>315</v>
      </c>
      <c r="K233" s="18" t="s">
        <v>343</v>
      </c>
    </row>
    <row r="234" spans="1:11">
      <c r="A234" s="18" t="s">
        <v>54</v>
      </c>
      <c r="B234" s="18" t="s">
        <v>308</v>
      </c>
      <c r="C234" s="18" t="s">
        <v>320</v>
      </c>
      <c r="D234" s="18" t="s">
        <v>329</v>
      </c>
      <c r="E234" s="18"/>
      <c r="F234" s="18" t="s">
        <v>345</v>
      </c>
      <c r="G234" s="28" t="s">
        <v>346</v>
      </c>
      <c r="H234" s="72" t="s">
        <v>348</v>
      </c>
      <c r="I234" s="72"/>
      <c r="J234" s="18" t="s">
        <v>315</v>
      </c>
      <c r="K234" s="18" t="s">
        <v>347</v>
      </c>
    </row>
    <row r="235" spans="1:11">
      <c r="A235" s="18" t="s">
        <v>54</v>
      </c>
      <c r="B235" s="18" t="s">
        <v>308</v>
      </c>
      <c r="C235" s="18" t="s">
        <v>320</v>
      </c>
      <c r="D235" s="18" t="s">
        <v>329</v>
      </c>
      <c r="E235" s="18"/>
      <c r="F235" s="18" t="s">
        <v>349</v>
      </c>
      <c r="G235" s="28" t="s">
        <v>350</v>
      </c>
      <c r="H235" s="72" t="s">
        <v>352</v>
      </c>
      <c r="I235" s="72"/>
      <c r="J235" s="18" t="s">
        <v>315</v>
      </c>
      <c r="K235" s="18" t="s">
        <v>351</v>
      </c>
    </row>
    <row r="236" spans="1:11" ht="18">
      <c r="A236" s="18" t="s">
        <v>54</v>
      </c>
      <c r="B236" s="18" t="s">
        <v>308</v>
      </c>
      <c r="C236" s="18" t="s">
        <v>320</v>
      </c>
      <c r="D236" s="18"/>
      <c r="E236" s="18"/>
      <c r="F236" s="18" t="s">
        <v>442</v>
      </c>
      <c r="G236" s="28" t="s">
        <v>443</v>
      </c>
      <c r="H236" s="72" t="s">
        <v>622</v>
      </c>
      <c r="I236" s="72">
        <v>1.3</v>
      </c>
      <c r="J236" s="18" t="s">
        <v>445</v>
      </c>
      <c r="K236" s="18" t="s">
        <v>444</v>
      </c>
    </row>
    <row r="237" spans="1:11" ht="18">
      <c r="A237" s="18" t="s">
        <v>54</v>
      </c>
      <c r="B237" s="18" t="s">
        <v>308</v>
      </c>
      <c r="C237" s="18" t="s">
        <v>320</v>
      </c>
      <c r="D237" s="18"/>
      <c r="E237" s="18"/>
      <c r="F237" s="18" t="s">
        <v>455</v>
      </c>
      <c r="G237" s="28" t="s">
        <v>456</v>
      </c>
      <c r="H237" s="72" t="s">
        <v>623</v>
      </c>
      <c r="I237" s="72">
        <v>0.6</v>
      </c>
      <c r="J237" s="18" t="s">
        <v>445</v>
      </c>
      <c r="K237" s="18"/>
    </row>
    <row r="238" spans="1:11" ht="18">
      <c r="A238" s="18" t="s">
        <v>54</v>
      </c>
      <c r="B238" s="18" t="s">
        <v>308</v>
      </c>
      <c r="C238" s="18" t="s">
        <v>320</v>
      </c>
      <c r="D238" s="18"/>
      <c r="E238" s="18"/>
      <c r="F238" s="18" t="s">
        <v>455</v>
      </c>
      <c r="G238" s="28" t="s">
        <v>457</v>
      </c>
      <c r="H238" s="72" t="s">
        <v>624</v>
      </c>
      <c r="I238" s="72">
        <v>1.3</v>
      </c>
      <c r="J238" s="18" t="s">
        <v>445</v>
      </c>
      <c r="K238" s="18" t="s">
        <v>458</v>
      </c>
    </row>
    <row r="239" spans="1:11" ht="18">
      <c r="A239" s="18" t="s">
        <v>54</v>
      </c>
      <c r="B239" s="18" t="s">
        <v>308</v>
      </c>
      <c r="C239" s="18" t="s">
        <v>320</v>
      </c>
      <c r="D239" s="18"/>
      <c r="E239" s="18"/>
      <c r="F239" s="18" t="s">
        <v>474</v>
      </c>
      <c r="G239" s="28" t="s">
        <v>475</v>
      </c>
      <c r="H239" s="72" t="s">
        <v>625</v>
      </c>
      <c r="I239" s="72">
        <v>6.3</v>
      </c>
      <c r="J239" s="18" t="s">
        <v>445</v>
      </c>
      <c r="K239" s="18" t="s">
        <v>476</v>
      </c>
    </row>
    <row r="240" spans="1:11" ht="18">
      <c r="A240" s="18" t="s">
        <v>54</v>
      </c>
      <c r="B240" s="18" t="s">
        <v>308</v>
      </c>
      <c r="C240" s="18" t="s">
        <v>320</v>
      </c>
      <c r="D240" s="18"/>
      <c r="E240" s="18"/>
      <c r="F240" s="18" t="s">
        <v>477</v>
      </c>
      <c r="G240" s="28" t="s">
        <v>478</v>
      </c>
      <c r="H240" s="72" t="s">
        <v>626</v>
      </c>
      <c r="I240" s="72">
        <v>40.6</v>
      </c>
      <c r="J240" s="18" t="s">
        <v>445</v>
      </c>
      <c r="K240" s="18" t="s">
        <v>479</v>
      </c>
    </row>
    <row r="241" spans="1:16" ht="18">
      <c r="A241" s="18" t="s">
        <v>54</v>
      </c>
      <c r="B241" s="18" t="s">
        <v>308</v>
      </c>
      <c r="C241" s="18" t="s">
        <v>320</v>
      </c>
      <c r="D241" s="18"/>
      <c r="E241" s="18"/>
      <c r="F241" s="18" t="s">
        <v>492</v>
      </c>
      <c r="G241" s="28" t="s">
        <v>493</v>
      </c>
      <c r="H241" s="72" t="s">
        <v>627</v>
      </c>
      <c r="I241" s="72">
        <v>1.7</v>
      </c>
      <c r="J241" s="18" t="s">
        <v>445</v>
      </c>
      <c r="K241" s="18" t="s">
        <v>494</v>
      </c>
    </row>
    <row r="242" spans="1:16" ht="18">
      <c r="A242" s="18" t="s">
        <v>54</v>
      </c>
      <c r="B242" s="18" t="s">
        <v>308</v>
      </c>
      <c r="C242" s="18" t="s">
        <v>320</v>
      </c>
      <c r="D242" s="18"/>
      <c r="E242" s="18"/>
      <c r="F242" s="18" t="s">
        <v>495</v>
      </c>
      <c r="G242" s="28" t="s">
        <v>496</v>
      </c>
      <c r="H242" s="72" t="s">
        <v>628</v>
      </c>
      <c r="I242" s="72">
        <v>19.100000000000001</v>
      </c>
      <c r="J242" s="18" t="s">
        <v>445</v>
      </c>
      <c r="K242" s="18" t="s">
        <v>497</v>
      </c>
      <c r="M242" s="2"/>
      <c r="N242" s="2"/>
      <c r="O242" s="2"/>
      <c r="P242" s="2"/>
    </row>
    <row r="243" spans="1:16" ht="18">
      <c r="A243" s="18" t="s">
        <v>54</v>
      </c>
      <c r="B243" s="18" t="s">
        <v>308</v>
      </c>
      <c r="C243" s="18" t="s">
        <v>320</v>
      </c>
      <c r="D243" s="18"/>
      <c r="E243" s="18"/>
      <c r="F243" s="18" t="s">
        <v>508</v>
      </c>
      <c r="G243" s="28" t="s">
        <v>509</v>
      </c>
      <c r="H243" s="72" t="s">
        <v>630</v>
      </c>
      <c r="I243" s="72">
        <v>0.8</v>
      </c>
      <c r="J243" s="18" t="s">
        <v>445</v>
      </c>
      <c r="K243" s="18" t="s">
        <v>510</v>
      </c>
    </row>
    <row r="244" spans="1:16">
      <c r="A244" s="18" t="s">
        <v>54</v>
      </c>
      <c r="B244" s="18" t="s">
        <v>308</v>
      </c>
      <c r="C244" s="18" t="s">
        <v>446</v>
      </c>
      <c r="D244" s="18"/>
      <c r="E244" s="18"/>
      <c r="F244" s="18" t="s">
        <v>447</v>
      </c>
      <c r="G244" s="28" t="s">
        <v>448</v>
      </c>
      <c r="H244" s="72" t="s">
        <v>450</v>
      </c>
      <c r="I244" s="72"/>
      <c r="J244" s="18" t="s">
        <v>315</v>
      </c>
      <c r="K244" s="18" t="s">
        <v>449</v>
      </c>
    </row>
    <row r="245" spans="1:16">
      <c r="A245" s="18" t="s">
        <v>54</v>
      </c>
      <c r="B245" s="18" t="s">
        <v>308</v>
      </c>
      <c r="C245" s="18" t="s">
        <v>446</v>
      </c>
      <c r="D245" s="18"/>
      <c r="E245" s="18"/>
      <c r="F245" s="18" t="s">
        <v>451</v>
      </c>
      <c r="G245" s="28" t="s">
        <v>452</v>
      </c>
      <c r="H245" s="72" t="s">
        <v>695</v>
      </c>
      <c r="I245" s="238"/>
      <c r="J245" s="18" t="s">
        <v>181</v>
      </c>
      <c r="K245" s="122" t="s">
        <v>453</v>
      </c>
    </row>
    <row r="246" spans="1:16">
      <c r="A246" s="18" t="s">
        <v>54</v>
      </c>
      <c r="B246" s="18" t="s">
        <v>308</v>
      </c>
      <c r="C246" s="18" t="s">
        <v>446</v>
      </c>
      <c r="D246" s="18"/>
      <c r="E246" s="18"/>
      <c r="F246" s="18" t="s">
        <v>451</v>
      </c>
      <c r="G246" s="28" t="s">
        <v>454</v>
      </c>
      <c r="H246" s="72" t="s">
        <v>695</v>
      </c>
      <c r="I246" s="238"/>
      <c r="J246" s="18" t="s">
        <v>181</v>
      </c>
      <c r="K246" s="18"/>
    </row>
    <row r="247" spans="1:16">
      <c r="A247" s="18" t="s">
        <v>54</v>
      </c>
      <c r="B247" s="18" t="s">
        <v>308</v>
      </c>
      <c r="C247" s="18" t="s">
        <v>446</v>
      </c>
      <c r="D247" s="18"/>
      <c r="E247" s="18"/>
      <c r="F247" s="18" t="s">
        <v>459</v>
      </c>
      <c r="G247" s="28" t="s">
        <v>460</v>
      </c>
      <c r="H247" s="72" t="s">
        <v>462</v>
      </c>
      <c r="I247" s="72"/>
      <c r="J247" s="18" t="s">
        <v>315</v>
      </c>
      <c r="K247" s="18" t="s">
        <v>461</v>
      </c>
    </row>
    <row r="248" spans="1:16">
      <c r="A248" s="18" t="s">
        <v>54</v>
      </c>
      <c r="B248" s="18" t="s">
        <v>308</v>
      </c>
      <c r="C248" s="18" t="s">
        <v>446</v>
      </c>
      <c r="D248" s="18"/>
      <c r="E248" s="18"/>
      <c r="F248" s="18" t="s">
        <v>463</v>
      </c>
      <c r="G248" s="28" t="s">
        <v>464</v>
      </c>
      <c r="H248" s="72" t="s">
        <v>328</v>
      </c>
      <c r="I248" s="72"/>
      <c r="J248" s="18" t="s">
        <v>315</v>
      </c>
      <c r="K248" s="18"/>
    </row>
    <row r="249" spans="1:16">
      <c r="A249" s="18" t="s">
        <v>54</v>
      </c>
      <c r="B249" s="18" t="s">
        <v>308</v>
      </c>
      <c r="C249" s="18" t="s">
        <v>446</v>
      </c>
      <c r="D249" s="18"/>
      <c r="E249" s="18"/>
      <c r="F249" s="18" t="s">
        <v>463</v>
      </c>
      <c r="G249" s="28" t="s">
        <v>465</v>
      </c>
      <c r="H249" s="72" t="s">
        <v>352</v>
      </c>
      <c r="I249" s="72"/>
      <c r="J249" s="18" t="s">
        <v>315</v>
      </c>
      <c r="K249" s="18" t="s">
        <v>466</v>
      </c>
    </row>
    <row r="250" spans="1:16">
      <c r="A250" s="18" t="s">
        <v>54</v>
      </c>
      <c r="B250" s="18" t="s">
        <v>308</v>
      </c>
      <c r="C250" s="18" t="s">
        <v>446</v>
      </c>
      <c r="D250" s="18"/>
      <c r="E250" s="18"/>
      <c r="F250" s="18" t="s">
        <v>463</v>
      </c>
      <c r="G250" s="28" t="s">
        <v>467</v>
      </c>
      <c r="H250" s="72" t="s">
        <v>352</v>
      </c>
      <c r="I250" s="72"/>
      <c r="J250" s="18" t="s">
        <v>315</v>
      </c>
      <c r="K250" s="18"/>
    </row>
    <row r="251" spans="1:16">
      <c r="A251" s="18" t="s">
        <v>54</v>
      </c>
      <c r="B251" s="18" t="s">
        <v>308</v>
      </c>
      <c r="C251" s="18" t="s">
        <v>446</v>
      </c>
      <c r="D251" s="18"/>
      <c r="E251" s="18"/>
      <c r="F251" s="18" t="s">
        <v>463</v>
      </c>
      <c r="G251" s="28" t="s">
        <v>468</v>
      </c>
      <c r="H251" s="72" t="s">
        <v>469</v>
      </c>
      <c r="I251" s="72"/>
      <c r="J251" s="18" t="s">
        <v>315</v>
      </c>
      <c r="K251" s="18"/>
    </row>
    <row r="252" spans="1:16">
      <c r="A252" s="18" t="s">
        <v>54</v>
      </c>
      <c r="B252" s="18" t="s">
        <v>308</v>
      </c>
      <c r="C252" s="18" t="s">
        <v>446</v>
      </c>
      <c r="D252" s="18"/>
      <c r="E252" s="18"/>
      <c r="F252" s="18" t="s">
        <v>470</v>
      </c>
      <c r="G252" s="28" t="s">
        <v>471</v>
      </c>
      <c r="H252" s="72" t="s">
        <v>473</v>
      </c>
      <c r="I252" s="72"/>
      <c r="J252" s="18" t="s">
        <v>315</v>
      </c>
      <c r="K252" s="18" t="s">
        <v>472</v>
      </c>
    </row>
    <row r="253" spans="1:16">
      <c r="A253" s="18" t="s">
        <v>54</v>
      </c>
      <c r="B253" s="18" t="s">
        <v>308</v>
      </c>
      <c r="C253" s="18" t="s">
        <v>446</v>
      </c>
      <c r="D253" s="18"/>
      <c r="E253" s="18"/>
      <c r="F253" s="18" t="s">
        <v>480</v>
      </c>
      <c r="G253" s="28" t="s">
        <v>481</v>
      </c>
      <c r="H253" s="119">
        <f>(0.00011)/134.193</f>
        <v>8.1971488825795676E-7</v>
      </c>
      <c r="I253" s="72">
        <v>0.02</v>
      </c>
      <c r="J253" s="18" t="s">
        <v>142</v>
      </c>
      <c r="K253" s="18"/>
    </row>
    <row r="254" spans="1:16">
      <c r="A254" s="18" t="s">
        <v>54</v>
      </c>
      <c r="B254" s="18" t="s">
        <v>308</v>
      </c>
      <c r="C254" s="18" t="s">
        <v>446</v>
      </c>
      <c r="D254" s="18"/>
      <c r="E254" s="18"/>
      <c r="F254" s="18" t="s">
        <v>480</v>
      </c>
      <c r="G254" s="28" t="s">
        <v>482</v>
      </c>
      <c r="H254" s="119">
        <f>(0.00016)/134.193</f>
        <v>1.1923125647388463E-6</v>
      </c>
      <c r="I254" s="72">
        <v>0.03</v>
      </c>
      <c r="J254" s="18" t="s">
        <v>142</v>
      </c>
      <c r="K254" s="18"/>
    </row>
    <row r="255" spans="1:16">
      <c r="A255" s="18" t="s">
        <v>54</v>
      </c>
      <c r="B255" s="18" t="s">
        <v>308</v>
      </c>
      <c r="C255" s="18" t="s">
        <v>446</v>
      </c>
      <c r="D255" s="18"/>
      <c r="E255" s="18"/>
      <c r="F255" s="18" t="s">
        <v>480</v>
      </c>
      <c r="G255" s="28" t="s">
        <v>483</v>
      </c>
      <c r="H255" s="119">
        <f>(0.00016)/134.193</f>
        <v>1.1923125647388463E-6</v>
      </c>
      <c r="I255" s="72">
        <v>0.03</v>
      </c>
      <c r="J255" s="18" t="s">
        <v>142</v>
      </c>
      <c r="K255" s="18"/>
    </row>
    <row r="256" spans="1:16">
      <c r="A256" s="18" t="s">
        <v>54</v>
      </c>
      <c r="B256" s="18" t="s">
        <v>308</v>
      </c>
      <c r="C256" s="18" t="s">
        <v>446</v>
      </c>
      <c r="D256" s="18"/>
      <c r="E256" s="18"/>
      <c r="F256" s="18" t="s">
        <v>480</v>
      </c>
      <c r="G256" s="28" t="s">
        <v>484</v>
      </c>
      <c r="H256" s="119">
        <f>(0.00019)/134.193</f>
        <v>1.4158711706273798E-6</v>
      </c>
      <c r="I256" s="72">
        <v>0.03</v>
      </c>
      <c r="J256" s="18" t="s">
        <v>142</v>
      </c>
      <c r="K256" s="18"/>
    </row>
    <row r="257" spans="1:11">
      <c r="A257" s="18" t="s">
        <v>54</v>
      </c>
      <c r="B257" s="18" t="s">
        <v>308</v>
      </c>
      <c r="C257" s="18" t="s">
        <v>446</v>
      </c>
      <c r="D257" s="18"/>
      <c r="E257" s="18"/>
      <c r="F257" s="18" t="s">
        <v>480</v>
      </c>
      <c r="G257" s="28" t="s">
        <v>485</v>
      </c>
      <c r="H257" s="119">
        <f>(0.00029)/134.193</f>
        <v>2.1610665235891586E-6</v>
      </c>
      <c r="I257" s="72">
        <v>0.05</v>
      </c>
      <c r="J257" s="18" t="s">
        <v>142</v>
      </c>
      <c r="K257" s="18"/>
    </row>
    <row r="258" spans="1:11">
      <c r="A258" s="18" t="s">
        <v>54</v>
      </c>
      <c r="B258" s="18" t="s">
        <v>308</v>
      </c>
      <c r="C258" s="18" t="s">
        <v>446</v>
      </c>
      <c r="D258" s="18"/>
      <c r="E258" s="18"/>
      <c r="F258" s="18" t="s">
        <v>480</v>
      </c>
      <c r="G258" s="28" t="s">
        <v>486</v>
      </c>
      <c r="H258" s="119">
        <f>(0.00071)/134.193</f>
        <v>5.2908870060286298E-6</v>
      </c>
      <c r="I258" s="72">
        <v>0.12</v>
      </c>
      <c r="J258" s="18" t="s">
        <v>142</v>
      </c>
      <c r="K258" s="18" t="s">
        <v>487</v>
      </c>
    </row>
    <row r="259" spans="1:11">
      <c r="A259" s="18" t="s">
        <v>54</v>
      </c>
      <c r="B259" s="18" t="s">
        <v>308</v>
      </c>
      <c r="C259" s="18" t="s">
        <v>446</v>
      </c>
      <c r="D259" s="18"/>
      <c r="E259" s="18"/>
      <c r="F259" s="18" t="s">
        <v>480</v>
      </c>
      <c r="G259" s="28" t="s">
        <v>488</v>
      </c>
      <c r="H259" s="119" t="s">
        <v>490</v>
      </c>
      <c r="I259" s="72" t="s">
        <v>491</v>
      </c>
      <c r="J259" s="18" t="s">
        <v>142</v>
      </c>
      <c r="K259" s="18" t="s">
        <v>489</v>
      </c>
    </row>
    <row r="260" spans="1:11">
      <c r="A260" s="18" t="s">
        <v>54</v>
      </c>
      <c r="B260" s="18" t="s">
        <v>308</v>
      </c>
      <c r="C260" s="18" t="s">
        <v>446</v>
      </c>
      <c r="D260" s="18"/>
      <c r="E260" s="18"/>
      <c r="F260" s="18" t="s">
        <v>498</v>
      </c>
      <c r="G260" s="28" t="s">
        <v>499</v>
      </c>
      <c r="H260" s="119">
        <f>(0.001)/134.193</f>
        <v>7.4519535296177888E-6</v>
      </c>
      <c r="I260" s="72">
        <v>0.03</v>
      </c>
      <c r="J260" s="18" t="s">
        <v>142</v>
      </c>
      <c r="K260" s="18" t="s">
        <v>500</v>
      </c>
    </row>
    <row r="261" spans="1:11">
      <c r="A261" s="18" t="s">
        <v>54</v>
      </c>
      <c r="B261" s="18" t="s">
        <v>308</v>
      </c>
      <c r="C261" s="18" t="s">
        <v>446</v>
      </c>
      <c r="D261" s="18"/>
      <c r="E261" s="18"/>
      <c r="F261" s="18" t="s">
        <v>498</v>
      </c>
      <c r="G261" s="28" t="s">
        <v>501</v>
      </c>
      <c r="H261" s="119">
        <f>(0.014)/134.193</f>
        <v>1.0432734941464905E-4</v>
      </c>
      <c r="I261" s="72">
        <v>0.7</v>
      </c>
      <c r="J261" s="18" t="s">
        <v>142</v>
      </c>
      <c r="K261" s="18" t="s">
        <v>502</v>
      </c>
    </row>
    <row r="262" spans="1:11" ht="18">
      <c r="A262" s="18" t="s">
        <v>54</v>
      </c>
      <c r="B262" s="18" t="s">
        <v>308</v>
      </c>
      <c r="C262" s="18" t="s">
        <v>446</v>
      </c>
      <c r="D262" s="18"/>
      <c r="E262" s="18"/>
      <c r="F262" s="18" t="s">
        <v>503</v>
      </c>
      <c r="G262" s="28" t="s">
        <v>504</v>
      </c>
      <c r="H262" s="72" t="s">
        <v>629</v>
      </c>
      <c r="I262" s="238"/>
      <c r="J262" s="18" t="s">
        <v>181</v>
      </c>
      <c r="K262" s="18"/>
    </row>
    <row r="263" spans="1:11">
      <c r="A263" s="18" t="s">
        <v>54</v>
      </c>
      <c r="B263" s="18" t="s">
        <v>308</v>
      </c>
      <c r="C263" s="18" t="s">
        <v>446</v>
      </c>
      <c r="D263" s="18"/>
      <c r="E263" s="18"/>
      <c r="F263" s="18" t="s">
        <v>505</v>
      </c>
      <c r="G263" s="28" t="s">
        <v>506</v>
      </c>
      <c r="H263" s="72" t="s">
        <v>507</v>
      </c>
      <c r="I263" s="72"/>
      <c r="J263" s="18" t="s">
        <v>315</v>
      </c>
      <c r="K263" s="18"/>
    </row>
    <row r="264" spans="1:11">
      <c r="A264" s="18" t="s">
        <v>54</v>
      </c>
      <c r="B264" s="18" t="s">
        <v>308</v>
      </c>
      <c r="C264" s="18" t="s">
        <v>446</v>
      </c>
      <c r="D264" s="18"/>
      <c r="E264" s="18"/>
      <c r="F264" s="18" t="s">
        <v>59</v>
      </c>
      <c r="G264" s="28" t="s">
        <v>60</v>
      </c>
      <c r="H264" s="72"/>
      <c r="I264" s="72">
        <v>0.05</v>
      </c>
      <c r="J264" s="236" t="s">
        <v>58</v>
      </c>
      <c r="K264" s="18" t="s">
        <v>511</v>
      </c>
    </row>
    <row r="265" spans="1:11">
      <c r="A265" s="18" t="s">
        <v>54</v>
      </c>
      <c r="B265" s="18" t="s">
        <v>308</v>
      </c>
      <c r="C265" s="18" t="s">
        <v>446</v>
      </c>
      <c r="D265" s="18"/>
      <c r="E265" s="18"/>
      <c r="F265" s="18" t="s">
        <v>59</v>
      </c>
      <c r="G265" s="28">
        <v>2175</v>
      </c>
      <c r="H265" s="72" t="s">
        <v>695</v>
      </c>
      <c r="I265" s="238"/>
      <c r="J265" s="18" t="s">
        <v>181</v>
      </c>
      <c r="K265" s="18"/>
    </row>
    <row r="266" spans="1:11">
      <c r="A266" s="18" t="s">
        <v>54</v>
      </c>
      <c r="B266" s="18" t="s">
        <v>308</v>
      </c>
      <c r="C266" s="18" t="s">
        <v>309</v>
      </c>
      <c r="D266" s="18" t="s">
        <v>310</v>
      </c>
      <c r="E266" s="18"/>
      <c r="F266" s="18" t="s">
        <v>311</v>
      </c>
      <c r="G266" s="28" t="s">
        <v>312</v>
      </c>
      <c r="H266" s="72" t="s">
        <v>314</v>
      </c>
      <c r="I266" s="72"/>
      <c r="J266" s="18" t="s">
        <v>315</v>
      </c>
      <c r="K266" s="18" t="s">
        <v>313</v>
      </c>
    </row>
    <row r="267" spans="1:11">
      <c r="A267" s="18" t="s">
        <v>54</v>
      </c>
      <c r="B267" s="18" t="s">
        <v>308</v>
      </c>
      <c r="C267" s="18" t="s">
        <v>309</v>
      </c>
      <c r="D267" s="18" t="s">
        <v>310</v>
      </c>
      <c r="E267" s="18"/>
      <c r="F267" s="18" t="s">
        <v>316</v>
      </c>
      <c r="G267" s="28" t="s">
        <v>317</v>
      </c>
      <c r="H267" s="72" t="s">
        <v>319</v>
      </c>
      <c r="I267" s="72"/>
      <c r="J267" s="18" t="s">
        <v>315</v>
      </c>
      <c r="K267" s="18" t="s">
        <v>318</v>
      </c>
    </row>
    <row r="268" spans="1:11">
      <c r="A268" s="18" t="s">
        <v>512</v>
      </c>
      <c r="B268" s="18" t="s">
        <v>308</v>
      </c>
      <c r="C268" s="18" t="s">
        <v>446</v>
      </c>
      <c r="D268" s="18"/>
      <c r="E268" s="18"/>
      <c r="F268" s="18" t="s">
        <v>498</v>
      </c>
      <c r="G268" s="28" t="s">
        <v>567</v>
      </c>
      <c r="H268" s="66" t="s">
        <v>515</v>
      </c>
      <c r="I268" s="66"/>
      <c r="J268" s="18" t="s">
        <v>142</v>
      </c>
      <c r="K268" s="18"/>
    </row>
    <row r="269" spans="1:11">
      <c r="A269" s="18" t="s">
        <v>512</v>
      </c>
      <c r="B269" s="18" t="s">
        <v>308</v>
      </c>
      <c r="C269" s="18" t="s">
        <v>446</v>
      </c>
      <c r="D269" s="18"/>
      <c r="E269" s="18"/>
      <c r="F269" s="18" t="s">
        <v>571</v>
      </c>
      <c r="G269" s="28" t="s">
        <v>572</v>
      </c>
      <c r="H269" s="72" t="s">
        <v>695</v>
      </c>
      <c r="I269" s="238"/>
      <c r="J269" s="18" t="s">
        <v>574</v>
      </c>
      <c r="K269" s="18" t="s">
        <v>573</v>
      </c>
    </row>
    <row r="270" spans="1:11">
      <c r="A270" s="18" t="s">
        <v>512</v>
      </c>
      <c r="B270" s="18" t="s">
        <v>308</v>
      </c>
      <c r="C270" s="18" t="s">
        <v>446</v>
      </c>
      <c r="D270" s="18"/>
      <c r="E270" s="18"/>
      <c r="F270" s="18" t="s">
        <v>503</v>
      </c>
      <c r="G270" s="28" t="s">
        <v>575</v>
      </c>
      <c r="H270" s="72" t="s">
        <v>515</v>
      </c>
      <c r="I270" s="72"/>
      <c r="J270" s="18" t="s">
        <v>181</v>
      </c>
      <c r="K270" s="18"/>
    </row>
    <row r="271" spans="1:11">
      <c r="A271" s="18" t="s">
        <v>512</v>
      </c>
      <c r="B271" s="18" t="s">
        <v>308</v>
      </c>
      <c r="C271" s="18" t="s">
        <v>446</v>
      </c>
      <c r="D271" s="18"/>
      <c r="E271" s="18"/>
      <c r="F271" s="18" t="s">
        <v>503</v>
      </c>
      <c r="G271" s="28" t="s">
        <v>576</v>
      </c>
      <c r="H271" s="72" t="s">
        <v>515</v>
      </c>
      <c r="I271" s="72"/>
      <c r="J271" s="18" t="s">
        <v>181</v>
      </c>
      <c r="K271" s="18"/>
    </row>
    <row r="272" spans="1:11">
      <c r="A272" s="18" t="s">
        <v>512</v>
      </c>
      <c r="B272" s="18" t="s">
        <v>308</v>
      </c>
      <c r="C272" s="18" t="s">
        <v>446</v>
      </c>
      <c r="D272" s="18"/>
      <c r="E272" s="18"/>
      <c r="F272" s="18" t="s">
        <v>503</v>
      </c>
      <c r="G272" s="28" t="s">
        <v>577</v>
      </c>
      <c r="H272" s="72" t="s">
        <v>515</v>
      </c>
      <c r="I272" s="72"/>
      <c r="J272" s="18" t="s">
        <v>181</v>
      </c>
      <c r="K272" s="18"/>
    </row>
    <row r="273" spans="1:11">
      <c r="A273" s="18" t="s">
        <v>512</v>
      </c>
      <c r="B273" s="18" t="s">
        <v>308</v>
      </c>
      <c r="C273" s="18" t="s">
        <v>446</v>
      </c>
      <c r="D273" s="18"/>
      <c r="E273" s="18"/>
      <c r="F273" s="18" t="s">
        <v>503</v>
      </c>
      <c r="G273" s="28" t="s">
        <v>578</v>
      </c>
      <c r="H273" s="72" t="s">
        <v>515</v>
      </c>
      <c r="I273" s="72"/>
      <c r="J273" s="18" t="s">
        <v>181</v>
      </c>
      <c r="K273" s="18"/>
    </row>
    <row r="274" spans="1:11">
      <c r="A274" s="18" t="s">
        <v>512</v>
      </c>
      <c r="B274" s="18" t="s">
        <v>308</v>
      </c>
      <c r="C274" s="18" t="s">
        <v>446</v>
      </c>
      <c r="D274" s="18"/>
      <c r="E274" s="18"/>
      <c r="F274" s="18" t="s">
        <v>503</v>
      </c>
      <c r="G274" s="28" t="s">
        <v>579</v>
      </c>
      <c r="H274" s="72" t="s">
        <v>515</v>
      </c>
      <c r="I274" s="72"/>
      <c r="J274" s="18" t="s">
        <v>181</v>
      </c>
      <c r="K274" s="18"/>
    </row>
    <row r="275" spans="1:11">
      <c r="A275" s="18" t="s">
        <v>512</v>
      </c>
      <c r="B275" s="18" t="s">
        <v>308</v>
      </c>
      <c r="C275" s="18" t="s">
        <v>446</v>
      </c>
      <c r="D275" s="18"/>
      <c r="E275" s="18"/>
      <c r="F275" s="18" t="s">
        <v>503</v>
      </c>
      <c r="G275" s="28" t="s">
        <v>580</v>
      </c>
      <c r="H275" s="72" t="s">
        <v>515</v>
      </c>
      <c r="I275" s="72"/>
      <c r="J275" s="18" t="s">
        <v>181</v>
      </c>
      <c r="K275" s="18"/>
    </row>
    <row r="276" spans="1:11">
      <c r="A276" s="18" t="s">
        <v>512</v>
      </c>
      <c r="B276" s="18" t="s">
        <v>308</v>
      </c>
      <c r="C276" s="18" t="s">
        <v>446</v>
      </c>
      <c r="D276" s="18"/>
      <c r="E276" s="18"/>
      <c r="F276" s="18" t="s">
        <v>503</v>
      </c>
      <c r="G276" s="28" t="s">
        <v>581</v>
      </c>
      <c r="H276" s="72" t="s">
        <v>515</v>
      </c>
      <c r="I276" s="72"/>
      <c r="J276" s="18" t="s">
        <v>181</v>
      </c>
      <c r="K276" s="18"/>
    </row>
    <row r="277" spans="1:11">
      <c r="A277" s="18" t="s">
        <v>512</v>
      </c>
      <c r="B277" s="18" t="s">
        <v>308</v>
      </c>
      <c r="C277" s="18" t="s">
        <v>446</v>
      </c>
      <c r="D277" s="18"/>
      <c r="E277" s="18"/>
      <c r="F277" s="18" t="s">
        <v>503</v>
      </c>
      <c r="G277" s="28" t="s">
        <v>582</v>
      </c>
      <c r="H277" s="72" t="s">
        <v>515</v>
      </c>
      <c r="I277" s="72"/>
      <c r="J277" s="18" t="s">
        <v>181</v>
      </c>
      <c r="K277" s="18"/>
    </row>
    <row r="278" spans="1:11">
      <c r="A278" s="18" t="s">
        <v>512</v>
      </c>
      <c r="B278" s="18" t="s">
        <v>308</v>
      </c>
      <c r="C278" s="18" t="s">
        <v>446</v>
      </c>
      <c r="D278" s="18"/>
      <c r="E278" s="18"/>
      <c r="F278" s="18" t="s">
        <v>503</v>
      </c>
      <c r="G278" s="28" t="s">
        <v>583</v>
      </c>
      <c r="H278" s="72" t="s">
        <v>515</v>
      </c>
      <c r="I278" s="72"/>
      <c r="J278" s="18" t="s">
        <v>181</v>
      </c>
      <c r="K278" s="18"/>
    </row>
    <row r="279" spans="1:11">
      <c r="A279" s="18" t="s">
        <v>512</v>
      </c>
      <c r="B279" s="18" t="s">
        <v>308</v>
      </c>
      <c r="C279" s="18" t="s">
        <v>446</v>
      </c>
      <c r="D279" s="18"/>
      <c r="E279" s="18"/>
      <c r="F279" s="18" t="s">
        <v>503</v>
      </c>
      <c r="G279" s="28" t="s">
        <v>584</v>
      </c>
      <c r="H279" s="72" t="s">
        <v>515</v>
      </c>
      <c r="I279" s="72"/>
      <c r="J279" s="18" t="s">
        <v>181</v>
      </c>
      <c r="K279" s="18"/>
    </row>
    <row r="280" spans="1:11">
      <c r="A280" s="18" t="s">
        <v>512</v>
      </c>
      <c r="B280" s="18" t="s">
        <v>308</v>
      </c>
      <c r="C280" s="18" t="s">
        <v>446</v>
      </c>
      <c r="D280" s="18"/>
      <c r="E280" s="18"/>
      <c r="F280" s="18" t="s">
        <v>588</v>
      </c>
      <c r="G280" s="28" t="s">
        <v>589</v>
      </c>
      <c r="H280" s="72" t="s">
        <v>695</v>
      </c>
      <c r="I280" s="238"/>
      <c r="J280" s="236" t="s">
        <v>181</v>
      </c>
      <c r="K280" s="18" t="s">
        <v>590</v>
      </c>
    </row>
    <row r="281" spans="1:11">
      <c r="A281" s="18" t="s">
        <v>512</v>
      </c>
      <c r="B281" s="18" t="s">
        <v>308</v>
      </c>
      <c r="C281" s="18" t="s">
        <v>446</v>
      </c>
      <c r="D281" s="18"/>
      <c r="E281" s="18"/>
      <c r="F281" s="18" t="s">
        <v>594</v>
      </c>
      <c r="G281" s="28"/>
      <c r="H281" s="72" t="s">
        <v>515</v>
      </c>
      <c r="I281" s="72"/>
      <c r="J281" s="236" t="s">
        <v>181</v>
      </c>
      <c r="K281" s="18"/>
    </row>
    <row r="282" spans="1:11">
      <c r="A282" s="18" t="s">
        <v>512</v>
      </c>
      <c r="B282" s="18" t="s">
        <v>308</v>
      </c>
      <c r="C282" s="18" t="s">
        <v>568</v>
      </c>
      <c r="D282" s="18"/>
      <c r="E282" s="18"/>
      <c r="F282" s="18" t="s">
        <v>569</v>
      </c>
      <c r="G282" s="28" t="s">
        <v>570</v>
      </c>
      <c r="H282" s="125" t="s">
        <v>515</v>
      </c>
      <c r="I282" s="72"/>
      <c r="J282" s="18" t="s">
        <v>78</v>
      </c>
      <c r="K282" s="18"/>
    </row>
    <row r="283" spans="1:11" ht="18">
      <c r="A283" s="18" t="s">
        <v>512</v>
      </c>
      <c r="B283" s="18" t="s">
        <v>308</v>
      </c>
      <c r="C283" s="18" t="s">
        <v>568</v>
      </c>
      <c r="D283" s="18"/>
      <c r="E283" s="18"/>
      <c r="F283" s="18" t="s">
        <v>585</v>
      </c>
      <c r="G283" s="28" t="s">
        <v>633</v>
      </c>
      <c r="H283" s="125" t="s">
        <v>515</v>
      </c>
      <c r="I283" s="72"/>
      <c r="J283" s="18" t="s">
        <v>78</v>
      </c>
      <c r="K283" s="18"/>
    </row>
    <row r="284" spans="1:11">
      <c r="A284" s="18" t="s">
        <v>512</v>
      </c>
      <c r="B284" s="18" t="s">
        <v>308</v>
      </c>
      <c r="C284" s="18" t="s">
        <v>568</v>
      </c>
      <c r="D284" s="18"/>
      <c r="E284" s="18"/>
      <c r="F284" s="18" t="s">
        <v>585</v>
      </c>
      <c r="G284" s="28" t="s">
        <v>586</v>
      </c>
      <c r="H284" s="125" t="s">
        <v>515</v>
      </c>
      <c r="I284" s="72"/>
      <c r="J284" s="18" t="s">
        <v>78</v>
      </c>
      <c r="K284" s="18"/>
    </row>
    <row r="285" spans="1:11">
      <c r="A285" s="18" t="s">
        <v>512</v>
      </c>
      <c r="B285" s="18" t="s">
        <v>308</v>
      </c>
      <c r="C285" s="18" t="s">
        <v>568</v>
      </c>
      <c r="D285" s="18"/>
      <c r="E285" s="18"/>
      <c r="F285" s="18" t="s">
        <v>585</v>
      </c>
      <c r="G285" s="28" t="s">
        <v>587</v>
      </c>
      <c r="H285" s="125" t="s">
        <v>515</v>
      </c>
      <c r="I285" s="72"/>
      <c r="J285" s="18" t="s">
        <v>78</v>
      </c>
      <c r="K285" s="18"/>
    </row>
    <row r="286" spans="1:11">
      <c r="A286" s="18" t="s">
        <v>512</v>
      </c>
      <c r="B286" s="18" t="s">
        <v>308</v>
      </c>
      <c r="C286" s="18" t="s">
        <v>568</v>
      </c>
      <c r="D286" s="18"/>
      <c r="E286" s="18"/>
      <c r="F286" s="18" t="s">
        <v>505</v>
      </c>
      <c r="G286" s="28" t="s">
        <v>591</v>
      </c>
      <c r="H286" s="125" t="s">
        <v>515</v>
      </c>
      <c r="I286" s="72"/>
      <c r="J286" s="18" t="s">
        <v>78</v>
      </c>
      <c r="K286" s="18"/>
    </row>
    <row r="287" spans="1:11">
      <c r="A287" s="18" t="s">
        <v>512</v>
      </c>
      <c r="B287" s="18" t="s">
        <v>308</v>
      </c>
      <c r="C287" s="18" t="s">
        <v>568</v>
      </c>
      <c r="D287" s="18"/>
      <c r="E287" s="18"/>
      <c r="F287" s="18" t="s">
        <v>592</v>
      </c>
      <c r="G287" s="28" t="s">
        <v>593</v>
      </c>
      <c r="H287" s="125" t="s">
        <v>515</v>
      </c>
      <c r="I287" s="72"/>
      <c r="J287" s="18" t="s">
        <v>78</v>
      </c>
      <c r="K287" s="18"/>
    </row>
    <row r="288" spans="1:11">
      <c r="A288" s="114"/>
    </row>
    <row r="289" spans="1:1">
      <c r="A289" s="114"/>
    </row>
    <row r="291" spans="1:1" ht="18">
      <c r="A291" s="118"/>
    </row>
    <row r="292" spans="1:1">
      <c r="A292" s="114"/>
    </row>
    <row r="293" spans="1:1">
      <c r="A293" s="114"/>
    </row>
    <row r="294" spans="1:1">
      <c r="A294" s="114"/>
    </row>
    <row r="295" spans="1:1">
      <c r="A295" s="114"/>
    </row>
    <row r="296" spans="1:1">
      <c r="A296" s="114"/>
    </row>
    <row r="297" spans="1:1">
      <c r="A297" s="114"/>
    </row>
    <row r="298" spans="1:1">
      <c r="A298" s="114"/>
    </row>
    <row r="299" spans="1:1">
      <c r="A299" s="114"/>
    </row>
    <row r="300" spans="1:1">
      <c r="A300" s="114"/>
    </row>
    <row r="301" spans="1:1">
      <c r="A301" s="114"/>
    </row>
    <row r="302" spans="1:1">
      <c r="A302" s="114"/>
    </row>
    <row r="303" spans="1:1">
      <c r="A303" s="114"/>
    </row>
    <row r="304" spans="1:1">
      <c r="A304" s="114"/>
    </row>
    <row r="305" spans="1:1">
      <c r="A305" s="114"/>
    </row>
  </sheetData>
  <sortState xmlns:xlrd2="http://schemas.microsoft.com/office/spreadsheetml/2017/richdata2" ref="A2:K287">
    <sortCondition ref="E2:E287"/>
    <sortCondition ref="A2:A287"/>
    <sortCondition ref="C2:C287"/>
    <sortCondition ref="D2:D287"/>
  </sortState>
  <phoneticPr fontId="18" type="noConversion"/>
  <pageMargins left="0.7" right="0.69444444444444442" top="0.75" bottom="0.75" header="0.3" footer="0.3"/>
  <pageSetup scale="38" fitToHeight="3" orientation="portrait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151"/>
  <sheetViews>
    <sheetView zoomScale="90" zoomScaleNormal="90" zoomScalePageLayoutView="90" workbookViewId="0">
      <selection activeCell="B10" sqref="B10"/>
    </sheetView>
  </sheetViews>
  <sheetFormatPr baseColWidth="10" defaultRowHeight="16"/>
  <cols>
    <col min="1" max="1" width="25.1640625" style="16" bestFit="1" customWidth="1"/>
    <col min="2" max="2" width="24.1640625" style="110" bestFit="1" customWidth="1"/>
    <col min="3" max="3" width="10.83203125" style="16"/>
    <col min="4" max="4" width="11.5" style="111" customWidth="1"/>
    <col min="5" max="5" width="10.83203125" style="16"/>
    <col min="6" max="6" width="13" style="16" customWidth="1"/>
    <col min="7" max="8" width="10.83203125" style="16"/>
    <col min="9" max="9" width="18.5" style="16" bestFit="1" customWidth="1"/>
    <col min="10" max="10" width="11.6640625" style="16" bestFit="1" customWidth="1"/>
    <col min="11" max="11" width="14.83203125" style="16" customWidth="1"/>
    <col min="12" max="12" width="12" style="16" customWidth="1"/>
    <col min="13" max="13" width="10.83203125" style="1"/>
    <col min="14" max="14" width="11.5" style="1" customWidth="1"/>
    <col min="15" max="18" width="10.83203125" style="5"/>
    <col min="40" max="16384" width="10.83203125" style="5"/>
  </cols>
  <sheetData>
    <row r="1" spans="1:39" ht="52" thickBot="1">
      <c r="A1" s="129"/>
      <c r="B1" s="130" t="s">
        <v>0</v>
      </c>
      <c r="C1" s="130" t="s">
        <v>1</v>
      </c>
      <c r="D1" s="131" t="s">
        <v>736</v>
      </c>
      <c r="E1" s="130" t="s">
        <v>2</v>
      </c>
      <c r="F1" s="130" t="s">
        <v>740</v>
      </c>
      <c r="G1" s="130" t="s">
        <v>3</v>
      </c>
      <c r="H1" s="130" t="s">
        <v>4</v>
      </c>
      <c r="I1" s="130" t="s">
        <v>5</v>
      </c>
      <c r="J1" s="130" t="s">
        <v>6</v>
      </c>
      <c r="K1" s="130" t="s">
        <v>647</v>
      </c>
      <c r="L1" s="130" t="s">
        <v>7</v>
      </c>
      <c r="N1" s="2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39">
      <c r="A2" s="19" t="s">
        <v>8</v>
      </c>
      <c r="B2" s="20" t="s">
        <v>9</v>
      </c>
      <c r="C2" s="21" t="s">
        <v>10</v>
      </c>
      <c r="D2" s="22" t="s">
        <v>11</v>
      </c>
      <c r="E2" s="21">
        <v>17</v>
      </c>
      <c r="F2" s="21">
        <v>85</v>
      </c>
      <c r="G2" s="23">
        <v>0.59027777777777779</v>
      </c>
      <c r="H2" s="23" t="s">
        <v>12</v>
      </c>
      <c r="I2" s="21" t="s">
        <v>13</v>
      </c>
      <c r="J2" s="21">
        <v>0.47</v>
      </c>
      <c r="K2" s="24">
        <v>1</v>
      </c>
      <c r="L2" s="25">
        <v>187</v>
      </c>
      <c r="N2" s="6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>
      <c r="A3" s="26"/>
      <c r="B3" s="27" t="s">
        <v>9</v>
      </c>
      <c r="C3" s="18"/>
      <c r="D3" s="28"/>
      <c r="E3" s="18"/>
      <c r="F3" s="18"/>
      <c r="G3" s="29"/>
      <c r="H3" s="29"/>
      <c r="I3" s="18"/>
      <c r="J3" s="18">
        <v>0.23</v>
      </c>
      <c r="K3" s="30">
        <f>J3/J2</f>
        <v>0.48936170212765961</v>
      </c>
      <c r="L3" s="31">
        <v>409</v>
      </c>
      <c r="N3" s="6"/>
      <c r="S3" s="6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>
      <c r="A4" s="32"/>
      <c r="B4" s="33" t="s">
        <v>14</v>
      </c>
      <c r="C4" s="34" t="s">
        <v>15</v>
      </c>
      <c r="D4" s="35" t="s">
        <v>11</v>
      </c>
      <c r="E4" s="34">
        <v>17</v>
      </c>
      <c r="F4" s="34">
        <v>85</v>
      </c>
      <c r="G4" s="36">
        <v>0.59027777777777779</v>
      </c>
      <c r="H4" s="36" t="s">
        <v>12</v>
      </c>
      <c r="I4" s="34" t="s">
        <v>13</v>
      </c>
      <c r="J4" s="34">
        <v>0.49</v>
      </c>
      <c r="K4" s="37">
        <v>1</v>
      </c>
      <c r="L4" s="38">
        <v>541</v>
      </c>
      <c r="N4" s="6"/>
      <c r="Q4" s="7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>
      <c r="A5" s="32"/>
      <c r="B5" s="33" t="s">
        <v>14</v>
      </c>
      <c r="C5" s="34"/>
      <c r="D5" s="35"/>
      <c r="E5" s="34"/>
      <c r="F5" s="34"/>
      <c r="G5" s="36"/>
      <c r="H5" s="36"/>
      <c r="I5" s="34"/>
      <c r="J5" s="34">
        <v>0.42</v>
      </c>
      <c r="K5" s="37">
        <f>J5/J4</f>
        <v>0.8571428571428571</v>
      </c>
      <c r="L5" s="38">
        <v>613</v>
      </c>
      <c r="N5" s="6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>
      <c r="A6" s="26"/>
      <c r="B6" s="27" t="s">
        <v>16</v>
      </c>
      <c r="C6" s="18" t="s">
        <v>17</v>
      </c>
      <c r="D6" s="28" t="s">
        <v>11</v>
      </c>
      <c r="E6" s="18">
        <v>17</v>
      </c>
      <c r="F6" s="18">
        <v>85</v>
      </c>
      <c r="G6" s="29">
        <v>0.59027777777777779</v>
      </c>
      <c r="H6" s="29" t="s">
        <v>12</v>
      </c>
      <c r="I6" s="18" t="s">
        <v>13</v>
      </c>
      <c r="J6" s="18">
        <v>0.34</v>
      </c>
      <c r="K6" s="39">
        <v>1</v>
      </c>
      <c r="L6" s="31">
        <v>174</v>
      </c>
      <c r="N6" s="8"/>
      <c r="P6" s="6"/>
      <c r="S6" s="6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>
      <c r="A7" s="26"/>
      <c r="B7" s="27" t="s">
        <v>16</v>
      </c>
      <c r="C7" s="18"/>
      <c r="D7" s="28"/>
      <c r="E7" s="18"/>
      <c r="F7" s="18"/>
      <c r="G7" s="29"/>
      <c r="H7" s="29"/>
      <c r="I7" s="18"/>
      <c r="J7" s="18">
        <v>0.32</v>
      </c>
      <c r="K7" s="30">
        <f>J7/J6</f>
        <v>0.94117647058823528</v>
      </c>
      <c r="L7" s="31">
        <v>350</v>
      </c>
      <c r="N7" s="6"/>
      <c r="Q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>
      <c r="A8" s="32"/>
      <c r="B8" s="33" t="s">
        <v>18</v>
      </c>
      <c r="C8" s="34" t="s">
        <v>19</v>
      </c>
      <c r="D8" s="35" t="s">
        <v>11</v>
      </c>
      <c r="E8" s="34">
        <v>17</v>
      </c>
      <c r="F8" s="34">
        <v>85</v>
      </c>
      <c r="G8" s="36">
        <v>0.59027777777777779</v>
      </c>
      <c r="H8" s="36" t="s">
        <v>12</v>
      </c>
      <c r="I8" s="34" t="s">
        <v>13</v>
      </c>
      <c r="J8" s="34">
        <v>0.19</v>
      </c>
      <c r="K8" s="40">
        <v>1</v>
      </c>
      <c r="L8" s="38">
        <v>628</v>
      </c>
      <c r="N8" s="8"/>
      <c r="S8" s="6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>
      <c r="A9" s="32"/>
      <c r="B9" s="33" t="s">
        <v>18</v>
      </c>
      <c r="C9" s="34"/>
      <c r="D9" s="35"/>
      <c r="E9" s="34"/>
      <c r="F9" s="34"/>
      <c r="G9" s="36"/>
      <c r="H9" s="36"/>
      <c r="I9" s="34"/>
      <c r="J9" s="34">
        <v>0.23</v>
      </c>
      <c r="K9" s="37">
        <f>J9/J8</f>
        <v>1.2105263157894737</v>
      </c>
      <c r="L9" s="38">
        <v>523</v>
      </c>
      <c r="N9" s="6"/>
      <c r="O9" s="9"/>
      <c r="R9" s="10"/>
      <c r="S9" s="10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>
      <c r="A10" s="26"/>
      <c r="B10" s="27" t="s">
        <v>20</v>
      </c>
      <c r="C10" s="18" t="s">
        <v>21</v>
      </c>
      <c r="D10" s="28" t="s">
        <v>11</v>
      </c>
      <c r="E10" s="18">
        <v>17</v>
      </c>
      <c r="F10" s="18">
        <v>85</v>
      </c>
      <c r="G10" s="29">
        <v>0.59027777777777779</v>
      </c>
      <c r="H10" s="29" t="s">
        <v>12</v>
      </c>
      <c r="I10" s="18" t="s">
        <v>13</v>
      </c>
      <c r="J10" s="18">
        <v>0.4</v>
      </c>
      <c r="K10" s="39">
        <v>1</v>
      </c>
      <c r="L10" s="31">
        <v>291</v>
      </c>
      <c r="N10" s="8"/>
      <c r="S10" s="6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17" thickBot="1">
      <c r="A11" s="41"/>
      <c r="B11" s="42" t="s">
        <v>20</v>
      </c>
      <c r="C11" s="43"/>
      <c r="D11" s="44"/>
      <c r="E11" s="43"/>
      <c r="F11" s="43"/>
      <c r="G11" s="45"/>
      <c r="H11" s="45"/>
      <c r="I11" s="43"/>
      <c r="J11" s="43">
        <v>0.27</v>
      </c>
      <c r="K11" s="46">
        <f>J11/J10</f>
        <v>0.67500000000000004</v>
      </c>
      <c r="L11" s="47">
        <v>312</v>
      </c>
      <c r="N11" s="6"/>
      <c r="O11" s="9"/>
      <c r="R11" s="10"/>
      <c r="S11" s="10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48" t="s">
        <v>22</v>
      </c>
      <c r="B12" s="49" t="s">
        <v>23</v>
      </c>
      <c r="C12" s="50" t="s">
        <v>24</v>
      </c>
      <c r="D12" s="51" t="s">
        <v>11</v>
      </c>
      <c r="E12" s="50">
        <v>17</v>
      </c>
      <c r="F12" s="50">
        <v>100</v>
      </c>
      <c r="G12" s="52">
        <v>0.59027777777777779</v>
      </c>
      <c r="H12" s="52" t="s">
        <v>12</v>
      </c>
      <c r="I12" s="50" t="s">
        <v>25</v>
      </c>
      <c r="J12" s="53">
        <v>0.51452521527961004</v>
      </c>
      <c r="K12" s="54">
        <v>1</v>
      </c>
      <c r="L12" s="55">
        <v>111.494348174557</v>
      </c>
      <c r="N12" s="8"/>
      <c r="P12" s="11"/>
      <c r="Q12" s="11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32"/>
      <c r="B13" s="33"/>
      <c r="C13" s="34"/>
      <c r="D13" s="35"/>
      <c r="E13" s="34"/>
      <c r="F13" s="34"/>
      <c r="G13" s="36"/>
      <c r="H13" s="36"/>
      <c r="I13" s="34"/>
      <c r="J13" s="56">
        <v>0.208659229162381</v>
      </c>
      <c r="K13" s="37">
        <f>J13/J12</f>
        <v>0.4055374216188582</v>
      </c>
      <c r="L13" s="57">
        <v>114.662963270044</v>
      </c>
      <c r="N13" s="8"/>
      <c r="P13" s="11"/>
      <c r="Q13" s="11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ht="17" thickBot="1">
      <c r="A14" s="58"/>
      <c r="B14" s="59"/>
      <c r="C14" s="60"/>
      <c r="D14" s="61"/>
      <c r="E14" s="60"/>
      <c r="F14" s="60"/>
      <c r="G14" s="62"/>
      <c r="H14" s="62"/>
      <c r="I14" s="60"/>
      <c r="J14" s="63">
        <v>4.5060080606698201E-2</v>
      </c>
      <c r="K14" s="63">
        <f>J14/J12</f>
        <v>8.7576039557577492E-2</v>
      </c>
      <c r="L14" s="64">
        <v>105.799684934914</v>
      </c>
      <c r="N14" s="6"/>
      <c r="P14" s="11"/>
      <c r="Q14" s="11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>
      <c r="A15" s="19" t="s">
        <v>26</v>
      </c>
      <c r="B15" s="20" t="s">
        <v>27</v>
      </c>
      <c r="C15" s="21" t="s">
        <v>28</v>
      </c>
      <c r="D15" s="22" t="s">
        <v>11</v>
      </c>
      <c r="E15" s="21">
        <v>20</v>
      </c>
      <c r="F15" s="21">
        <v>250</v>
      </c>
      <c r="G15" s="23">
        <v>0.59027777777777779</v>
      </c>
      <c r="H15" s="21" t="s">
        <v>29</v>
      </c>
      <c r="I15" s="21" t="s">
        <v>30</v>
      </c>
      <c r="J15" s="65">
        <v>0.2</v>
      </c>
      <c r="K15" s="24">
        <f>J15/J17</f>
        <v>0.28571428571428575</v>
      </c>
      <c r="L15" s="25">
        <v>117.6</v>
      </c>
      <c r="N15" s="6"/>
      <c r="P15" s="11"/>
      <c r="Q15" s="11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>
      <c r="A16" s="26"/>
      <c r="B16" s="27"/>
      <c r="C16" s="18"/>
      <c r="D16" s="28"/>
      <c r="E16" s="18"/>
      <c r="F16" s="18"/>
      <c r="G16" s="29"/>
      <c r="H16" s="18"/>
      <c r="I16" s="18"/>
      <c r="J16" s="66">
        <v>0.4</v>
      </c>
      <c r="K16" s="30">
        <f>J16/J17</f>
        <v>0.57142857142857151</v>
      </c>
      <c r="L16" s="31">
        <v>125.3</v>
      </c>
      <c r="N16" s="6"/>
      <c r="P16" s="8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>
      <c r="A17" s="26"/>
      <c r="B17" s="27"/>
      <c r="C17" s="18"/>
      <c r="D17" s="28"/>
      <c r="E17" s="18"/>
      <c r="F17" s="18"/>
      <c r="G17" s="29"/>
      <c r="H17" s="18"/>
      <c r="I17" s="18"/>
      <c r="J17" s="66">
        <v>0.7</v>
      </c>
      <c r="K17" s="18">
        <v>1</v>
      </c>
      <c r="L17" s="31">
        <v>116.5</v>
      </c>
      <c r="N17" s="5"/>
      <c r="P17" s="11"/>
      <c r="Q17" s="11"/>
      <c r="R17" s="10"/>
      <c r="S17" s="10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32"/>
      <c r="B18" s="33" t="s">
        <v>23</v>
      </c>
      <c r="C18" s="34" t="s">
        <v>31</v>
      </c>
      <c r="D18" s="35" t="s">
        <v>11</v>
      </c>
      <c r="E18" s="34">
        <v>20</v>
      </c>
      <c r="F18" s="34">
        <v>250</v>
      </c>
      <c r="G18" s="36">
        <v>0.59027777777777779</v>
      </c>
      <c r="H18" s="34" t="s">
        <v>29</v>
      </c>
      <c r="I18" s="34" t="s">
        <v>30</v>
      </c>
      <c r="J18" s="67">
        <v>0.3</v>
      </c>
      <c r="K18" s="37">
        <f>J18/J20</f>
        <v>0.37499999999999994</v>
      </c>
      <c r="L18" s="38">
        <v>90</v>
      </c>
      <c r="N18" s="6"/>
      <c r="P18" s="1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>
      <c r="A19" s="32"/>
      <c r="B19" s="33"/>
      <c r="C19" s="34"/>
      <c r="D19" s="35"/>
      <c r="E19" s="34"/>
      <c r="F19" s="34"/>
      <c r="G19" s="36"/>
      <c r="H19" s="34"/>
      <c r="I19" s="34"/>
      <c r="J19" s="67">
        <v>0.4</v>
      </c>
      <c r="K19" s="37">
        <f>J19/J20</f>
        <v>0.5</v>
      </c>
      <c r="L19" s="38">
        <v>110.8</v>
      </c>
      <c r="N19" s="6"/>
      <c r="O19" s="9"/>
      <c r="P19" s="11"/>
      <c r="Q19" s="11"/>
      <c r="R19" s="10"/>
      <c r="S19" s="10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17" thickBot="1">
      <c r="A20" s="58"/>
      <c r="B20" s="59"/>
      <c r="C20" s="60"/>
      <c r="D20" s="61"/>
      <c r="E20" s="60"/>
      <c r="F20" s="60"/>
      <c r="G20" s="62"/>
      <c r="H20" s="60"/>
      <c r="I20" s="60"/>
      <c r="J20" s="68">
        <v>0.8</v>
      </c>
      <c r="K20" s="60">
        <v>1</v>
      </c>
      <c r="L20" s="70">
        <v>59</v>
      </c>
      <c r="N20" s="6"/>
      <c r="R20" s="11"/>
      <c r="S20" s="11"/>
      <c r="T20" s="11"/>
      <c r="U20" s="11"/>
      <c r="V20" s="11"/>
      <c r="W20" s="11"/>
      <c r="X20" s="11"/>
      <c r="Y20" s="5"/>
      <c r="Z20" s="5"/>
      <c r="AA20" s="11"/>
      <c r="AB20" s="11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>
      <c r="A21" s="19" t="s">
        <v>32</v>
      </c>
      <c r="B21" s="20" t="s">
        <v>33</v>
      </c>
      <c r="C21" s="21" t="s">
        <v>34</v>
      </c>
      <c r="D21" s="22" t="s">
        <v>11</v>
      </c>
      <c r="E21" s="21">
        <v>2</v>
      </c>
      <c r="F21" s="21">
        <v>67</v>
      </c>
      <c r="G21" s="71" t="s">
        <v>35</v>
      </c>
      <c r="H21" s="21" t="s">
        <v>12</v>
      </c>
      <c r="I21" s="22" t="s">
        <v>36</v>
      </c>
      <c r="J21" s="21">
        <v>0.06</v>
      </c>
      <c r="K21" s="24">
        <f>J21/J25</f>
        <v>0.4</v>
      </c>
      <c r="L21" s="25">
        <v>365</v>
      </c>
      <c r="N21" s="6"/>
    </row>
    <row r="22" spans="1:39">
      <c r="A22" s="26"/>
      <c r="B22" s="27"/>
      <c r="C22" s="18"/>
      <c r="D22" s="28"/>
      <c r="E22" s="18"/>
      <c r="F22" s="18"/>
      <c r="G22" s="72"/>
      <c r="H22" s="18"/>
      <c r="I22" s="28"/>
      <c r="J22" s="18">
        <v>0.03</v>
      </c>
      <c r="K22" s="30">
        <f>J22/J25</f>
        <v>0.2</v>
      </c>
      <c r="L22" s="31">
        <v>364</v>
      </c>
      <c r="N22" s="6"/>
      <c r="R22" s="11"/>
      <c r="S22" s="11"/>
      <c r="T22" s="11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>
      <c r="A23" s="26"/>
      <c r="B23" s="27"/>
      <c r="C23" s="18"/>
      <c r="D23" s="28"/>
      <c r="E23" s="18"/>
      <c r="F23" s="18"/>
      <c r="G23" s="72"/>
      <c r="H23" s="18"/>
      <c r="I23" s="28"/>
      <c r="J23" s="18">
        <v>0.04</v>
      </c>
      <c r="K23" s="30">
        <f>J23/J25</f>
        <v>0.26666666666666666</v>
      </c>
      <c r="L23" s="31">
        <v>332</v>
      </c>
      <c r="N23" s="6"/>
      <c r="R23" s="11"/>
      <c r="S23" s="11"/>
      <c r="T23" s="11"/>
      <c r="U23" s="11"/>
      <c r="V23" s="11"/>
      <c r="W23" s="11"/>
      <c r="X23" s="11"/>
      <c r="Y23" s="5"/>
      <c r="Z23" s="5"/>
      <c r="AA23" s="11"/>
      <c r="AB23" s="11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>
      <c r="A24" s="26"/>
      <c r="B24" s="27"/>
      <c r="C24" s="18"/>
      <c r="D24" s="28"/>
      <c r="E24" s="18"/>
      <c r="F24" s="18"/>
      <c r="G24" s="72"/>
      <c r="H24" s="18"/>
      <c r="I24" s="28"/>
      <c r="J24" s="18">
        <v>0.04</v>
      </c>
      <c r="K24" s="30">
        <f>J24/J25</f>
        <v>0.26666666666666666</v>
      </c>
      <c r="L24" s="31">
        <v>278</v>
      </c>
      <c r="N24" s="6"/>
      <c r="R24" s="11"/>
      <c r="S24" s="11"/>
      <c r="T24" s="11"/>
      <c r="U24" s="11"/>
      <c r="V24" s="11"/>
      <c r="W24" s="11"/>
      <c r="X24" s="11"/>
      <c r="Y24" s="5"/>
      <c r="Z24" s="5"/>
      <c r="AA24" s="11"/>
      <c r="AB24" s="11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26"/>
      <c r="B25" s="27"/>
      <c r="C25" s="18"/>
      <c r="D25" s="28"/>
      <c r="E25" s="18"/>
      <c r="F25" s="18"/>
      <c r="G25" s="72"/>
      <c r="H25" s="18"/>
      <c r="I25" s="28"/>
      <c r="J25" s="18">
        <v>0.15</v>
      </c>
      <c r="K25" s="18">
        <v>1</v>
      </c>
      <c r="L25" s="31">
        <v>266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>
      <c r="A26" s="26"/>
      <c r="B26" s="27"/>
      <c r="C26" s="18"/>
      <c r="D26" s="28"/>
      <c r="E26" s="18"/>
      <c r="F26" s="18"/>
      <c r="G26" s="72"/>
      <c r="H26" s="18"/>
      <c r="I26" s="28"/>
      <c r="J26" s="18">
        <v>0.08</v>
      </c>
      <c r="K26" s="18">
        <v>1</v>
      </c>
      <c r="L26" s="31">
        <v>275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>
      <c r="A27" s="26"/>
      <c r="B27" s="27"/>
      <c r="C27" s="18"/>
      <c r="D27" s="28"/>
      <c r="E27" s="18"/>
      <c r="F27" s="18"/>
      <c r="G27" s="72"/>
      <c r="H27" s="18"/>
      <c r="I27" s="28"/>
      <c r="J27" s="18">
        <v>0.02</v>
      </c>
      <c r="K27" s="18">
        <v>1</v>
      </c>
      <c r="L27" s="31">
        <v>261</v>
      </c>
      <c r="O27" s="11"/>
      <c r="P27" s="8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ht="17" thickBot="1">
      <c r="A28" s="73"/>
      <c r="B28" s="74"/>
      <c r="C28" s="69"/>
      <c r="D28" s="75"/>
      <c r="E28" s="69"/>
      <c r="F28" s="69"/>
      <c r="G28" s="76"/>
      <c r="H28" s="69"/>
      <c r="I28" s="75"/>
      <c r="J28" s="69">
        <v>0.01</v>
      </c>
      <c r="K28" s="69">
        <v>1</v>
      </c>
      <c r="L28" s="77">
        <v>268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5"/>
      <c r="AD28" s="12"/>
      <c r="AE28" s="5"/>
      <c r="AF28" s="5"/>
      <c r="AG28" s="5"/>
      <c r="AH28" s="5"/>
      <c r="AI28" s="5"/>
      <c r="AJ28" s="5"/>
      <c r="AK28" s="5"/>
      <c r="AL28" s="5"/>
      <c r="AM28" s="5"/>
    </row>
    <row r="29" spans="1:39">
      <c r="A29" s="48" t="s">
        <v>37</v>
      </c>
      <c r="B29" s="49" t="s">
        <v>38</v>
      </c>
      <c r="C29" s="78" t="s">
        <v>35</v>
      </c>
      <c r="D29" s="51" t="s">
        <v>11</v>
      </c>
      <c r="E29" s="78">
        <v>4</v>
      </c>
      <c r="F29" s="50">
        <v>25</v>
      </c>
      <c r="G29" s="79" t="s">
        <v>39</v>
      </c>
      <c r="H29" s="50" t="s">
        <v>12</v>
      </c>
      <c r="I29" s="51" t="s">
        <v>40</v>
      </c>
      <c r="J29" s="50">
        <v>0.36</v>
      </c>
      <c r="K29" s="53">
        <f>J29/J31</f>
        <v>0.5714285714285714</v>
      </c>
      <c r="L29" s="80">
        <v>128</v>
      </c>
      <c r="N29" s="6"/>
      <c r="O29" s="11"/>
      <c r="P29" s="11"/>
      <c r="Q29" s="11"/>
      <c r="R29" s="11"/>
      <c r="S29" s="11"/>
      <c r="T29" s="1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>
      <c r="A30" s="32"/>
      <c r="B30" s="33"/>
      <c r="C30" s="81"/>
      <c r="D30" s="35"/>
      <c r="E30" s="81"/>
      <c r="F30" s="34"/>
      <c r="G30" s="82"/>
      <c r="H30" s="34"/>
      <c r="I30" s="35"/>
      <c r="J30" s="34">
        <v>0.38</v>
      </c>
      <c r="K30" s="37">
        <f>J30/J32</f>
        <v>0.56716417910447758</v>
      </c>
      <c r="L30" s="38">
        <v>122</v>
      </c>
      <c r="N30" s="6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>
      <c r="A31" s="32"/>
      <c r="B31" s="33"/>
      <c r="C31" s="81"/>
      <c r="D31" s="35"/>
      <c r="E31" s="81"/>
      <c r="F31" s="34"/>
      <c r="G31" s="82"/>
      <c r="H31" s="34"/>
      <c r="I31" s="35"/>
      <c r="J31" s="34">
        <v>0.63</v>
      </c>
      <c r="K31" s="40">
        <v>1</v>
      </c>
      <c r="L31" s="38">
        <v>161</v>
      </c>
      <c r="N31" s="8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5"/>
      <c r="AD31" s="12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32"/>
      <c r="B32" s="33"/>
      <c r="C32" s="81"/>
      <c r="D32" s="35"/>
      <c r="E32" s="81"/>
      <c r="F32" s="34"/>
      <c r="G32" s="82"/>
      <c r="H32" s="34"/>
      <c r="I32" s="35"/>
      <c r="J32" s="34">
        <v>0.67</v>
      </c>
      <c r="K32" s="40">
        <v>1</v>
      </c>
      <c r="L32" s="38">
        <v>154</v>
      </c>
      <c r="N32" s="8"/>
      <c r="O32" s="11"/>
      <c r="P32" s="11"/>
      <c r="Q32" s="11"/>
      <c r="R32" s="11"/>
      <c r="S32" s="11"/>
      <c r="T32" s="1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0" s="5" customFormat="1">
      <c r="A33" s="26"/>
      <c r="B33" s="27" t="s">
        <v>38</v>
      </c>
      <c r="C33" s="72" t="s">
        <v>35</v>
      </c>
      <c r="D33" s="28" t="s">
        <v>11</v>
      </c>
      <c r="E33" s="72">
        <v>4</v>
      </c>
      <c r="F33" s="18">
        <v>110</v>
      </c>
      <c r="G33" s="83" t="s">
        <v>39</v>
      </c>
      <c r="H33" s="18" t="s">
        <v>12</v>
      </c>
      <c r="I33" s="28" t="s">
        <v>41</v>
      </c>
      <c r="J33" s="18">
        <v>0.3</v>
      </c>
      <c r="K33" s="30">
        <f>J33/J35</f>
        <v>0.31914893617021278</v>
      </c>
      <c r="L33" s="31">
        <v>284</v>
      </c>
      <c r="M33" s="1"/>
      <c r="N33" s="6"/>
      <c r="P33" s="11"/>
      <c r="Q33" s="11"/>
      <c r="S33" s="6"/>
    </row>
    <row r="34" spans="1:30" s="5" customFormat="1">
      <c r="A34" s="26"/>
      <c r="B34" s="27"/>
      <c r="C34" s="72"/>
      <c r="D34" s="28"/>
      <c r="E34" s="72"/>
      <c r="F34" s="18"/>
      <c r="G34" s="83"/>
      <c r="H34" s="18"/>
      <c r="I34" s="28"/>
      <c r="J34" s="18">
        <v>0.26</v>
      </c>
      <c r="K34" s="30">
        <f>J34/J36</f>
        <v>0.28888888888888892</v>
      </c>
      <c r="L34" s="31">
        <v>313</v>
      </c>
      <c r="M34" s="1"/>
      <c r="N34" s="6"/>
      <c r="P34" s="11"/>
      <c r="Q34" s="11"/>
      <c r="S34" s="6"/>
    </row>
    <row r="35" spans="1:30" s="5" customFormat="1">
      <c r="A35" s="26"/>
      <c r="B35" s="27"/>
      <c r="C35" s="72"/>
      <c r="D35" s="28"/>
      <c r="E35" s="72"/>
      <c r="F35" s="18"/>
      <c r="G35" s="83"/>
      <c r="H35" s="18"/>
      <c r="I35" s="28"/>
      <c r="J35" s="18">
        <v>0.94</v>
      </c>
      <c r="K35" s="39">
        <v>1</v>
      </c>
      <c r="L35" s="31">
        <v>158</v>
      </c>
      <c r="M35" s="1"/>
      <c r="N35" s="8"/>
      <c r="O35" s="11"/>
      <c r="P35" s="11"/>
      <c r="Q35" s="8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30" s="5" customFormat="1" ht="17" thickBot="1">
      <c r="A36" s="73"/>
      <c r="B36" s="74"/>
      <c r="C36" s="76"/>
      <c r="D36" s="75"/>
      <c r="E36" s="76"/>
      <c r="F36" s="69"/>
      <c r="G36" s="84"/>
      <c r="H36" s="69"/>
      <c r="I36" s="75"/>
      <c r="J36" s="69">
        <v>0.9</v>
      </c>
      <c r="K36" s="85">
        <v>1</v>
      </c>
      <c r="L36" s="77">
        <v>181</v>
      </c>
      <c r="M36" s="1"/>
      <c r="N36" s="8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D36" s="12"/>
    </row>
    <row r="37" spans="1:30" s="5" customFormat="1">
      <c r="A37" s="48" t="s">
        <v>42</v>
      </c>
      <c r="B37" s="49" t="s">
        <v>23</v>
      </c>
      <c r="C37" s="50" t="s">
        <v>43</v>
      </c>
      <c r="D37" s="51" t="s">
        <v>11</v>
      </c>
      <c r="E37" s="50">
        <v>20</v>
      </c>
      <c r="F37" s="50">
        <v>500</v>
      </c>
      <c r="G37" s="52">
        <v>0.59027777777777779</v>
      </c>
      <c r="H37" s="50" t="s">
        <v>44</v>
      </c>
      <c r="I37" s="50" t="s">
        <v>45</v>
      </c>
      <c r="J37" s="50">
        <v>0.73</v>
      </c>
      <c r="K37" s="53">
        <v>1</v>
      </c>
      <c r="L37" s="80">
        <v>185</v>
      </c>
      <c r="M37" s="1"/>
      <c r="N37" s="6"/>
      <c r="P37" s="11"/>
      <c r="Q37" s="11"/>
      <c r="S37" s="6"/>
    </row>
    <row r="38" spans="1:30" s="5" customFormat="1">
      <c r="A38" s="32"/>
      <c r="B38" s="33"/>
      <c r="C38" s="34"/>
      <c r="D38" s="35"/>
      <c r="E38" s="34"/>
      <c r="F38" s="34"/>
      <c r="G38" s="36"/>
      <c r="H38" s="34"/>
      <c r="I38" s="34"/>
      <c r="J38" s="34">
        <v>0.73</v>
      </c>
      <c r="K38" s="37">
        <v>1</v>
      </c>
      <c r="L38" s="38">
        <v>167</v>
      </c>
      <c r="M38" s="1"/>
      <c r="N38" s="6"/>
      <c r="O38" s="11"/>
      <c r="P38" s="11"/>
      <c r="Q38" s="8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30" s="5" customFormat="1">
      <c r="A39" s="32"/>
      <c r="B39" s="33"/>
      <c r="C39" s="34"/>
      <c r="D39" s="35"/>
      <c r="E39" s="34"/>
      <c r="F39" s="34"/>
      <c r="G39" s="36"/>
      <c r="H39" s="34"/>
      <c r="I39" s="34"/>
      <c r="J39" s="34">
        <v>0.73</v>
      </c>
      <c r="K39" s="37">
        <v>1</v>
      </c>
      <c r="L39" s="38">
        <v>200</v>
      </c>
      <c r="M39" s="1"/>
      <c r="N39" s="8"/>
      <c r="O39" s="11"/>
      <c r="P39" s="11"/>
      <c r="Q39" s="8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30" s="5" customFormat="1">
      <c r="A40" s="32"/>
      <c r="B40" s="33"/>
      <c r="C40" s="34"/>
      <c r="D40" s="35"/>
      <c r="E40" s="34"/>
      <c r="F40" s="34"/>
      <c r="G40" s="36"/>
      <c r="H40" s="34"/>
      <c r="I40" s="34"/>
      <c r="J40" s="34">
        <v>0.73</v>
      </c>
      <c r="K40" s="37">
        <v>1</v>
      </c>
      <c r="L40" s="38">
        <v>193</v>
      </c>
      <c r="M40" s="1"/>
      <c r="N40" s="8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0" s="5" customFormat="1">
      <c r="A41" s="32"/>
      <c r="B41" s="33"/>
      <c r="C41" s="34"/>
      <c r="D41" s="35"/>
      <c r="E41" s="34"/>
      <c r="F41" s="34"/>
      <c r="G41" s="36"/>
      <c r="H41" s="34"/>
      <c r="I41" s="34"/>
      <c r="J41" s="34">
        <v>0.23</v>
      </c>
      <c r="K41" s="37">
        <f>L41/L32</f>
        <v>1.5064935064935066</v>
      </c>
      <c r="L41" s="38">
        <v>232</v>
      </c>
      <c r="M41" s="1"/>
      <c r="N41" s="6"/>
    </row>
    <row r="42" spans="1:30" s="5" customFormat="1">
      <c r="A42" s="32"/>
      <c r="B42" s="33"/>
      <c r="C42" s="34"/>
      <c r="D42" s="35"/>
      <c r="E42" s="34"/>
      <c r="F42" s="34"/>
      <c r="G42" s="36"/>
      <c r="H42" s="34"/>
      <c r="I42" s="34"/>
      <c r="J42" s="34">
        <v>0.23</v>
      </c>
      <c r="K42" s="37">
        <f>J42/$J$37</f>
        <v>0.31506849315068497</v>
      </c>
      <c r="L42" s="38">
        <v>267</v>
      </c>
      <c r="M42" s="1"/>
      <c r="N42" s="6"/>
    </row>
    <row r="43" spans="1:30" s="5" customFormat="1">
      <c r="A43" s="32"/>
      <c r="B43" s="33"/>
      <c r="C43" s="34"/>
      <c r="D43" s="35"/>
      <c r="E43" s="34"/>
      <c r="F43" s="34"/>
      <c r="G43" s="36"/>
      <c r="H43" s="34"/>
      <c r="I43" s="34"/>
      <c r="J43" s="34">
        <v>0.23</v>
      </c>
      <c r="K43" s="37">
        <f t="shared" ref="K43:K47" si="0">J43/$J$37</f>
        <v>0.31506849315068497</v>
      </c>
      <c r="L43" s="38">
        <v>302</v>
      </c>
      <c r="M43" s="1"/>
      <c r="N43" s="6"/>
    </row>
    <row r="44" spans="1:30" s="5" customFormat="1">
      <c r="A44" s="32"/>
      <c r="B44" s="33"/>
      <c r="C44" s="34"/>
      <c r="D44" s="35"/>
      <c r="E44" s="34"/>
      <c r="F44" s="34"/>
      <c r="G44" s="36"/>
      <c r="H44" s="34"/>
      <c r="I44" s="34"/>
      <c r="J44" s="34">
        <v>0.09</v>
      </c>
      <c r="K44" s="37">
        <f t="shared" si="0"/>
        <v>0.12328767123287671</v>
      </c>
      <c r="L44" s="38">
        <v>365</v>
      </c>
      <c r="M44" s="1"/>
      <c r="N44" s="6"/>
    </row>
    <row r="45" spans="1:30" s="5" customFormat="1">
      <c r="A45" s="32"/>
      <c r="B45" s="33"/>
      <c r="C45" s="34"/>
      <c r="D45" s="35"/>
      <c r="E45" s="34"/>
      <c r="F45" s="34"/>
      <c r="G45" s="36"/>
      <c r="H45" s="34"/>
      <c r="I45" s="34"/>
      <c r="J45" s="34">
        <v>0.09</v>
      </c>
      <c r="K45" s="37">
        <f t="shared" si="0"/>
        <v>0.12328767123287671</v>
      </c>
      <c r="L45" s="38">
        <v>396</v>
      </c>
      <c r="M45" s="1"/>
      <c r="N45" s="6"/>
    </row>
    <row r="46" spans="1:30" s="5" customFormat="1">
      <c r="A46" s="32"/>
      <c r="B46" s="33"/>
      <c r="C46" s="34"/>
      <c r="D46" s="35"/>
      <c r="E46" s="34"/>
      <c r="F46" s="34"/>
      <c r="G46" s="36"/>
      <c r="H46" s="34"/>
      <c r="I46" s="34"/>
      <c r="J46" s="34">
        <v>0.09</v>
      </c>
      <c r="K46" s="37">
        <f t="shared" si="0"/>
        <v>0.12328767123287671</v>
      </c>
      <c r="L46" s="38">
        <v>478</v>
      </c>
      <c r="M46" s="1"/>
      <c r="N46" s="6"/>
    </row>
    <row r="47" spans="1:30" s="5" customFormat="1" ht="17" thickBot="1">
      <c r="A47" s="58"/>
      <c r="B47" s="59"/>
      <c r="C47" s="60"/>
      <c r="D47" s="61"/>
      <c r="E47" s="60"/>
      <c r="F47" s="60"/>
      <c r="G47" s="62"/>
      <c r="H47" s="60"/>
      <c r="I47" s="60"/>
      <c r="J47" s="60">
        <v>0.09</v>
      </c>
      <c r="K47" s="63">
        <f t="shared" si="0"/>
        <v>0.12328767123287671</v>
      </c>
      <c r="L47" s="70">
        <v>461</v>
      </c>
      <c r="M47" s="1"/>
      <c r="N47" s="6"/>
    </row>
    <row r="48" spans="1:30" s="5" customFormat="1">
      <c r="A48" s="19" t="s">
        <v>46</v>
      </c>
      <c r="B48" s="20" t="s">
        <v>23</v>
      </c>
      <c r="C48" s="21" t="s">
        <v>43</v>
      </c>
      <c r="D48" s="22" t="s">
        <v>11</v>
      </c>
      <c r="E48" s="21">
        <v>20</v>
      </c>
      <c r="F48" s="21">
        <v>500</v>
      </c>
      <c r="G48" s="23">
        <v>0.5083333333333333</v>
      </c>
      <c r="H48" s="21" t="s">
        <v>47</v>
      </c>
      <c r="I48" s="21" t="s">
        <v>48</v>
      </c>
      <c r="J48" s="21">
        <v>0.25</v>
      </c>
      <c r="K48" s="24">
        <f>J48/J50</f>
        <v>0.3125</v>
      </c>
      <c r="L48" s="25">
        <v>190</v>
      </c>
      <c r="M48" s="1"/>
      <c r="N48" s="6"/>
    </row>
    <row r="49" spans="1:39">
      <c r="A49" s="26"/>
      <c r="B49" s="27"/>
      <c r="C49" s="18"/>
      <c r="D49" s="28"/>
      <c r="E49" s="18"/>
      <c r="F49" s="18"/>
      <c r="G49" s="29"/>
      <c r="H49" s="18"/>
      <c r="I49" s="18" t="s">
        <v>49</v>
      </c>
      <c r="J49" s="18">
        <v>0.25</v>
      </c>
      <c r="K49" s="30">
        <f>J49/J50</f>
        <v>0.3125</v>
      </c>
      <c r="L49" s="31">
        <v>250</v>
      </c>
      <c r="N49" s="6"/>
      <c r="O49" s="11"/>
      <c r="P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>
      <c r="A50" s="26"/>
      <c r="B50" s="27"/>
      <c r="C50" s="18"/>
      <c r="D50" s="28"/>
      <c r="E50" s="18"/>
      <c r="F50" s="18"/>
      <c r="G50" s="29"/>
      <c r="H50" s="18"/>
      <c r="I50" s="18"/>
      <c r="J50" s="18">
        <v>0.8</v>
      </c>
      <c r="K50" s="39">
        <v>1</v>
      </c>
      <c r="L50" s="31">
        <v>175</v>
      </c>
      <c r="N50" s="8"/>
      <c r="O50" s="11"/>
      <c r="P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>
      <c r="A51" s="32"/>
      <c r="B51" s="33" t="s">
        <v>23</v>
      </c>
      <c r="C51" s="34" t="s">
        <v>43</v>
      </c>
      <c r="D51" s="35" t="s">
        <v>11</v>
      </c>
      <c r="E51" s="34">
        <v>20</v>
      </c>
      <c r="F51" s="34">
        <v>500</v>
      </c>
      <c r="G51" s="36">
        <v>0.5083333333333333</v>
      </c>
      <c r="H51" s="34" t="s">
        <v>50</v>
      </c>
      <c r="I51" s="34" t="s">
        <v>49</v>
      </c>
      <c r="J51" s="34">
        <v>0.78</v>
      </c>
      <c r="K51" s="40">
        <v>1</v>
      </c>
      <c r="L51" s="38">
        <v>196</v>
      </c>
      <c r="N51" s="8"/>
      <c r="Q51" s="11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>
      <c r="A52" s="32"/>
      <c r="B52" s="33"/>
      <c r="C52" s="34"/>
      <c r="D52" s="35"/>
      <c r="E52" s="34"/>
      <c r="F52" s="34"/>
      <c r="G52" s="36"/>
      <c r="H52" s="34"/>
      <c r="I52" s="34"/>
      <c r="J52" s="34">
        <v>0.71</v>
      </c>
      <c r="K52" s="40">
        <v>1</v>
      </c>
      <c r="L52" s="38">
        <v>202</v>
      </c>
      <c r="N52" s="8"/>
      <c r="O52" s="11"/>
      <c r="P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>
      <c r="A53" s="32"/>
      <c r="B53" s="33"/>
      <c r="C53" s="34"/>
      <c r="D53" s="35"/>
      <c r="E53" s="34"/>
      <c r="F53" s="34"/>
      <c r="G53" s="36"/>
      <c r="H53" s="34"/>
      <c r="I53" s="34"/>
      <c r="J53" s="34">
        <v>0.16</v>
      </c>
      <c r="K53" s="37">
        <f>J53/J51</f>
        <v>0.20512820512820512</v>
      </c>
      <c r="L53" s="38">
        <v>200</v>
      </c>
      <c r="N53" s="6"/>
      <c r="O53" s="11"/>
      <c r="P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ht="17" thickBot="1">
      <c r="A54" s="58"/>
      <c r="B54" s="59"/>
      <c r="C54" s="60"/>
      <c r="D54" s="61"/>
      <c r="E54" s="60"/>
      <c r="F54" s="60"/>
      <c r="G54" s="62"/>
      <c r="H54" s="60"/>
      <c r="I54" s="60"/>
      <c r="J54" s="60">
        <v>0.18</v>
      </c>
      <c r="K54" s="63">
        <f>J54/J52</f>
        <v>0.25352112676056338</v>
      </c>
      <c r="L54" s="70">
        <v>180</v>
      </c>
      <c r="N54" s="6"/>
      <c r="Q54" s="11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>
      <c r="A55" s="86" t="s">
        <v>51</v>
      </c>
      <c r="B55" s="87" t="s">
        <v>52</v>
      </c>
      <c r="C55" s="88" t="s">
        <v>53</v>
      </c>
      <c r="D55" s="89" t="s">
        <v>54</v>
      </c>
      <c r="E55" s="88">
        <v>20</v>
      </c>
      <c r="F55" s="88">
        <v>560</v>
      </c>
      <c r="G55" s="90">
        <v>0.5083333333333333</v>
      </c>
      <c r="H55" s="88" t="s">
        <v>12</v>
      </c>
      <c r="I55" s="88" t="s">
        <v>45</v>
      </c>
      <c r="J55" s="88">
        <v>1.4</v>
      </c>
      <c r="K55" s="91">
        <v>1</v>
      </c>
      <c r="L55" s="92">
        <v>1.5</v>
      </c>
      <c r="N55" s="6"/>
      <c r="O55" s="11"/>
      <c r="P55" s="12"/>
      <c r="R55" s="11"/>
      <c r="S55" s="11"/>
      <c r="T55" s="11"/>
      <c r="U55" s="3"/>
      <c r="V55" s="3"/>
      <c r="W55" s="3"/>
      <c r="X55" s="3"/>
      <c r="Y55" s="3"/>
      <c r="Z55" s="3"/>
      <c r="AA55" s="3"/>
      <c r="AB55" s="3"/>
      <c r="AC55" s="3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>
      <c r="A56" s="26"/>
      <c r="B56" s="74"/>
      <c r="C56" s="18"/>
      <c r="D56" s="28"/>
      <c r="E56" s="18"/>
      <c r="F56" s="18"/>
      <c r="G56" s="29"/>
      <c r="H56" s="18"/>
      <c r="I56" s="18"/>
      <c r="J56" s="93">
        <v>0.02</v>
      </c>
      <c r="K56" s="30">
        <f>J56/J55</f>
        <v>1.4285714285714287E-2</v>
      </c>
      <c r="L56" s="18">
        <v>10.199999999999999</v>
      </c>
      <c r="N56" s="6"/>
      <c r="O56" s="11"/>
      <c r="P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>
      <c r="A57" s="32" t="s">
        <v>51</v>
      </c>
      <c r="B57" s="33" t="s">
        <v>52</v>
      </c>
      <c r="C57" s="34" t="s">
        <v>53</v>
      </c>
      <c r="D57" s="35" t="s">
        <v>54</v>
      </c>
      <c r="E57" s="34">
        <v>20</v>
      </c>
      <c r="F57" s="34">
        <v>560</v>
      </c>
      <c r="G57" s="36">
        <v>0.5083333333333333</v>
      </c>
      <c r="H57" s="34" t="s">
        <v>12</v>
      </c>
      <c r="I57" s="34" t="s">
        <v>55</v>
      </c>
      <c r="J57" s="34">
        <v>1.5</v>
      </c>
      <c r="K57" s="37">
        <v>1</v>
      </c>
      <c r="L57" s="34">
        <v>2</v>
      </c>
      <c r="N57" s="6"/>
      <c r="Q57" s="11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>
      <c r="A58" s="32"/>
      <c r="B58" s="33"/>
      <c r="C58" s="34"/>
      <c r="D58" s="35"/>
      <c r="E58" s="34"/>
      <c r="F58" s="34"/>
      <c r="G58" s="36"/>
      <c r="H58" s="34"/>
      <c r="I58" s="34"/>
      <c r="J58" s="37">
        <v>8.8999999999999999E-3</v>
      </c>
      <c r="K58" s="37">
        <f>J58/J57</f>
        <v>5.933333333333333E-3</v>
      </c>
      <c r="L58" s="34">
        <v>30</v>
      </c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>
      <c r="A59" s="26" t="s">
        <v>51</v>
      </c>
      <c r="B59" s="27" t="s">
        <v>52</v>
      </c>
      <c r="C59" s="18" t="s">
        <v>53</v>
      </c>
      <c r="D59" s="28" t="s">
        <v>54</v>
      </c>
      <c r="E59" s="18">
        <v>20</v>
      </c>
      <c r="F59" s="18">
        <v>560</v>
      </c>
      <c r="G59" s="29">
        <v>0.5083333333333333</v>
      </c>
      <c r="H59" s="18" t="s">
        <v>12</v>
      </c>
      <c r="I59" s="18" t="s">
        <v>56</v>
      </c>
      <c r="J59" s="18">
        <v>1.3</v>
      </c>
      <c r="K59" s="30">
        <v>1</v>
      </c>
      <c r="L59" s="18">
        <v>1.1000000000000001</v>
      </c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>
      <c r="A60" s="26"/>
      <c r="B60" s="27"/>
      <c r="C60" s="18"/>
      <c r="D60" s="28"/>
      <c r="E60" s="18"/>
      <c r="F60" s="18"/>
      <c r="G60" s="29"/>
      <c r="H60" s="18"/>
      <c r="I60" s="18"/>
      <c r="J60" s="30">
        <v>0.01</v>
      </c>
      <c r="K60" s="30">
        <f>J60/J59</f>
        <v>7.6923076923076919E-3</v>
      </c>
      <c r="L60" s="18">
        <v>2.6</v>
      </c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>
      <c r="A61" s="32" t="s">
        <v>51</v>
      </c>
      <c r="B61" s="33" t="s">
        <v>52</v>
      </c>
      <c r="C61" s="34" t="s">
        <v>53</v>
      </c>
      <c r="D61" s="35" t="s">
        <v>54</v>
      </c>
      <c r="E61" s="34">
        <v>20</v>
      </c>
      <c r="F61" s="34">
        <v>560</v>
      </c>
      <c r="G61" s="36">
        <v>0.5083333333333333</v>
      </c>
      <c r="H61" s="34" t="s">
        <v>12</v>
      </c>
      <c r="I61" s="34" t="s">
        <v>57</v>
      </c>
      <c r="J61" s="34">
        <v>1.6</v>
      </c>
      <c r="K61" s="37">
        <v>1</v>
      </c>
      <c r="L61" s="34">
        <v>1.5</v>
      </c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7" thickBot="1">
      <c r="A62" s="58"/>
      <c r="B62" s="59"/>
      <c r="C62" s="60"/>
      <c r="D62" s="61"/>
      <c r="E62" s="60"/>
      <c r="F62" s="60"/>
      <c r="G62" s="62"/>
      <c r="H62" s="60"/>
      <c r="I62" s="60"/>
      <c r="J62" s="94">
        <v>1.2999999999999999E-2</v>
      </c>
      <c r="K62" s="56">
        <f>J62/J61</f>
        <v>8.1249999999999985E-3</v>
      </c>
      <c r="L62" s="95">
        <v>10.3</v>
      </c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>
      <c r="A63" s="19" t="s">
        <v>58</v>
      </c>
      <c r="B63" s="20" t="s">
        <v>59</v>
      </c>
      <c r="C63" s="21" t="s">
        <v>60</v>
      </c>
      <c r="D63" s="22" t="s">
        <v>54</v>
      </c>
      <c r="E63" s="21">
        <v>27</v>
      </c>
      <c r="F63" s="21">
        <v>150</v>
      </c>
      <c r="G63" s="23">
        <v>0.5083333333333333</v>
      </c>
      <c r="H63" s="21" t="s">
        <v>44</v>
      </c>
      <c r="I63" s="21" t="s">
        <v>36</v>
      </c>
      <c r="J63" s="65">
        <v>0.46</v>
      </c>
      <c r="K63" s="96"/>
      <c r="L63" s="25">
        <v>0.05</v>
      </c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>
      <c r="A64" s="26"/>
      <c r="B64" s="27"/>
      <c r="C64" s="18"/>
      <c r="D64" s="28"/>
      <c r="E64" s="18"/>
      <c r="F64" s="18"/>
      <c r="G64" s="29"/>
      <c r="H64" s="18"/>
      <c r="I64" s="18"/>
      <c r="J64" s="66">
        <v>0.13</v>
      </c>
      <c r="K64" s="30">
        <f>J64/J63</f>
        <v>0.28260869565217389</v>
      </c>
      <c r="L64" s="31">
        <v>2.27</v>
      </c>
      <c r="N64" s="6"/>
      <c r="O64" s="6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28" s="5" customFormat="1">
      <c r="A65" s="32" t="s">
        <v>58</v>
      </c>
      <c r="B65" s="33" t="s">
        <v>61</v>
      </c>
      <c r="C65" s="34" t="s">
        <v>62</v>
      </c>
      <c r="D65" s="35" t="s">
        <v>54</v>
      </c>
      <c r="E65" s="34">
        <v>18</v>
      </c>
      <c r="F65" s="34">
        <v>75</v>
      </c>
      <c r="G65" s="36">
        <v>0.59027777777777779</v>
      </c>
      <c r="H65" s="34" t="s">
        <v>44</v>
      </c>
      <c r="I65" s="34" t="s">
        <v>36</v>
      </c>
      <c r="J65" s="67">
        <v>0.7</v>
      </c>
      <c r="K65" s="37">
        <f>J65/AVERAGE($J$71:$J$72)</f>
        <v>0.80459770114942519</v>
      </c>
      <c r="L65" s="38">
        <v>5.2</v>
      </c>
      <c r="M65" s="1"/>
      <c r="N65" s="6"/>
      <c r="O65" s="6"/>
      <c r="P65" s="11"/>
      <c r="Q65" s="11"/>
      <c r="R65" s="11"/>
      <c r="S65" s="11"/>
      <c r="T65" s="11"/>
    </row>
    <row r="66" spans="1:28" s="5" customFormat="1">
      <c r="A66" s="32"/>
      <c r="B66" s="33"/>
      <c r="C66" s="34"/>
      <c r="D66" s="35"/>
      <c r="E66" s="34"/>
      <c r="F66" s="34"/>
      <c r="G66" s="36"/>
      <c r="H66" s="34"/>
      <c r="I66" s="34"/>
      <c r="J66" s="67">
        <v>0.76</v>
      </c>
      <c r="K66" s="37">
        <f t="shared" ref="K66:K69" si="1">J66/AVERAGE($J$71:$J$72)</f>
        <v>0.87356321839080464</v>
      </c>
      <c r="L66" s="38">
        <v>6</v>
      </c>
      <c r="M66" s="1"/>
      <c r="N66" s="6"/>
      <c r="O66" s="6"/>
      <c r="P66" s="11"/>
      <c r="Q66" s="11"/>
      <c r="R66" s="11"/>
      <c r="S66" s="11"/>
      <c r="T66" s="11"/>
    </row>
    <row r="67" spans="1:28" s="5" customFormat="1">
      <c r="A67" s="32"/>
      <c r="B67" s="33"/>
      <c r="C67" s="34"/>
      <c r="D67" s="35"/>
      <c r="E67" s="34"/>
      <c r="F67" s="34"/>
      <c r="G67" s="36"/>
      <c r="H67" s="34"/>
      <c r="I67" s="34"/>
      <c r="J67" s="67">
        <v>0.51</v>
      </c>
      <c r="K67" s="37">
        <f t="shared" si="1"/>
        <v>0.5862068965517242</v>
      </c>
      <c r="L67" s="38">
        <v>16</v>
      </c>
      <c r="M67" s="1"/>
      <c r="N67" s="6"/>
      <c r="O67" s="6"/>
      <c r="P67" s="11"/>
      <c r="Q67" s="11"/>
      <c r="R67" s="11"/>
      <c r="S67" s="11"/>
      <c r="T67" s="11"/>
    </row>
    <row r="68" spans="1:28" s="5" customFormat="1">
      <c r="A68" s="32"/>
      <c r="B68" s="33"/>
      <c r="C68" s="34"/>
      <c r="D68" s="35"/>
      <c r="E68" s="34"/>
      <c r="F68" s="34"/>
      <c r="G68" s="36"/>
      <c r="H68" s="34"/>
      <c r="I68" s="34"/>
      <c r="J68" s="67">
        <v>0.52</v>
      </c>
      <c r="K68" s="37">
        <f t="shared" si="1"/>
        <v>0.5977011494252874</v>
      </c>
      <c r="L68" s="38">
        <v>16</v>
      </c>
      <c r="M68" s="1"/>
      <c r="N68" s="6"/>
      <c r="P68" s="11"/>
      <c r="Q68" s="11"/>
      <c r="R68" s="11"/>
      <c r="S68" s="11"/>
      <c r="T68" s="11"/>
    </row>
    <row r="69" spans="1:28" s="5" customFormat="1">
      <c r="A69" s="32"/>
      <c r="B69" s="33"/>
      <c r="C69" s="34"/>
      <c r="D69" s="35"/>
      <c r="E69" s="34"/>
      <c r="F69" s="34"/>
      <c r="G69" s="36"/>
      <c r="H69" s="34"/>
      <c r="I69" s="34"/>
      <c r="J69" s="40">
        <v>0.03</v>
      </c>
      <c r="K69" s="37">
        <f t="shared" si="1"/>
        <v>3.4482758620689655E-2</v>
      </c>
      <c r="L69" s="38">
        <v>33.5</v>
      </c>
      <c r="M69" s="1"/>
      <c r="N69" s="6"/>
      <c r="O69" s="11"/>
      <c r="P69" s="11"/>
      <c r="Q69" s="11"/>
      <c r="R69" s="11"/>
      <c r="S69" s="11"/>
      <c r="T69" s="11"/>
    </row>
    <row r="70" spans="1:28" s="5" customFormat="1">
      <c r="A70" s="32"/>
      <c r="B70" s="33"/>
      <c r="C70" s="34"/>
      <c r="D70" s="35"/>
      <c r="E70" s="34"/>
      <c r="F70" s="34"/>
      <c r="G70" s="36"/>
      <c r="H70" s="34"/>
      <c r="I70" s="34"/>
      <c r="J70" s="67">
        <v>0.17</v>
      </c>
      <c r="K70" s="37">
        <f>J70/AVERAGE($J$71:$J$72)</f>
        <v>0.19540229885057472</v>
      </c>
      <c r="L70" s="38">
        <v>30</v>
      </c>
      <c r="M70" s="1"/>
      <c r="N70" s="6"/>
      <c r="O70" s="11"/>
      <c r="P70" s="11"/>
      <c r="Q70" s="8"/>
      <c r="R70" s="11"/>
      <c r="S70" s="11"/>
      <c r="T70" s="11"/>
    </row>
    <row r="71" spans="1:28" s="5" customFormat="1">
      <c r="A71" s="32"/>
      <c r="B71" s="33"/>
      <c r="C71" s="34"/>
      <c r="D71" s="35"/>
      <c r="E71" s="34"/>
      <c r="F71" s="34"/>
      <c r="G71" s="36"/>
      <c r="H71" s="34"/>
      <c r="I71" s="34"/>
      <c r="J71" s="67">
        <v>0.82</v>
      </c>
      <c r="K71" s="40">
        <v>1</v>
      </c>
      <c r="L71" s="38">
        <v>3.8</v>
      </c>
      <c r="M71" s="1"/>
      <c r="N71" s="8"/>
      <c r="O71" s="11"/>
      <c r="P71" s="11"/>
      <c r="Q71" s="8"/>
      <c r="R71" s="11"/>
      <c r="S71" s="11"/>
      <c r="T71" s="11"/>
    </row>
    <row r="72" spans="1:28" s="5" customFormat="1" ht="17" thickBot="1">
      <c r="A72" s="58"/>
      <c r="B72" s="59"/>
      <c r="C72" s="60"/>
      <c r="D72" s="61"/>
      <c r="E72" s="60"/>
      <c r="F72" s="60"/>
      <c r="G72" s="62"/>
      <c r="H72" s="60"/>
      <c r="I72" s="60"/>
      <c r="J72" s="68">
        <v>0.92</v>
      </c>
      <c r="K72" s="63">
        <v>1</v>
      </c>
      <c r="L72" s="70">
        <v>4</v>
      </c>
      <c r="M72" s="1"/>
      <c r="N72" s="6"/>
      <c r="O72" s="11"/>
      <c r="P72" s="11"/>
      <c r="Q72" s="11"/>
      <c r="R72" s="11"/>
      <c r="S72" s="11"/>
      <c r="T72" s="11"/>
    </row>
    <row r="73" spans="1:28" s="5" customFormat="1">
      <c r="A73" s="19" t="s">
        <v>22</v>
      </c>
      <c r="B73" s="20" t="s">
        <v>52</v>
      </c>
      <c r="C73" s="21" t="s">
        <v>53</v>
      </c>
      <c r="D73" s="22" t="s">
        <v>54</v>
      </c>
      <c r="E73" s="21">
        <v>17</v>
      </c>
      <c r="F73" s="21">
        <v>100</v>
      </c>
      <c r="G73" s="23">
        <v>0.59027777777777779</v>
      </c>
      <c r="H73" s="23" t="s">
        <v>12</v>
      </c>
      <c r="I73" s="21" t="s">
        <v>25</v>
      </c>
      <c r="J73" s="24">
        <v>0.36892688817564401</v>
      </c>
      <c r="K73" s="24"/>
      <c r="L73" s="97">
        <v>12.2612829229195</v>
      </c>
      <c r="M73" s="1"/>
      <c r="N73" s="6"/>
      <c r="O73" s="11"/>
      <c r="P73" s="11"/>
      <c r="Q73" s="11"/>
      <c r="R73" s="11"/>
      <c r="S73" s="11"/>
      <c r="T73" s="11"/>
    </row>
    <row r="74" spans="1:28" s="5" customFormat="1">
      <c r="A74" s="26"/>
      <c r="B74" s="27"/>
      <c r="C74" s="18"/>
      <c r="D74" s="28"/>
      <c r="E74" s="18"/>
      <c r="F74" s="18"/>
      <c r="G74" s="29"/>
      <c r="H74" s="29"/>
      <c r="I74" s="18"/>
      <c r="J74" s="30">
        <v>4.4961650779010001E-2</v>
      </c>
      <c r="K74" s="30">
        <f>J74/J73</f>
        <v>0.12187143908471104</v>
      </c>
      <c r="L74" s="98">
        <v>24.662134151397002</v>
      </c>
      <c r="M74" s="1"/>
      <c r="N74" s="6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s="5" customFormat="1" ht="17" thickBot="1">
      <c r="A75" s="41"/>
      <c r="B75" s="42"/>
      <c r="C75" s="43"/>
      <c r="D75" s="44"/>
      <c r="E75" s="43"/>
      <c r="F75" s="43"/>
      <c r="G75" s="45"/>
      <c r="H75" s="45"/>
      <c r="I75" s="43"/>
      <c r="J75" s="46">
        <v>5.2028642935659598E-2</v>
      </c>
      <c r="K75" s="46">
        <f>J75/J73</f>
        <v>0.14102697472917466</v>
      </c>
      <c r="L75" s="99">
        <v>31.031147223834299</v>
      </c>
      <c r="M75" s="1"/>
      <c r="N75" s="6"/>
      <c r="O75" s="9"/>
      <c r="P75" s="11"/>
      <c r="Q75" s="8"/>
      <c r="R75" s="9"/>
      <c r="T75" s="9"/>
    </row>
    <row r="76" spans="1:28" s="5" customFormat="1">
      <c r="A76" s="48" t="s">
        <v>63</v>
      </c>
      <c r="B76" s="49" t="s">
        <v>61</v>
      </c>
      <c r="C76" s="50" t="s">
        <v>62</v>
      </c>
      <c r="D76" s="51" t="s">
        <v>54</v>
      </c>
      <c r="E76" s="50"/>
      <c r="F76" s="50">
        <v>600</v>
      </c>
      <c r="G76" s="52">
        <v>0.5083333333333333</v>
      </c>
      <c r="H76" s="50" t="s">
        <v>12</v>
      </c>
      <c r="I76" s="50" t="s">
        <v>64</v>
      </c>
      <c r="J76" s="53">
        <v>1.0216512475319799</v>
      </c>
      <c r="K76" s="100">
        <f>J76/J80</f>
        <v>1.0508764526899799</v>
      </c>
      <c r="L76" s="55">
        <v>3.5653132333072501</v>
      </c>
      <c r="M76" s="1"/>
      <c r="N76" s="1"/>
      <c r="O76" s="9"/>
      <c r="P76" s="11"/>
      <c r="Q76" s="8"/>
      <c r="R76" s="9"/>
      <c r="T76" s="9"/>
    </row>
    <row r="77" spans="1:28" s="5" customFormat="1">
      <c r="A77" s="32"/>
      <c r="B77" s="33"/>
      <c r="C77" s="34"/>
      <c r="D77" s="35"/>
      <c r="E77" s="34"/>
      <c r="F77" s="34"/>
      <c r="G77" s="36"/>
      <c r="H77" s="34"/>
      <c r="I77" s="34"/>
      <c r="J77" s="37">
        <v>0.49372015586305201</v>
      </c>
      <c r="K77" s="37">
        <f>J77/J80</f>
        <v>0.50784344194584585</v>
      </c>
      <c r="L77" s="57">
        <v>2.8439522150323402</v>
      </c>
      <c r="M77" s="1"/>
      <c r="N77" s="1"/>
      <c r="O77" s="9"/>
      <c r="P77" s="11"/>
      <c r="Q77" s="8"/>
      <c r="R77" s="9"/>
      <c r="T77" s="9"/>
    </row>
    <row r="78" spans="1:28" s="5" customFormat="1">
      <c r="A78" s="32"/>
      <c r="B78" s="33"/>
      <c r="C78" s="34"/>
      <c r="D78" s="35"/>
      <c r="E78" s="34"/>
      <c r="F78" s="34"/>
      <c r="G78" s="36"/>
      <c r="H78" s="34"/>
      <c r="I78" s="34"/>
      <c r="J78" s="37">
        <v>0.121249243632874</v>
      </c>
      <c r="K78" s="37">
        <f>J78/J80</f>
        <v>0.12471768164338222</v>
      </c>
      <c r="L78" s="57">
        <v>10.5373320059731</v>
      </c>
      <c r="M78" s="1"/>
      <c r="N78" s="1"/>
      <c r="O78" s="9"/>
      <c r="P78" s="11"/>
      <c r="Q78" s="8"/>
      <c r="R78" s="9"/>
      <c r="T78" s="9"/>
    </row>
    <row r="79" spans="1:28" s="5" customFormat="1">
      <c r="A79" s="32"/>
      <c r="B79" s="33"/>
      <c r="C79" s="34"/>
      <c r="D79" s="35"/>
      <c r="E79" s="34"/>
      <c r="F79" s="34"/>
      <c r="G79" s="36"/>
      <c r="H79" s="34"/>
      <c r="I79" s="34"/>
      <c r="J79" s="37">
        <v>0</v>
      </c>
      <c r="K79" s="34">
        <v>0</v>
      </c>
      <c r="L79" s="57">
        <v>14.896430349143101</v>
      </c>
      <c r="M79" s="1"/>
      <c r="N79" s="1"/>
      <c r="O79" s="11"/>
      <c r="P79" s="11"/>
      <c r="Q79" s="11"/>
      <c r="R79" s="9"/>
      <c r="T79" s="9"/>
    </row>
    <row r="80" spans="1:28" s="5" customFormat="1">
      <c r="A80" s="32"/>
      <c r="B80" s="33"/>
      <c r="C80" s="34"/>
      <c r="D80" s="35"/>
      <c r="E80" s="34"/>
      <c r="F80" s="34"/>
      <c r="G80" s="36"/>
      <c r="H80" s="34"/>
      <c r="I80" s="34"/>
      <c r="J80" s="101">
        <v>0.97218968501654901</v>
      </c>
      <c r="K80" s="34">
        <v>1</v>
      </c>
      <c r="L80" s="57">
        <v>1.31792647372537</v>
      </c>
      <c r="M80" s="1"/>
      <c r="N80" s="1"/>
      <c r="O80" s="11"/>
      <c r="P80" s="11"/>
      <c r="Q80" s="11"/>
      <c r="R80" s="9"/>
      <c r="T80" s="9"/>
    </row>
    <row r="81" spans="1:28" s="5" customFormat="1">
      <c r="A81" s="32"/>
      <c r="B81" s="33"/>
      <c r="C81" s="34"/>
      <c r="D81" s="35"/>
      <c r="E81" s="34"/>
      <c r="F81" s="34"/>
      <c r="G81" s="36"/>
      <c r="H81" s="34"/>
      <c r="I81" s="34"/>
      <c r="J81" s="101">
        <v>0.89370064854204101</v>
      </c>
      <c r="K81" s="34">
        <v>1</v>
      </c>
      <c r="L81" s="57">
        <v>0.96252577686125196</v>
      </c>
      <c r="M81" s="1"/>
      <c r="N81" s="1"/>
      <c r="O81" s="11"/>
      <c r="P81" s="11"/>
      <c r="Q81" s="11"/>
      <c r="R81" s="9"/>
      <c r="T81" s="9"/>
    </row>
    <row r="82" spans="1:28" s="5" customFormat="1">
      <c r="A82" s="58"/>
      <c r="B82" s="59"/>
      <c r="C82" s="60"/>
      <c r="D82" s="35"/>
      <c r="E82" s="60"/>
      <c r="F82" s="60"/>
      <c r="G82" s="62"/>
      <c r="H82" s="60"/>
      <c r="I82" s="60"/>
      <c r="J82" s="102">
        <v>0</v>
      </c>
      <c r="K82" s="34">
        <v>1</v>
      </c>
      <c r="L82" s="64">
        <v>1.28656758870795</v>
      </c>
      <c r="N82" s="1"/>
      <c r="O82" s="9"/>
      <c r="P82" s="11"/>
      <c r="Q82" s="11"/>
      <c r="R82" s="9"/>
      <c r="T82" s="9"/>
    </row>
    <row r="83" spans="1:28" s="5" customFormat="1" ht="17" thickBot="1">
      <c r="A83" s="58"/>
      <c r="B83" s="59"/>
      <c r="C83" s="60"/>
      <c r="D83" s="61"/>
      <c r="E83" s="60"/>
      <c r="F83" s="60"/>
      <c r="G83" s="62"/>
      <c r="H83" s="60"/>
      <c r="I83" s="60"/>
      <c r="J83" s="102">
        <v>0</v>
      </c>
      <c r="K83" s="103">
        <v>1</v>
      </c>
      <c r="L83" s="64">
        <v>3.08447699637345</v>
      </c>
      <c r="N83" s="1"/>
      <c r="O83" s="11"/>
      <c r="P83" s="11"/>
      <c r="Q83" s="11"/>
      <c r="R83" s="11"/>
      <c r="S83" s="11"/>
      <c r="T83" s="11"/>
    </row>
    <row r="84" spans="1:28" s="5" customFormat="1">
      <c r="A84" s="19" t="s">
        <v>26</v>
      </c>
      <c r="B84" s="20" t="s">
        <v>52</v>
      </c>
      <c r="C84" s="21" t="s">
        <v>53</v>
      </c>
      <c r="D84" s="22" t="s">
        <v>54</v>
      </c>
      <c r="E84" s="21">
        <v>20</v>
      </c>
      <c r="F84" s="21">
        <v>250</v>
      </c>
      <c r="G84" s="23">
        <v>0.59027777777777779</v>
      </c>
      <c r="H84" s="21" t="s">
        <v>29</v>
      </c>
      <c r="I84" s="21" t="s">
        <v>30</v>
      </c>
      <c r="J84" s="65">
        <v>0.3</v>
      </c>
      <c r="K84" s="24">
        <f>J84/J86</f>
        <v>0.37499999999999994</v>
      </c>
      <c r="L84" s="25">
        <v>25.9</v>
      </c>
      <c r="N84" s="6"/>
      <c r="O84" s="8"/>
      <c r="P84" s="11"/>
      <c r="Q84" s="11"/>
      <c r="R84" s="11"/>
      <c r="S84" s="11"/>
      <c r="T84" s="11"/>
    </row>
    <row r="85" spans="1:28" s="5" customFormat="1">
      <c r="A85" s="26"/>
      <c r="B85" s="27"/>
      <c r="C85" s="18"/>
      <c r="D85" s="28"/>
      <c r="E85" s="18"/>
      <c r="F85" s="18"/>
      <c r="G85" s="29"/>
      <c r="H85" s="18"/>
      <c r="I85" s="18"/>
      <c r="J85" s="66">
        <v>0.5</v>
      </c>
      <c r="K85" s="30">
        <f>J85/J86</f>
        <v>0.625</v>
      </c>
      <c r="L85" s="31">
        <v>23.4</v>
      </c>
      <c r="N85" s="6"/>
      <c r="O85" s="11"/>
      <c r="P85" s="11"/>
      <c r="Q85" s="11"/>
      <c r="R85" s="11"/>
      <c r="S85" s="11"/>
      <c r="T85" s="11"/>
    </row>
    <row r="86" spans="1:28" s="5" customFormat="1" ht="17" thickBot="1">
      <c r="A86" s="41"/>
      <c r="B86" s="42"/>
      <c r="C86" s="43"/>
      <c r="D86" s="44"/>
      <c r="E86" s="43"/>
      <c r="F86" s="43"/>
      <c r="G86" s="45"/>
      <c r="H86" s="43"/>
      <c r="I86" s="43"/>
      <c r="J86" s="104">
        <v>0.8</v>
      </c>
      <c r="K86" s="46">
        <v>1</v>
      </c>
      <c r="L86" s="47">
        <v>0.9</v>
      </c>
      <c r="N86" s="6"/>
      <c r="O86" s="11"/>
      <c r="P86" s="11"/>
      <c r="Q86" s="11"/>
      <c r="R86" s="11"/>
      <c r="S86" s="11"/>
      <c r="T86" s="11"/>
    </row>
    <row r="87" spans="1:28" s="5" customFormat="1">
      <c r="A87" s="48" t="s">
        <v>65</v>
      </c>
      <c r="B87" s="49" t="s">
        <v>52</v>
      </c>
      <c r="C87" s="50" t="s">
        <v>53</v>
      </c>
      <c r="D87" s="51" t="s">
        <v>54</v>
      </c>
      <c r="E87" s="50">
        <v>15</v>
      </c>
      <c r="F87" s="50">
        <v>115</v>
      </c>
      <c r="G87" s="52">
        <v>0.59027777777777779</v>
      </c>
      <c r="H87" s="50" t="s">
        <v>12</v>
      </c>
      <c r="I87" s="50" t="s">
        <v>66</v>
      </c>
      <c r="J87" s="50">
        <v>1.3</v>
      </c>
      <c r="K87" s="105">
        <f>J87/$J$90</f>
        <v>0.99236641221374045</v>
      </c>
      <c r="L87" s="80">
        <v>4.28</v>
      </c>
      <c r="N87" s="14"/>
      <c r="O87" s="11"/>
      <c r="P87" s="11"/>
      <c r="Q87" s="11"/>
      <c r="R87" s="11"/>
      <c r="S87" s="11"/>
      <c r="T87" s="11"/>
    </row>
    <row r="88" spans="1:28" s="5" customFormat="1">
      <c r="A88" s="32"/>
      <c r="B88" s="33"/>
      <c r="C88" s="34"/>
      <c r="D88" s="35"/>
      <c r="E88" s="34"/>
      <c r="F88" s="34"/>
      <c r="G88" s="34"/>
      <c r="H88" s="34"/>
      <c r="I88" s="34"/>
      <c r="J88" s="34">
        <v>0.22800000000000001</v>
      </c>
      <c r="K88" s="106">
        <f>J88/$J$90</f>
        <v>0.17404580152671756</v>
      </c>
      <c r="L88" s="38">
        <v>17.600000000000001</v>
      </c>
      <c r="N88" s="14"/>
      <c r="O88" s="11"/>
      <c r="P88" s="11"/>
      <c r="Q88" s="11"/>
      <c r="R88" s="11"/>
      <c r="S88" s="11"/>
      <c r="T88" s="11"/>
    </row>
    <row r="89" spans="1:28" s="5" customFormat="1">
      <c r="A89" s="32"/>
      <c r="B89" s="33"/>
      <c r="C89" s="34"/>
      <c r="D89" s="35"/>
      <c r="E89" s="34"/>
      <c r="F89" s="34"/>
      <c r="G89" s="34"/>
      <c r="H89" s="34"/>
      <c r="I89" s="34"/>
      <c r="J89" s="34">
        <v>3.5999999999999997E-2</v>
      </c>
      <c r="K89" s="106">
        <f>J89/$J$90</f>
        <v>2.7480916030534347E-2</v>
      </c>
      <c r="L89" s="38">
        <v>24.22</v>
      </c>
      <c r="N89" s="14"/>
      <c r="O89" s="11"/>
      <c r="P89" s="11"/>
      <c r="Q89" s="11"/>
      <c r="R89" s="11"/>
      <c r="S89" s="11"/>
      <c r="T89" s="11"/>
    </row>
    <row r="90" spans="1:28" s="5" customFormat="1">
      <c r="A90" s="58"/>
      <c r="B90" s="59"/>
      <c r="C90" s="60"/>
      <c r="D90" s="35"/>
      <c r="E90" s="60"/>
      <c r="F90" s="60"/>
      <c r="G90" s="60"/>
      <c r="H90" s="60"/>
      <c r="I90" s="34"/>
      <c r="J90" s="60">
        <v>1.31</v>
      </c>
      <c r="K90" s="34">
        <v>1</v>
      </c>
      <c r="L90" s="70">
        <v>1.08</v>
      </c>
      <c r="N90" s="1"/>
      <c r="O90" s="11"/>
      <c r="P90" s="11"/>
      <c r="Q90" s="11"/>
      <c r="R90" s="11"/>
      <c r="S90" s="11"/>
      <c r="T90" s="11"/>
    </row>
    <row r="91" spans="1:28" s="5" customFormat="1">
      <c r="A91" s="32"/>
      <c r="B91" s="33"/>
      <c r="C91" s="34"/>
      <c r="D91" s="35"/>
      <c r="E91" s="34"/>
      <c r="F91" s="34"/>
      <c r="G91" s="34"/>
      <c r="H91" s="34"/>
      <c r="I91" s="34"/>
      <c r="J91" s="34">
        <v>0.48</v>
      </c>
      <c r="K91" s="34">
        <v>1</v>
      </c>
      <c r="L91" s="38">
        <v>5.13</v>
      </c>
      <c r="N91" s="1"/>
      <c r="O91" s="11"/>
      <c r="P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s="5" customFormat="1" ht="17" thickBot="1">
      <c r="A92" s="58"/>
      <c r="B92" s="59"/>
      <c r="C92" s="60"/>
      <c r="D92" s="61"/>
      <c r="E92" s="60"/>
      <c r="F92" s="60"/>
      <c r="G92" s="60"/>
      <c r="H92" s="60"/>
      <c r="I92" s="60"/>
      <c r="J92" s="60">
        <v>0.125</v>
      </c>
      <c r="K92" s="103">
        <v>1</v>
      </c>
      <c r="L92" s="70">
        <v>9.9</v>
      </c>
      <c r="N92" s="1"/>
      <c r="O92" s="11"/>
      <c r="P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s="5" customFormat="1">
      <c r="A93" s="19" t="s">
        <v>67</v>
      </c>
      <c r="B93" s="20" t="s">
        <v>68</v>
      </c>
      <c r="C93" s="21" t="s">
        <v>69</v>
      </c>
      <c r="D93" s="22" t="s">
        <v>54</v>
      </c>
      <c r="E93" s="21">
        <v>15</v>
      </c>
      <c r="F93" s="21">
        <v>70</v>
      </c>
      <c r="G93" s="23">
        <v>0.59027777777777779</v>
      </c>
      <c r="H93" s="21" t="s">
        <v>12</v>
      </c>
      <c r="I93" s="22" t="s">
        <v>64</v>
      </c>
      <c r="J93" s="24">
        <v>0.93</v>
      </c>
      <c r="K93" s="24">
        <f>J93/$J$97</f>
        <v>1.0813953488372094</v>
      </c>
      <c r="L93" s="25">
        <v>25.7</v>
      </c>
      <c r="N93" s="6"/>
      <c r="O93" s="11"/>
      <c r="P93" s="9"/>
      <c r="Q93" s="11"/>
      <c r="R93" s="11"/>
      <c r="S93" s="11"/>
      <c r="T93" s="11"/>
    </row>
    <row r="94" spans="1:28" s="5" customFormat="1">
      <c r="A94" s="26"/>
      <c r="B94" s="27"/>
      <c r="C94" s="18"/>
      <c r="D94" s="28"/>
      <c r="E94" s="18"/>
      <c r="F94" s="18"/>
      <c r="G94" s="29"/>
      <c r="H94" s="18"/>
      <c r="I94" s="28"/>
      <c r="J94" s="30">
        <v>0.57999999999999996</v>
      </c>
      <c r="K94" s="30">
        <f t="shared" ref="K94:K96" si="2">J94/$J$97</f>
        <v>0.67441860465116277</v>
      </c>
      <c r="L94" s="31">
        <v>37.65</v>
      </c>
      <c r="N94" s="6"/>
    </row>
    <row r="95" spans="1:28" s="5" customFormat="1">
      <c r="A95" s="26"/>
      <c r="B95" s="27"/>
      <c r="C95" s="18"/>
      <c r="D95" s="28"/>
      <c r="E95" s="18"/>
      <c r="F95" s="18"/>
      <c r="G95" s="29"/>
      <c r="H95" s="18"/>
      <c r="I95" s="28"/>
      <c r="J95" s="30">
        <v>0.36599999999999999</v>
      </c>
      <c r="K95" s="30">
        <f t="shared" si="2"/>
        <v>0.42558139534883721</v>
      </c>
      <c r="L95" s="31">
        <v>41.04</v>
      </c>
      <c r="N95" s="6"/>
    </row>
    <row r="96" spans="1:28" s="5" customFormat="1">
      <c r="A96" s="26"/>
      <c r="B96" s="27"/>
      <c r="C96" s="18"/>
      <c r="D96" s="28"/>
      <c r="E96" s="18"/>
      <c r="F96" s="18"/>
      <c r="G96" s="29"/>
      <c r="H96" s="18"/>
      <c r="I96" s="28"/>
      <c r="J96" s="30">
        <v>3.5000000000000003E-2</v>
      </c>
      <c r="K96" s="30">
        <f t="shared" si="2"/>
        <v>4.0697674418604654E-2</v>
      </c>
      <c r="L96" s="31">
        <v>40.83</v>
      </c>
      <c r="N96" s="6"/>
    </row>
    <row r="97" spans="1:39">
      <c r="A97" s="26"/>
      <c r="B97" s="27"/>
      <c r="C97" s="18"/>
      <c r="D97" s="28"/>
      <c r="E97" s="18"/>
      <c r="F97" s="18"/>
      <c r="G97" s="29"/>
      <c r="H97" s="18"/>
      <c r="I97" s="18"/>
      <c r="J97" s="30">
        <v>0.86</v>
      </c>
      <c r="K97" s="39">
        <v>1</v>
      </c>
      <c r="L97" s="107">
        <v>11.618</v>
      </c>
      <c r="M97" s="5"/>
      <c r="N97" s="8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>
      <c r="A98" s="26"/>
      <c r="B98" s="27"/>
      <c r="C98" s="18"/>
      <c r="D98" s="28"/>
      <c r="E98" s="18"/>
      <c r="F98" s="18"/>
      <c r="G98" s="29"/>
      <c r="H98" s="18"/>
      <c r="I98" s="18"/>
      <c r="J98" s="30">
        <v>0.68</v>
      </c>
      <c r="K98" s="39">
        <v>1</v>
      </c>
      <c r="L98" s="107">
        <v>37.206000000000003</v>
      </c>
      <c r="M98" s="5"/>
      <c r="N98" s="8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>
      <c r="A99" s="26"/>
      <c r="B99" s="27"/>
      <c r="C99" s="18"/>
      <c r="D99" s="28"/>
      <c r="E99" s="18"/>
      <c r="F99" s="18"/>
      <c r="G99" s="29"/>
      <c r="H99" s="18"/>
      <c r="I99" s="18"/>
      <c r="J99" s="30">
        <v>0.33</v>
      </c>
      <c r="K99" s="39">
        <v>1</v>
      </c>
      <c r="L99" s="107">
        <v>60.45</v>
      </c>
      <c r="M99" s="5"/>
      <c r="N99" s="8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7" thickBot="1">
      <c r="A100" s="41"/>
      <c r="B100" s="42"/>
      <c r="C100" s="43"/>
      <c r="D100" s="44"/>
      <c r="E100" s="43"/>
      <c r="F100" s="43"/>
      <c r="G100" s="45"/>
      <c r="H100" s="43"/>
      <c r="I100" s="43"/>
      <c r="J100" s="46">
        <v>3.5000000000000003E-2</v>
      </c>
      <c r="K100" s="108">
        <v>1</v>
      </c>
      <c r="L100" s="109">
        <v>66.59</v>
      </c>
      <c r="M100" s="5"/>
      <c r="N100" s="8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>
      <c r="A101" s="48" t="s">
        <v>42</v>
      </c>
      <c r="B101" s="49" t="s">
        <v>52</v>
      </c>
      <c r="C101" s="50" t="s">
        <v>53</v>
      </c>
      <c r="D101" s="51" t="s">
        <v>54</v>
      </c>
      <c r="E101" s="50">
        <v>20</v>
      </c>
      <c r="F101" s="50">
        <v>500</v>
      </c>
      <c r="G101" s="52">
        <v>0.5083333333333333</v>
      </c>
      <c r="H101" s="50" t="s">
        <v>44</v>
      </c>
      <c r="I101" s="50" t="s">
        <v>70</v>
      </c>
      <c r="J101" s="50">
        <v>0.31</v>
      </c>
      <c r="K101" s="100">
        <f t="shared" ref="K101:K107" si="3">J101/$J$108</f>
        <v>0.21379310344827587</v>
      </c>
      <c r="L101" s="80">
        <v>18.899999999999999</v>
      </c>
      <c r="M101" s="5"/>
      <c r="N101" s="6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>
      <c r="A102" s="32"/>
      <c r="B102" s="33"/>
      <c r="C102" s="34"/>
      <c r="D102" s="35"/>
      <c r="E102" s="34"/>
      <c r="F102" s="34"/>
      <c r="G102" s="36"/>
      <c r="H102" s="34"/>
      <c r="I102" s="34"/>
      <c r="J102" s="34">
        <v>0.31</v>
      </c>
      <c r="K102" s="56">
        <f t="shared" si="3"/>
        <v>0.21379310344827587</v>
      </c>
      <c r="L102" s="38">
        <v>13.5</v>
      </c>
      <c r="M102" s="5"/>
      <c r="N102" s="6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>
      <c r="A103" s="32"/>
      <c r="B103" s="33"/>
      <c r="C103" s="34"/>
      <c r="D103" s="35"/>
      <c r="E103" s="34"/>
      <c r="F103" s="34"/>
      <c r="G103" s="36"/>
      <c r="H103" s="34"/>
      <c r="I103" s="34"/>
      <c r="J103" s="34">
        <v>0.15</v>
      </c>
      <c r="K103" s="56">
        <f t="shared" si="3"/>
        <v>0.10344827586206896</v>
      </c>
      <c r="L103" s="38">
        <v>59.6</v>
      </c>
      <c r="M103" s="5"/>
      <c r="N103" s="6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>
      <c r="A104" s="58"/>
      <c r="B104" s="59"/>
      <c r="C104" s="60"/>
      <c r="D104" s="61"/>
      <c r="E104" s="60"/>
      <c r="F104" s="60"/>
      <c r="G104" s="62"/>
      <c r="H104" s="60"/>
      <c r="I104" s="60"/>
      <c r="J104" s="60">
        <v>0.18</v>
      </c>
      <c r="K104" s="56">
        <f t="shared" si="3"/>
        <v>0.12413793103448276</v>
      </c>
      <c r="L104" s="70">
        <v>64.2</v>
      </c>
      <c r="M104" s="5"/>
      <c r="N104" s="6"/>
      <c r="O104" s="11"/>
      <c r="Q104" s="11"/>
      <c r="R104" s="11"/>
      <c r="S104" s="11"/>
      <c r="T104" s="11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>
      <c r="A105" s="26"/>
      <c r="B105" s="27" t="s">
        <v>52</v>
      </c>
      <c r="C105" s="18" t="s">
        <v>53</v>
      </c>
      <c r="D105" s="28" t="s">
        <v>54</v>
      </c>
      <c r="E105" s="18">
        <v>20</v>
      </c>
      <c r="F105" s="18">
        <v>500</v>
      </c>
      <c r="G105" s="29">
        <v>0.5083333333333333</v>
      </c>
      <c r="H105" s="18" t="s">
        <v>44</v>
      </c>
      <c r="I105" s="18" t="s">
        <v>36</v>
      </c>
      <c r="J105" s="18">
        <v>0.04</v>
      </c>
      <c r="K105" s="30">
        <f t="shared" si="3"/>
        <v>2.7586206896551727E-2</v>
      </c>
      <c r="L105" s="31">
        <v>6.5</v>
      </c>
      <c r="M105" s="5"/>
      <c r="N105" s="6"/>
      <c r="O105" s="11"/>
      <c r="Q105" s="11"/>
      <c r="R105" s="11"/>
      <c r="S105" s="11"/>
      <c r="T105" s="11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>
      <c r="A106" s="26"/>
      <c r="B106" s="27"/>
      <c r="C106" s="18"/>
      <c r="D106" s="28"/>
      <c r="E106" s="18"/>
      <c r="F106" s="18"/>
      <c r="G106" s="29"/>
      <c r="H106" s="18"/>
      <c r="I106" s="18"/>
      <c r="J106" s="18">
        <v>0.04</v>
      </c>
      <c r="K106" s="30">
        <f t="shared" si="3"/>
        <v>2.7586206896551727E-2</v>
      </c>
      <c r="L106" s="31">
        <v>7.6</v>
      </c>
      <c r="M106" s="5"/>
      <c r="N106" s="6"/>
      <c r="O106" s="11"/>
      <c r="Q106" s="11"/>
      <c r="R106" s="11"/>
      <c r="S106" s="11"/>
      <c r="T106" s="11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>
      <c r="A107" s="26"/>
      <c r="B107" s="27"/>
      <c r="C107" s="18"/>
      <c r="D107" s="28"/>
      <c r="E107" s="18"/>
      <c r="F107" s="18"/>
      <c r="G107" s="29"/>
      <c r="H107" s="18"/>
      <c r="I107" s="18"/>
      <c r="J107" s="18">
        <v>0.04</v>
      </c>
      <c r="K107" s="30">
        <f t="shared" si="3"/>
        <v>2.7586206896551727E-2</v>
      </c>
      <c r="L107" s="31">
        <v>20.5</v>
      </c>
      <c r="M107" s="5"/>
      <c r="N107" s="6"/>
      <c r="O107" s="11"/>
      <c r="Q107" s="11"/>
      <c r="R107" s="11"/>
      <c r="S107" s="11"/>
      <c r="T107" s="11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>
      <c r="A108" s="26"/>
      <c r="B108" s="27"/>
      <c r="C108" s="18"/>
      <c r="D108" s="28"/>
      <c r="E108" s="18"/>
      <c r="F108" s="18"/>
      <c r="G108" s="29"/>
      <c r="H108" s="18"/>
      <c r="I108" s="18"/>
      <c r="J108" s="18">
        <v>1.45</v>
      </c>
      <c r="K108" s="30">
        <v>1</v>
      </c>
      <c r="L108" s="31">
        <v>0.88</v>
      </c>
      <c r="N108" s="6"/>
      <c r="O108" s="11"/>
      <c r="Q108" s="11"/>
      <c r="R108" s="11"/>
      <c r="S108" s="11"/>
      <c r="T108" s="11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>
      <c r="A109" s="26"/>
      <c r="B109" s="27"/>
      <c r="C109" s="18"/>
      <c r="D109" s="28"/>
      <c r="E109" s="18"/>
      <c r="F109" s="18"/>
      <c r="G109" s="29"/>
      <c r="H109" s="18"/>
      <c r="I109" s="18"/>
      <c r="J109" s="18">
        <v>1.45</v>
      </c>
      <c r="K109" s="30">
        <v>1</v>
      </c>
      <c r="L109" s="31">
        <v>1.46</v>
      </c>
      <c r="N109" s="6"/>
      <c r="O109" s="11"/>
      <c r="Q109" s="8"/>
      <c r="R109" s="8"/>
      <c r="S109" s="11"/>
      <c r="T109" s="11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17" thickBot="1">
      <c r="A110" s="41"/>
      <c r="B110" s="42"/>
      <c r="C110" s="43"/>
      <c r="D110" s="44"/>
      <c r="E110" s="43"/>
      <c r="F110" s="43"/>
      <c r="G110" s="45"/>
      <c r="H110" s="43"/>
      <c r="I110" s="43"/>
      <c r="J110" s="43">
        <v>1.45</v>
      </c>
      <c r="K110" s="46">
        <v>1</v>
      </c>
      <c r="L110" s="47">
        <v>0.85</v>
      </c>
      <c r="N110" s="6"/>
      <c r="O110" s="11"/>
      <c r="Q110" s="11"/>
      <c r="R110" s="8"/>
      <c r="S110" s="11"/>
      <c r="T110" s="11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>
      <c r="K111" s="112"/>
    </row>
    <row r="112" spans="1:39">
      <c r="K112" s="112"/>
    </row>
    <row r="113" spans="1:13">
      <c r="K113" s="112"/>
    </row>
    <row r="114" spans="1:13" s="5" customFormat="1">
      <c r="A114" s="16"/>
      <c r="B114" s="110"/>
      <c r="C114" s="16"/>
      <c r="D114" s="111"/>
      <c r="E114" s="16"/>
      <c r="F114" s="16"/>
      <c r="G114" s="16"/>
      <c r="H114" s="16"/>
      <c r="I114" s="16"/>
      <c r="J114" s="16"/>
      <c r="K114" s="112"/>
      <c r="L114" s="16"/>
      <c r="M114" s="1"/>
    </row>
    <row r="115" spans="1:13" s="5" customFormat="1">
      <c r="A115" s="16"/>
      <c r="B115" s="110"/>
      <c r="C115" s="16"/>
      <c r="D115" s="111"/>
      <c r="E115" s="16"/>
      <c r="F115" s="16"/>
      <c r="G115" s="16"/>
      <c r="H115" s="16"/>
      <c r="I115" s="16"/>
      <c r="J115" s="16"/>
      <c r="K115" s="112"/>
      <c r="L115" s="16"/>
      <c r="M115" s="1"/>
    </row>
    <row r="116" spans="1:13" s="5" customFormat="1">
      <c r="A116" s="16"/>
      <c r="B116" s="110"/>
      <c r="C116" s="16"/>
      <c r="D116" s="111"/>
      <c r="E116" s="16"/>
      <c r="F116" s="16"/>
      <c r="G116" s="16"/>
      <c r="H116" s="16"/>
      <c r="I116" s="16"/>
      <c r="J116" s="16"/>
      <c r="K116" s="112"/>
      <c r="L116" s="16"/>
      <c r="M116" s="1"/>
    </row>
    <row r="117" spans="1:13" s="5" customFormat="1">
      <c r="A117" s="16"/>
      <c r="B117" s="110"/>
      <c r="C117" s="16"/>
      <c r="D117" s="111"/>
      <c r="E117" s="16"/>
      <c r="F117" s="16"/>
      <c r="G117" s="16"/>
      <c r="H117" s="16"/>
      <c r="I117" s="16"/>
      <c r="J117" s="16"/>
      <c r="K117" s="112"/>
      <c r="L117" s="16"/>
      <c r="M117" s="1"/>
    </row>
    <row r="118" spans="1:13" s="5" customFormat="1">
      <c r="A118" s="16"/>
      <c r="B118" s="110"/>
      <c r="C118" s="16"/>
      <c r="D118" s="111"/>
      <c r="E118" s="16"/>
      <c r="F118" s="16"/>
      <c r="G118" s="16"/>
      <c r="H118" s="16"/>
      <c r="I118" s="16"/>
      <c r="J118" s="16"/>
      <c r="K118" s="112"/>
      <c r="L118" s="16"/>
      <c r="M118" s="1"/>
    </row>
    <row r="119" spans="1:13" s="5" customFormat="1">
      <c r="A119" s="16"/>
      <c r="B119" s="110"/>
      <c r="C119" s="16"/>
      <c r="D119" s="111"/>
      <c r="E119" s="16"/>
      <c r="F119" s="16"/>
      <c r="G119" s="16"/>
      <c r="H119" s="16"/>
      <c r="I119" s="16"/>
      <c r="J119" s="16"/>
      <c r="K119" s="112"/>
      <c r="L119" s="16"/>
      <c r="M119" s="1"/>
    </row>
    <row r="120" spans="1:13" s="5" customFormat="1">
      <c r="A120" s="16"/>
      <c r="B120" s="110"/>
      <c r="C120" s="16"/>
      <c r="D120" s="111"/>
      <c r="E120" s="16"/>
      <c r="F120" s="16"/>
      <c r="G120" s="16"/>
      <c r="H120" s="16"/>
      <c r="I120" s="16"/>
      <c r="J120" s="16"/>
      <c r="K120" s="112"/>
      <c r="L120" s="16"/>
      <c r="M120" s="1"/>
    </row>
    <row r="121" spans="1:13" s="5" customFormat="1">
      <c r="A121" s="16"/>
      <c r="B121" s="110"/>
      <c r="C121" s="16"/>
      <c r="D121" s="111"/>
      <c r="E121" s="16"/>
      <c r="F121" s="16"/>
      <c r="G121" s="16"/>
      <c r="H121" s="16"/>
      <c r="I121" s="16"/>
      <c r="J121" s="16"/>
      <c r="K121" s="112"/>
      <c r="L121" s="16"/>
      <c r="M121" s="1"/>
    </row>
    <row r="122" spans="1:13" s="5" customFormat="1">
      <c r="A122" s="16"/>
      <c r="B122" s="110"/>
      <c r="C122" s="16"/>
      <c r="D122" s="111"/>
      <c r="E122" s="16"/>
      <c r="F122" s="16"/>
      <c r="G122" s="16"/>
      <c r="H122" s="16"/>
      <c r="I122" s="16"/>
      <c r="J122" s="16"/>
      <c r="K122" s="112"/>
      <c r="L122" s="16"/>
      <c r="M122" s="1"/>
    </row>
    <row r="123" spans="1:13" s="5" customFormat="1">
      <c r="A123" s="16"/>
      <c r="B123" s="110"/>
      <c r="C123" s="16"/>
      <c r="D123" s="111"/>
      <c r="E123" s="16"/>
      <c r="F123" s="16"/>
      <c r="G123" s="16"/>
      <c r="H123" s="16"/>
      <c r="I123" s="16"/>
      <c r="J123" s="16"/>
      <c r="K123" s="112"/>
      <c r="L123" s="16"/>
      <c r="M123" s="1"/>
    </row>
    <row r="124" spans="1:13" s="5" customFormat="1">
      <c r="A124" s="16"/>
      <c r="B124" s="110"/>
      <c r="C124" s="16"/>
      <c r="D124" s="111"/>
      <c r="E124" s="16"/>
      <c r="F124" s="16"/>
      <c r="G124" s="16"/>
      <c r="H124" s="16"/>
      <c r="I124" s="16"/>
      <c r="J124" s="16"/>
      <c r="K124" s="112"/>
      <c r="L124" s="16"/>
      <c r="M124" s="1"/>
    </row>
    <row r="125" spans="1:13" s="5" customFormat="1">
      <c r="A125" s="16"/>
      <c r="B125" s="110"/>
      <c r="C125" s="16"/>
      <c r="D125" s="111"/>
      <c r="E125" s="16"/>
      <c r="F125" s="16"/>
      <c r="G125" s="16"/>
      <c r="H125" s="16"/>
      <c r="I125" s="16"/>
      <c r="J125" s="16"/>
      <c r="K125" s="112"/>
      <c r="L125" s="16"/>
      <c r="M125" s="1"/>
    </row>
    <row r="126" spans="1:13" s="5" customFormat="1">
      <c r="A126" s="16"/>
      <c r="B126" s="110"/>
      <c r="C126" s="16"/>
      <c r="D126" s="111"/>
      <c r="E126" s="16"/>
      <c r="F126" s="16"/>
      <c r="G126" s="16"/>
      <c r="H126" s="16"/>
      <c r="I126" s="16"/>
      <c r="J126" s="16"/>
      <c r="K126" s="112"/>
      <c r="L126" s="16"/>
      <c r="M126" s="1"/>
    </row>
    <row r="127" spans="1:13" s="5" customFormat="1">
      <c r="A127" s="16"/>
      <c r="B127" s="110"/>
      <c r="C127" s="16"/>
      <c r="D127" s="111"/>
      <c r="E127" s="16"/>
      <c r="F127" s="16"/>
      <c r="G127" s="16"/>
      <c r="H127" s="16"/>
      <c r="I127" s="16"/>
      <c r="J127" s="16"/>
      <c r="K127" s="112"/>
      <c r="L127" s="16"/>
      <c r="M127" s="1"/>
    </row>
    <row r="128" spans="1:13" s="5" customFormat="1">
      <c r="A128" s="16"/>
      <c r="B128" s="110"/>
      <c r="C128" s="16"/>
      <c r="D128" s="111"/>
      <c r="E128" s="16"/>
      <c r="F128" s="16"/>
      <c r="G128" s="16"/>
      <c r="H128" s="16"/>
      <c r="I128" s="16"/>
      <c r="J128" s="16"/>
      <c r="K128" s="112"/>
      <c r="L128" s="16"/>
      <c r="M128" s="1"/>
    </row>
    <row r="129" spans="1:13" s="5" customFormat="1">
      <c r="A129" s="16"/>
      <c r="B129" s="110"/>
      <c r="C129" s="16"/>
      <c r="D129" s="111"/>
      <c r="E129" s="16"/>
      <c r="F129" s="16"/>
      <c r="G129" s="16"/>
      <c r="H129" s="16"/>
      <c r="I129" s="16"/>
      <c r="J129" s="16"/>
      <c r="K129" s="112"/>
      <c r="L129" s="16"/>
      <c r="M129" s="1"/>
    </row>
    <row r="130" spans="1:13" s="5" customFormat="1">
      <c r="A130" s="16"/>
      <c r="B130" s="110"/>
      <c r="C130" s="16"/>
      <c r="D130" s="111"/>
      <c r="E130" s="16"/>
      <c r="F130" s="16"/>
      <c r="G130" s="16"/>
      <c r="H130" s="16"/>
      <c r="I130" s="16"/>
      <c r="J130" s="16"/>
      <c r="K130" s="112"/>
      <c r="L130" s="16"/>
      <c r="M130" s="1"/>
    </row>
    <row r="131" spans="1:13" s="5" customFormat="1">
      <c r="A131" s="16"/>
      <c r="B131" s="110"/>
      <c r="C131" s="16"/>
      <c r="D131" s="111"/>
      <c r="E131" s="16"/>
      <c r="F131" s="16"/>
      <c r="G131" s="16"/>
      <c r="H131" s="16"/>
      <c r="I131" s="16"/>
      <c r="J131" s="16"/>
      <c r="K131" s="112"/>
      <c r="L131" s="16"/>
      <c r="M131" s="1"/>
    </row>
    <row r="132" spans="1:13" s="5" customFormat="1">
      <c r="A132" s="16"/>
      <c r="B132" s="110"/>
      <c r="C132" s="16"/>
      <c r="D132" s="111"/>
      <c r="E132" s="16"/>
      <c r="F132" s="16"/>
      <c r="G132" s="16"/>
      <c r="H132" s="16"/>
      <c r="I132" s="16"/>
      <c r="J132" s="16"/>
      <c r="K132" s="112"/>
      <c r="L132" s="16"/>
      <c r="M132" s="1"/>
    </row>
    <row r="133" spans="1:13" s="5" customFormat="1">
      <c r="A133" s="16"/>
      <c r="B133" s="110"/>
      <c r="C133" s="16"/>
      <c r="D133" s="111"/>
      <c r="E133" s="16"/>
      <c r="F133" s="16"/>
      <c r="G133" s="16"/>
      <c r="H133" s="16"/>
      <c r="I133" s="16"/>
      <c r="J133" s="16"/>
      <c r="K133" s="112"/>
      <c r="L133" s="16"/>
      <c r="M133" s="1"/>
    </row>
    <row r="134" spans="1:13" s="5" customFormat="1">
      <c r="A134" s="16"/>
      <c r="B134" s="110"/>
      <c r="C134" s="16"/>
      <c r="D134" s="111"/>
      <c r="E134" s="16"/>
      <c r="F134" s="16"/>
      <c r="G134" s="16"/>
      <c r="H134" s="16"/>
      <c r="I134" s="16"/>
      <c r="J134" s="16"/>
      <c r="K134" s="112"/>
      <c r="L134" s="16"/>
      <c r="M134" s="1"/>
    </row>
    <row r="135" spans="1:13" s="5" customFormat="1">
      <c r="A135" s="16"/>
      <c r="B135" s="110"/>
      <c r="C135" s="16"/>
      <c r="D135" s="111"/>
      <c r="E135" s="16"/>
      <c r="F135" s="16"/>
      <c r="G135" s="16"/>
      <c r="H135" s="16"/>
      <c r="I135" s="16"/>
      <c r="J135" s="16"/>
      <c r="K135" s="112"/>
      <c r="L135" s="16"/>
      <c r="M135" s="1"/>
    </row>
    <row r="136" spans="1:13" s="5" customFormat="1">
      <c r="A136" s="16"/>
      <c r="B136" s="110"/>
      <c r="C136" s="16"/>
      <c r="D136" s="111"/>
      <c r="E136" s="16"/>
      <c r="F136" s="16"/>
      <c r="G136" s="16"/>
      <c r="H136" s="16"/>
      <c r="I136" s="16"/>
      <c r="J136" s="16"/>
      <c r="K136" s="112"/>
      <c r="L136" s="16"/>
      <c r="M136" s="1"/>
    </row>
    <row r="137" spans="1:13" s="5" customFormat="1">
      <c r="A137" s="16"/>
      <c r="B137" s="110"/>
      <c r="C137" s="16"/>
      <c r="D137" s="111"/>
      <c r="E137" s="16"/>
      <c r="F137" s="16"/>
      <c r="G137" s="16"/>
      <c r="H137" s="16"/>
      <c r="I137" s="16"/>
      <c r="J137" s="16"/>
      <c r="K137" s="112"/>
      <c r="L137" s="16"/>
      <c r="M137" s="1"/>
    </row>
    <row r="138" spans="1:13" s="5" customFormat="1">
      <c r="A138" s="16"/>
      <c r="B138" s="110"/>
      <c r="C138" s="16"/>
      <c r="D138" s="111"/>
      <c r="E138" s="16"/>
      <c r="F138" s="16"/>
      <c r="G138" s="16"/>
      <c r="H138" s="16"/>
      <c r="I138" s="16"/>
      <c r="J138" s="16"/>
      <c r="K138" s="112"/>
      <c r="L138" s="16"/>
      <c r="M138" s="1"/>
    </row>
    <row r="139" spans="1:13" s="5" customFormat="1">
      <c r="A139" s="16"/>
      <c r="B139" s="110"/>
      <c r="C139" s="16"/>
      <c r="D139" s="111"/>
      <c r="E139" s="16"/>
      <c r="F139" s="16"/>
      <c r="G139" s="16"/>
      <c r="H139" s="16"/>
      <c r="I139" s="16"/>
      <c r="J139" s="16"/>
      <c r="K139" s="112"/>
      <c r="L139" s="16"/>
      <c r="M139" s="1"/>
    </row>
    <row r="140" spans="1:13" s="5" customFormat="1">
      <c r="A140" s="16"/>
      <c r="B140" s="110"/>
      <c r="C140" s="16"/>
      <c r="D140" s="111"/>
      <c r="E140" s="16"/>
      <c r="F140" s="16"/>
      <c r="G140" s="16"/>
      <c r="H140" s="16"/>
      <c r="I140" s="16"/>
      <c r="J140" s="16"/>
      <c r="K140" s="112"/>
      <c r="L140" s="16"/>
      <c r="M140" s="1"/>
    </row>
    <row r="141" spans="1:13" s="5" customFormat="1">
      <c r="A141" s="16"/>
      <c r="B141" s="110"/>
      <c r="C141" s="16"/>
      <c r="D141" s="111"/>
      <c r="E141" s="16"/>
      <c r="F141" s="16"/>
      <c r="G141" s="16"/>
      <c r="H141" s="16"/>
      <c r="I141" s="16"/>
      <c r="J141" s="16"/>
      <c r="K141" s="112"/>
      <c r="L141" s="16"/>
      <c r="M141" s="1"/>
    </row>
    <row r="142" spans="1:13" s="5" customFormat="1">
      <c r="A142" s="16"/>
      <c r="B142" s="110"/>
      <c r="C142" s="16"/>
      <c r="D142" s="111"/>
      <c r="E142" s="16"/>
      <c r="F142" s="16"/>
      <c r="G142" s="16"/>
      <c r="H142" s="16"/>
      <c r="I142" s="16"/>
      <c r="J142" s="16"/>
      <c r="K142" s="112"/>
      <c r="L142" s="16"/>
      <c r="M142" s="1"/>
    </row>
    <row r="143" spans="1:13" s="5" customFormat="1">
      <c r="A143" s="16"/>
      <c r="B143" s="110"/>
      <c r="C143" s="16"/>
      <c r="D143" s="111"/>
      <c r="E143" s="16"/>
      <c r="F143" s="16"/>
      <c r="G143" s="16"/>
      <c r="H143" s="16"/>
      <c r="I143" s="16"/>
      <c r="J143" s="16"/>
      <c r="K143" s="112"/>
      <c r="L143" s="16"/>
      <c r="M143" s="1"/>
    </row>
    <row r="144" spans="1:13" s="5" customFormat="1">
      <c r="A144" s="16"/>
      <c r="B144" s="110"/>
      <c r="C144" s="16"/>
      <c r="D144" s="111"/>
      <c r="E144" s="16"/>
      <c r="F144" s="16"/>
      <c r="G144" s="16"/>
      <c r="H144" s="16"/>
      <c r="I144" s="16"/>
      <c r="J144" s="16"/>
      <c r="K144" s="112"/>
      <c r="L144" s="16"/>
      <c r="M144" s="1"/>
    </row>
    <row r="145" spans="11:39">
      <c r="K145" s="112"/>
      <c r="N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1:39">
      <c r="K146" s="112"/>
      <c r="N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1:39">
      <c r="K147" s="112"/>
      <c r="N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1:39">
      <c r="K148" s="112"/>
      <c r="N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1:39">
      <c r="N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1:39">
      <c r="N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1:39">
      <c r="N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</sheetData>
  <phoneticPr fontId="18" type="noConversion"/>
  <pageMargins left="0.7" right="0.7" top="0.75" bottom="0.75" header="0.3" footer="0.3"/>
  <pageSetup scale="48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7"/>
  <sheetViews>
    <sheetView zoomScale="110" workbookViewId="0">
      <selection activeCell="J37" sqref="A1:J37"/>
    </sheetView>
  </sheetViews>
  <sheetFormatPr baseColWidth="10" defaultRowHeight="16"/>
  <cols>
    <col min="1" max="1" width="6.33203125" style="16" bestFit="1" customWidth="1"/>
    <col min="2" max="2" width="14.5" style="16" bestFit="1" customWidth="1"/>
    <col min="3" max="3" width="9.6640625" style="16" bestFit="1" customWidth="1"/>
    <col min="4" max="4" width="15.83203125" style="16" bestFit="1" customWidth="1"/>
    <col min="5" max="5" width="11" style="16" bestFit="1" customWidth="1"/>
    <col min="6" max="6" width="10.6640625" style="16" bestFit="1" customWidth="1"/>
    <col min="7" max="7" width="11" style="16" bestFit="1" customWidth="1"/>
    <col min="8" max="10" width="10.33203125" style="16" bestFit="1" customWidth="1"/>
  </cols>
  <sheetData>
    <row r="1" spans="1:10" ht="18">
      <c r="A1" s="134" t="s">
        <v>595</v>
      </c>
      <c r="B1" s="135" t="s">
        <v>596</v>
      </c>
      <c r="C1" s="135" t="s">
        <v>598</v>
      </c>
      <c r="D1" s="135" t="s">
        <v>599</v>
      </c>
      <c r="E1" s="135" t="s">
        <v>636</v>
      </c>
      <c r="F1" s="135" t="s">
        <v>637</v>
      </c>
      <c r="G1" s="135" t="s">
        <v>600</v>
      </c>
      <c r="H1" s="135" t="s">
        <v>638</v>
      </c>
      <c r="I1" s="135" t="s">
        <v>639</v>
      </c>
      <c r="J1" s="136" t="s">
        <v>640</v>
      </c>
    </row>
    <row r="2" spans="1:10" ht="19" thickBot="1">
      <c r="A2" s="137"/>
      <c r="B2" s="138"/>
      <c r="C2" s="138" t="s">
        <v>641</v>
      </c>
      <c r="D2" s="138" t="s">
        <v>642</v>
      </c>
      <c r="E2" s="138" t="s">
        <v>643</v>
      </c>
      <c r="F2" s="138" t="s">
        <v>644</v>
      </c>
      <c r="G2" s="138" t="s">
        <v>645</v>
      </c>
      <c r="H2" s="138" t="s">
        <v>646</v>
      </c>
      <c r="I2" s="138" t="s">
        <v>646</v>
      </c>
      <c r="J2" s="139" t="s">
        <v>646</v>
      </c>
    </row>
    <row r="3" spans="1:10">
      <c r="A3" s="132">
        <v>1</v>
      </c>
      <c r="B3" s="132" t="s">
        <v>601</v>
      </c>
      <c r="C3" s="133">
        <v>0.11304</v>
      </c>
      <c r="D3" s="133">
        <v>2.5660936684839301E-12</v>
      </c>
      <c r="E3" s="133">
        <v>0</v>
      </c>
      <c r="F3" s="133">
        <v>5.1653447403570796E-4</v>
      </c>
      <c r="G3" s="133">
        <v>5.1653447403570801E-7</v>
      </c>
      <c r="H3" s="133">
        <v>8.2645515845713204E-3</v>
      </c>
      <c r="I3" s="133">
        <v>8.2645515845713204E-3</v>
      </c>
      <c r="J3" s="133">
        <v>4.1322757922856602E-3</v>
      </c>
    </row>
    <row r="4" spans="1:10">
      <c r="A4" s="15">
        <v>2</v>
      </c>
      <c r="B4" s="15" t="s">
        <v>601</v>
      </c>
      <c r="C4" s="17">
        <v>0.38151000000000002</v>
      </c>
      <c r="D4" s="17">
        <v>7.7891937212959098E-12</v>
      </c>
      <c r="E4" s="17">
        <v>0</v>
      </c>
      <c r="F4" s="17">
        <v>8.78919929239735E-4</v>
      </c>
      <c r="G4" s="17">
        <v>8.7891992923973504E-7</v>
      </c>
      <c r="H4" s="17">
        <v>1.4062718867835699E-2</v>
      </c>
      <c r="I4" s="17">
        <v>1.4062718867835699E-2</v>
      </c>
      <c r="J4" s="17">
        <v>7.03135943391788E-3</v>
      </c>
    </row>
    <row r="5" spans="1:10">
      <c r="A5" s="15">
        <v>3</v>
      </c>
      <c r="B5" s="15" t="s">
        <v>602</v>
      </c>
      <c r="C5" s="17">
        <v>1.4360266666666663</v>
      </c>
      <c r="D5" s="17">
        <v>2.36435402078369E-11</v>
      </c>
      <c r="E5" s="17">
        <v>0</v>
      </c>
      <c r="F5" s="17">
        <v>1.49554440380174E-3</v>
      </c>
      <c r="G5" s="17">
        <v>1.4955444038017399E-6</v>
      </c>
      <c r="H5" s="17">
        <v>2.3928710460827899E-2</v>
      </c>
      <c r="I5" s="17">
        <v>2.3928710460827899E-2</v>
      </c>
      <c r="J5" s="17">
        <v>1.1964355230413899E-2</v>
      </c>
    </row>
    <row r="6" spans="1:10">
      <c r="A6" s="15">
        <v>4</v>
      </c>
      <c r="B6" s="15" t="s">
        <v>602</v>
      </c>
      <c r="C6" s="17">
        <v>4.1866666666666665</v>
      </c>
      <c r="D6" s="17">
        <v>7.1768274555969597E-11</v>
      </c>
      <c r="E6" s="17">
        <v>0</v>
      </c>
      <c r="F6" s="17">
        <v>2.54477454581946E-3</v>
      </c>
      <c r="G6" s="17">
        <v>2.54477454581946E-6</v>
      </c>
      <c r="H6" s="17">
        <v>4.0716392733111402E-2</v>
      </c>
      <c r="I6" s="17">
        <v>4.0716392733111402E-2</v>
      </c>
      <c r="J6" s="17">
        <v>2.0358196366555701E-2</v>
      </c>
    </row>
    <row r="7" spans="1:10">
      <c r="A7" s="15">
        <v>5</v>
      </c>
      <c r="B7" s="15" t="s">
        <v>603</v>
      </c>
      <c r="C7" s="17">
        <v>14.129999999999999</v>
      </c>
      <c r="D7" s="17">
        <v>2.1784746224399101E-10</v>
      </c>
      <c r="E7" s="17">
        <v>0</v>
      </c>
      <c r="F7" s="17">
        <v>4.4062064138183296E-3</v>
      </c>
      <c r="G7" s="17">
        <v>4.4062064138183301E-6</v>
      </c>
      <c r="H7" s="17">
        <v>7.0499302621093399E-2</v>
      </c>
      <c r="I7" s="17">
        <v>7.0499302621093399E-2</v>
      </c>
      <c r="J7" s="17">
        <v>3.5249651310546699E-2</v>
      </c>
    </row>
    <row r="8" spans="1:10">
      <c r="A8" s="15">
        <v>6</v>
      </c>
      <c r="B8" s="15" t="s">
        <v>603</v>
      </c>
      <c r="C8" s="17">
        <v>47.688749999999999</v>
      </c>
      <c r="D8" s="17">
        <v>6.6126038419854595E-10</v>
      </c>
      <c r="E8" s="17">
        <v>0</v>
      </c>
      <c r="F8" s="17">
        <v>6.2063296335470499E-3</v>
      </c>
      <c r="G8" s="17">
        <v>6.2063296335470499E-6</v>
      </c>
      <c r="H8" s="17">
        <v>9.9301274136752798E-2</v>
      </c>
      <c r="I8" s="17">
        <v>9.9301274136752798E-2</v>
      </c>
      <c r="J8" s="17">
        <v>4.9650637068376399E-2</v>
      </c>
    </row>
    <row r="9" spans="1:10">
      <c r="A9" s="15">
        <v>7</v>
      </c>
      <c r="B9" s="15" t="s">
        <v>603</v>
      </c>
      <c r="C9" s="17">
        <v>150.45623999999998</v>
      </c>
      <c r="D9" s="17">
        <v>2.0072085816665001E-9</v>
      </c>
      <c r="E9" s="17">
        <v>0</v>
      </c>
      <c r="F9" s="17">
        <v>8.7418799535686903E-3</v>
      </c>
      <c r="G9" s="17">
        <v>8.74187995356869E-6</v>
      </c>
      <c r="H9" s="17">
        <v>0.13987007925709899</v>
      </c>
      <c r="I9" s="17">
        <v>0.13987007925709899</v>
      </c>
      <c r="J9" s="17">
        <v>6.9935039628549495E-2</v>
      </c>
    </row>
    <row r="10" spans="1:10">
      <c r="A10" s="15">
        <v>8</v>
      </c>
      <c r="B10" s="15" t="s">
        <v>603</v>
      </c>
      <c r="C10" s="17">
        <v>523.33333333333337</v>
      </c>
      <c r="D10" s="17">
        <v>6.0927380296624002E-9</v>
      </c>
      <c r="E10" s="17">
        <v>0</v>
      </c>
      <c r="F10" s="17">
        <v>1.2313310706142701E-2</v>
      </c>
      <c r="G10" s="17">
        <v>1.23133107061427E-5</v>
      </c>
      <c r="H10" s="17">
        <v>0.19701297129828499</v>
      </c>
      <c r="I10" s="17">
        <v>0.19701297129828499</v>
      </c>
      <c r="J10" s="17">
        <v>9.8506485649142203E-2</v>
      </c>
    </row>
    <row r="11" spans="1:10">
      <c r="A11" s="15">
        <v>9</v>
      </c>
      <c r="B11" s="15" t="s">
        <v>603</v>
      </c>
      <c r="C11" s="17">
        <v>1766.25</v>
      </c>
      <c r="D11" s="17">
        <v>1.8494070340848201E-8</v>
      </c>
      <c r="E11" s="17">
        <v>0</v>
      </c>
      <c r="F11" s="17">
        <v>1.73438232223854E-2</v>
      </c>
      <c r="G11" s="17">
        <v>1.7343823222385401E-5</v>
      </c>
      <c r="H11" s="17">
        <v>0.277501171558167</v>
      </c>
      <c r="I11" s="17">
        <v>0.277501171558167</v>
      </c>
      <c r="J11" s="17">
        <v>0.138750585779084</v>
      </c>
    </row>
    <row r="12" spans="1:10">
      <c r="A12" s="15">
        <v>10</v>
      </c>
      <c r="B12" s="15" t="s">
        <v>604</v>
      </c>
      <c r="C12" s="17">
        <v>14.129999999999999</v>
      </c>
      <c r="D12" s="17">
        <v>2.1784746224399101E-10</v>
      </c>
      <c r="E12" s="17">
        <v>0</v>
      </c>
      <c r="F12" s="17">
        <v>1.19597031232212E-3</v>
      </c>
      <c r="G12" s="17">
        <v>4.7838812492884801E-6</v>
      </c>
      <c r="H12" s="17">
        <v>4.7838812492884797E-2</v>
      </c>
      <c r="I12" s="17">
        <v>4.7838812492884797E-2</v>
      </c>
      <c r="J12" s="17">
        <v>2.3919406246442398E-2</v>
      </c>
    </row>
    <row r="13" spans="1:10">
      <c r="A13" s="15">
        <v>11</v>
      </c>
      <c r="B13" s="15" t="s">
        <v>604</v>
      </c>
      <c r="C13" s="17">
        <v>47.688749999999999</v>
      </c>
      <c r="D13" s="17">
        <v>6.6126038419854595E-10</v>
      </c>
      <c r="E13" s="17">
        <v>0</v>
      </c>
      <c r="F13" s="17">
        <v>1.68457518624848E-3</v>
      </c>
      <c r="G13" s="17">
        <v>6.7383007449939403E-6</v>
      </c>
      <c r="H13" s="17">
        <v>6.73830074499394E-2</v>
      </c>
      <c r="I13" s="17">
        <v>6.73830074499394E-2</v>
      </c>
      <c r="J13" s="17">
        <v>3.36915037249697E-2</v>
      </c>
    </row>
    <row r="14" spans="1:10">
      <c r="A14" s="15">
        <v>12</v>
      </c>
      <c r="B14" s="15" t="s">
        <v>604</v>
      </c>
      <c r="C14" s="17">
        <v>150.45623999999998</v>
      </c>
      <c r="D14" s="17">
        <v>2.0072085816665001E-9</v>
      </c>
      <c r="E14" s="17">
        <v>0</v>
      </c>
      <c r="F14" s="17">
        <v>2.37279598739721E-3</v>
      </c>
      <c r="G14" s="17">
        <v>9.4911839495888607E-6</v>
      </c>
      <c r="H14" s="17">
        <v>9.4911839495888606E-2</v>
      </c>
      <c r="I14" s="17">
        <v>9.4911839495888606E-2</v>
      </c>
      <c r="J14" s="17">
        <v>4.7455919747944303E-2</v>
      </c>
    </row>
    <row r="15" spans="1:10">
      <c r="A15" s="15">
        <v>13</v>
      </c>
      <c r="B15" s="15" t="s">
        <v>604</v>
      </c>
      <c r="C15" s="17">
        <v>523.33333333333337</v>
      </c>
      <c r="D15" s="17">
        <v>6.0927380296624002E-9</v>
      </c>
      <c r="E15" s="17">
        <v>0</v>
      </c>
      <c r="F15" s="17">
        <v>3.34218433452447E-3</v>
      </c>
      <c r="G15" s="17">
        <v>1.3368737338097799E-5</v>
      </c>
      <c r="H15" s="17">
        <v>0.133687373380979</v>
      </c>
      <c r="I15" s="17">
        <v>0.133687373380979</v>
      </c>
      <c r="J15" s="17">
        <v>6.6843686690489401E-2</v>
      </c>
    </row>
    <row r="16" spans="1:10">
      <c r="A16" s="15">
        <v>14</v>
      </c>
      <c r="B16" s="15" t="s">
        <v>604</v>
      </c>
      <c r="C16" s="17">
        <v>1766.25</v>
      </c>
      <c r="D16" s="17">
        <v>1.8494070340848201E-8</v>
      </c>
      <c r="E16" s="17">
        <v>0</v>
      </c>
      <c r="F16" s="17">
        <v>4.7076091603617601E-3</v>
      </c>
      <c r="G16" s="17">
        <v>1.8830436641446999E-5</v>
      </c>
      <c r="H16" s="17">
        <v>0.18830436641447101</v>
      </c>
      <c r="I16" s="17">
        <v>0.18830436641447101</v>
      </c>
      <c r="J16" s="17">
        <v>9.4152183207235202E-2</v>
      </c>
    </row>
    <row r="17" spans="1:10">
      <c r="A17" s="18">
        <v>15</v>
      </c>
      <c r="B17" s="15" t="s">
        <v>597</v>
      </c>
      <c r="C17" s="17">
        <v>14.129999999999999</v>
      </c>
      <c r="D17" s="17">
        <v>2.1784746224399101E-10</v>
      </c>
      <c r="E17" s="17">
        <v>0.2</v>
      </c>
      <c r="F17" s="17">
        <v>1.22744321527796E-2</v>
      </c>
      <c r="G17" s="17">
        <v>1.22744321527796E-5</v>
      </c>
      <c r="H17" s="17">
        <v>0.19639091444447401</v>
      </c>
      <c r="I17" s="17">
        <v>0.19639091444447401</v>
      </c>
      <c r="J17" s="17">
        <v>9.8195457222237201E-2</v>
      </c>
    </row>
    <row r="18" spans="1:10">
      <c r="A18" s="18">
        <v>16</v>
      </c>
      <c r="B18" s="15" t="s">
        <v>597</v>
      </c>
      <c r="C18" s="17">
        <v>47.688749999999999</v>
      </c>
      <c r="D18" s="17">
        <v>6.6126038419854595E-10</v>
      </c>
      <c r="E18" s="17">
        <v>0.28000000000000003</v>
      </c>
      <c r="F18" s="17">
        <v>1.7289061122023899E-2</v>
      </c>
      <c r="G18" s="17">
        <v>1.7289061122023899E-5</v>
      </c>
      <c r="H18" s="17">
        <v>0.276624977952383</v>
      </c>
      <c r="I18" s="17">
        <v>0.276624977952383</v>
      </c>
      <c r="J18" s="17">
        <v>0.138312488976192</v>
      </c>
    </row>
    <row r="19" spans="1:10">
      <c r="A19" s="18">
        <v>17</v>
      </c>
      <c r="B19" s="15" t="s">
        <v>597</v>
      </c>
      <c r="C19" s="17">
        <v>150.45623999999998</v>
      </c>
      <c r="D19" s="17">
        <v>2.0072085816665001E-9</v>
      </c>
      <c r="E19" s="17">
        <v>0.39</v>
      </c>
      <c r="F19" s="17">
        <v>2.43523798706556E-2</v>
      </c>
      <c r="G19" s="17">
        <v>2.4352379870655598E-5</v>
      </c>
      <c r="H19" s="17">
        <v>0.38963807793048999</v>
      </c>
      <c r="I19" s="17">
        <v>0.38963807793048999</v>
      </c>
      <c r="J19" s="17">
        <v>0.19481903896524499</v>
      </c>
    </row>
    <row r="20" spans="1:10">
      <c r="A20" s="18">
        <v>18</v>
      </c>
      <c r="B20" s="15" t="s">
        <v>597</v>
      </c>
      <c r="C20" s="17">
        <v>523.33333333333337</v>
      </c>
      <c r="D20" s="17">
        <v>6.0927380296624002E-9</v>
      </c>
      <c r="E20" s="17">
        <v>0.54882184899999997</v>
      </c>
      <c r="F20" s="17">
        <v>3.4301365538540601E-2</v>
      </c>
      <c r="G20" s="17">
        <v>3.4301365538540601E-5</v>
      </c>
      <c r="H20" s="17">
        <v>0.54882184861664995</v>
      </c>
      <c r="I20" s="17">
        <v>0.54882184861664995</v>
      </c>
      <c r="J20" s="17">
        <v>0.27441092430832498</v>
      </c>
    </row>
    <row r="21" spans="1:10">
      <c r="A21" s="18">
        <v>19</v>
      </c>
      <c r="B21" s="15" t="s">
        <v>597</v>
      </c>
      <c r="C21" s="17">
        <v>1766.25</v>
      </c>
      <c r="D21" s="17">
        <v>1.8494070340848201E-8</v>
      </c>
      <c r="E21" s="17">
        <v>0.77</v>
      </c>
      <c r="F21" s="17">
        <v>4.83149361195023E-2</v>
      </c>
      <c r="G21" s="17">
        <v>4.8314936119502301E-5</v>
      </c>
      <c r="H21" s="17">
        <v>0.77303897791203702</v>
      </c>
      <c r="I21" s="17">
        <v>0.77303897791203702</v>
      </c>
      <c r="J21" s="17">
        <v>0.38651948895601901</v>
      </c>
    </row>
    <row r="22" spans="1:10">
      <c r="A22" s="18">
        <v>20</v>
      </c>
      <c r="B22" s="15" t="s">
        <v>597</v>
      </c>
      <c r="C22" s="17">
        <v>5572.4533333333329</v>
      </c>
      <c r="D22" s="17">
        <v>5.6137427230100903E-8</v>
      </c>
      <c r="E22" s="17">
        <v>1.1000000000000001</v>
      </c>
      <c r="F22" s="17">
        <v>6.8053647881999302E-2</v>
      </c>
      <c r="G22" s="17">
        <v>6.8053647881999305E-5</v>
      </c>
      <c r="H22" s="17">
        <v>1.0888583661119899</v>
      </c>
      <c r="I22" s="17">
        <v>1.0888583661119899</v>
      </c>
      <c r="J22" s="17">
        <v>0.54442918305599497</v>
      </c>
    </row>
    <row r="23" spans="1:10">
      <c r="A23" s="18">
        <v>21</v>
      </c>
      <c r="B23" s="15" t="s">
        <v>597</v>
      </c>
      <c r="C23" s="17">
        <v>17148.586666666666</v>
      </c>
      <c r="D23" s="17">
        <v>1.7040114360624499E-7</v>
      </c>
      <c r="E23" s="17">
        <v>1.5</v>
      </c>
      <c r="F23" s="17">
        <v>9.5856465143451294E-2</v>
      </c>
      <c r="G23" s="17">
        <v>9.5856465143451301E-5</v>
      </c>
      <c r="H23" s="17">
        <v>1.53370344229522</v>
      </c>
      <c r="I23" s="17">
        <v>1.53370344229522</v>
      </c>
      <c r="J23" s="17">
        <v>0.76685172114761102</v>
      </c>
    </row>
    <row r="24" spans="1:10">
      <c r="A24" s="18">
        <v>22</v>
      </c>
      <c r="B24" s="15" t="s">
        <v>597</v>
      </c>
      <c r="C24" s="17">
        <v>54334.036666666667</v>
      </c>
      <c r="D24" s="17">
        <v>5.1724047885733496E-7</v>
      </c>
      <c r="E24" s="17">
        <v>2.2000000000000002</v>
      </c>
      <c r="F24" s="17">
        <v>0.13501791888849099</v>
      </c>
      <c r="G24" s="17">
        <v>1.3501791888849001E-4</v>
      </c>
      <c r="H24" s="17">
        <v>2.1602867022158501</v>
      </c>
      <c r="I24" s="17">
        <v>2.1602867022158501</v>
      </c>
      <c r="J24" s="17">
        <v>1.0801433511079299</v>
      </c>
    </row>
    <row r="25" spans="1:10">
      <c r="A25" s="18">
        <v>23</v>
      </c>
      <c r="B25" s="15" t="s">
        <v>597</v>
      </c>
      <c r="C25" s="17">
        <v>179503.33333333331</v>
      </c>
      <c r="D25" s="17">
        <v>1.57004646392972E-6</v>
      </c>
      <c r="E25" s="17">
        <v>3.0428559439999998</v>
      </c>
      <c r="F25" s="17">
        <v>0.19017849650201199</v>
      </c>
      <c r="G25" s="17">
        <v>1.90178496502012E-4</v>
      </c>
      <c r="H25" s="17">
        <v>3.0428559440321901</v>
      </c>
      <c r="I25" s="17">
        <v>3.0428559440321901</v>
      </c>
      <c r="J25" s="17">
        <v>1.5214279720160999</v>
      </c>
    </row>
    <row r="26" spans="1:10">
      <c r="A26" s="15">
        <v>24</v>
      </c>
      <c r="B26" s="15" t="s">
        <v>597</v>
      </c>
      <c r="C26" s="17">
        <v>588678.82666666666</v>
      </c>
      <c r="D26" s="17">
        <v>4.7657637011393298E-6</v>
      </c>
      <c r="E26" s="17">
        <v>4.3</v>
      </c>
      <c r="F26" s="17">
        <v>0.26787452235607501</v>
      </c>
      <c r="G26" s="17">
        <v>2.6787452235607498E-4</v>
      </c>
      <c r="H26" s="17">
        <v>4.2859923576972001</v>
      </c>
      <c r="I26" s="17">
        <v>4.2859923576972001</v>
      </c>
      <c r="J26" s="17">
        <v>2.1429961788486001</v>
      </c>
    </row>
    <row r="27" spans="1:10">
      <c r="A27" s="15">
        <v>25</v>
      </c>
      <c r="B27" s="15" t="s">
        <v>597</v>
      </c>
      <c r="C27" s="17">
        <v>1911351.4933333332</v>
      </c>
      <c r="D27" s="17">
        <v>1.44661347144143E-5</v>
      </c>
      <c r="E27" s="17">
        <v>6</v>
      </c>
      <c r="F27" s="17">
        <v>0.377312688065847</v>
      </c>
      <c r="G27" s="17">
        <v>3.7731268806584598E-4</v>
      </c>
      <c r="H27" s="17">
        <v>6.0370030090535503</v>
      </c>
      <c r="I27" s="17">
        <v>6.0370030090535503</v>
      </c>
      <c r="J27" s="17">
        <v>3.01850150452678</v>
      </c>
    </row>
    <row r="28" spans="1:10">
      <c r="A28" s="15">
        <v>26</v>
      </c>
      <c r="B28" s="15" t="s">
        <v>605</v>
      </c>
      <c r="C28" s="17">
        <v>150.45623999999998</v>
      </c>
      <c r="D28" s="17">
        <v>2.0072085816665001E-9</v>
      </c>
      <c r="E28" s="17">
        <v>0</v>
      </c>
      <c r="F28" s="17">
        <v>1.06151399436191E-2</v>
      </c>
      <c r="G28" s="17">
        <v>1.0615139943619101E-5</v>
      </c>
      <c r="H28" s="17">
        <v>0.16984223909790599</v>
      </c>
      <c r="I28" s="17">
        <v>0.16984223909790599</v>
      </c>
      <c r="J28" s="17">
        <v>8.4921119548952997E-2</v>
      </c>
    </row>
    <row r="29" spans="1:10">
      <c r="A29" s="15">
        <v>27</v>
      </c>
      <c r="B29" s="15" t="s">
        <v>605</v>
      </c>
      <c r="C29" s="17">
        <v>523.33333333333337</v>
      </c>
      <c r="D29" s="17">
        <v>6.0927380296624002E-9</v>
      </c>
      <c r="E29" s="17">
        <v>0</v>
      </c>
      <c r="F29" s="17">
        <v>1.49518772860305E-2</v>
      </c>
      <c r="G29" s="17">
        <v>1.4951877286030501E-5</v>
      </c>
      <c r="H29" s="17">
        <v>0.239230036576488</v>
      </c>
      <c r="I29" s="17">
        <v>0.239230036576488</v>
      </c>
      <c r="J29" s="17">
        <v>0.119615018288244</v>
      </c>
    </row>
    <row r="30" spans="1:10">
      <c r="A30" s="15">
        <v>28</v>
      </c>
      <c r="B30" s="15" t="s">
        <v>605</v>
      </c>
      <c r="C30" s="17">
        <v>1766.25</v>
      </c>
      <c r="D30" s="17">
        <v>1.8494070340848201E-8</v>
      </c>
      <c r="E30" s="17">
        <v>0</v>
      </c>
      <c r="F30" s="17">
        <v>2.1060356770039399E-2</v>
      </c>
      <c r="G30" s="17">
        <v>2.1060356770039399E-5</v>
      </c>
      <c r="H30" s="17">
        <v>0.336965708320632</v>
      </c>
      <c r="I30" s="17">
        <v>0.336965708320632</v>
      </c>
      <c r="J30" s="17">
        <v>0.168482854160316</v>
      </c>
    </row>
    <row r="31" spans="1:10">
      <c r="A31" s="15">
        <v>29</v>
      </c>
      <c r="B31" s="15" t="s">
        <v>605</v>
      </c>
      <c r="C31" s="17">
        <v>5572.4533333333329</v>
      </c>
      <c r="D31" s="17">
        <v>5.6137427230101002E-8</v>
      </c>
      <c r="E31" s="17">
        <v>0</v>
      </c>
      <c r="F31" s="17">
        <v>2.96644106152304E-2</v>
      </c>
      <c r="G31" s="17">
        <v>2.9664410615230402E-5</v>
      </c>
      <c r="H31" s="17">
        <v>0.47463056984368801</v>
      </c>
      <c r="I31" s="17">
        <v>0.47463056984368801</v>
      </c>
      <c r="J31" s="17">
        <v>0.23731528492184401</v>
      </c>
    </row>
    <row r="32" spans="1:10">
      <c r="A32" s="15">
        <v>30</v>
      </c>
      <c r="B32" s="15" t="s">
        <v>605</v>
      </c>
      <c r="C32" s="17">
        <v>17148.586666666666</v>
      </c>
      <c r="D32" s="17">
        <v>1.7040114360624499E-7</v>
      </c>
      <c r="E32" s="17">
        <v>0</v>
      </c>
      <c r="F32" s="17">
        <v>4.1783587370222301E-2</v>
      </c>
      <c r="G32" s="17">
        <v>4.1783587370222301E-5</v>
      </c>
      <c r="H32" s="17">
        <v>0.66853739792355804</v>
      </c>
      <c r="I32" s="17">
        <v>0.66853739792355804</v>
      </c>
      <c r="J32" s="17">
        <v>0.33426869896177902</v>
      </c>
    </row>
    <row r="33" spans="1:10">
      <c r="A33" s="15">
        <v>31</v>
      </c>
      <c r="B33" s="15" t="s">
        <v>605</v>
      </c>
      <c r="C33" s="17">
        <v>54334.036666666667</v>
      </c>
      <c r="D33" s="17">
        <v>5.1724047885733602E-7</v>
      </c>
      <c r="E33" s="17">
        <v>0</v>
      </c>
      <c r="F33" s="17">
        <v>5.8853964643701101E-2</v>
      </c>
      <c r="G33" s="17">
        <v>5.88539646437011E-5</v>
      </c>
      <c r="H33" s="17">
        <v>0.94166343429921795</v>
      </c>
      <c r="I33" s="17">
        <v>0.94166343429921795</v>
      </c>
      <c r="J33" s="17">
        <v>0.47083171714960897</v>
      </c>
    </row>
    <row r="34" spans="1:10">
      <c r="A34" s="15">
        <v>32</v>
      </c>
      <c r="B34" s="15" t="s">
        <v>605</v>
      </c>
      <c r="C34" s="17">
        <v>179503.33333333331</v>
      </c>
      <c r="D34" s="17">
        <v>1.57004646392972E-6</v>
      </c>
      <c r="E34" s="17">
        <v>0</v>
      </c>
      <c r="F34" s="17">
        <v>8.2898318988056496E-2</v>
      </c>
      <c r="G34" s="17">
        <v>8.2898318988056501E-5</v>
      </c>
      <c r="H34" s="17">
        <v>1.3263731038088999</v>
      </c>
      <c r="I34" s="17">
        <v>1.3263731038088999</v>
      </c>
      <c r="J34" s="17">
        <v>0.66318655190445197</v>
      </c>
    </row>
    <row r="35" spans="1:10">
      <c r="A35" s="15">
        <v>33</v>
      </c>
      <c r="B35" s="15" t="s">
        <v>605</v>
      </c>
      <c r="C35" s="17">
        <v>588678.82666666666</v>
      </c>
      <c r="D35" s="17">
        <v>4.7657637011393298E-6</v>
      </c>
      <c r="E35" s="17">
        <v>0</v>
      </c>
      <c r="F35" s="17">
        <v>0.116765817437264</v>
      </c>
      <c r="G35" s="17">
        <v>1.16765817437263E-4</v>
      </c>
      <c r="H35" s="17">
        <v>1.86825307899622</v>
      </c>
      <c r="I35" s="17">
        <v>1.86825307899622</v>
      </c>
      <c r="J35" s="17">
        <v>0.93412653949810798</v>
      </c>
    </row>
    <row r="36" spans="1:10">
      <c r="A36" s="15">
        <v>34</v>
      </c>
      <c r="B36" s="15" t="s">
        <v>605</v>
      </c>
      <c r="C36" s="17">
        <v>1911351.4933333332</v>
      </c>
      <c r="D36" s="17">
        <v>1.44661347144144E-5</v>
      </c>
      <c r="E36" s="17">
        <v>0</v>
      </c>
      <c r="F36" s="17">
        <v>0.164469633259472</v>
      </c>
      <c r="G36" s="17">
        <v>1.64469633259471E-4</v>
      </c>
      <c r="H36" s="17">
        <v>2.6315141321515498</v>
      </c>
      <c r="I36" s="17">
        <v>2.6315141321515498</v>
      </c>
      <c r="J36" s="17">
        <v>1.31575706607577</v>
      </c>
    </row>
    <row r="37" spans="1:10">
      <c r="A37" s="15">
        <v>35</v>
      </c>
      <c r="B37" s="15" t="s">
        <v>605</v>
      </c>
      <c r="C37" s="17">
        <v>6202730.8799999999</v>
      </c>
      <c r="D37" s="17">
        <v>4.3910916843307998E-5</v>
      </c>
      <c r="E37" s="17">
        <v>0</v>
      </c>
      <c r="F37" s="17">
        <v>0.231662492141922</v>
      </c>
      <c r="G37" s="17">
        <v>2.3166249214192101E-4</v>
      </c>
      <c r="H37" s="17">
        <v>3.7065998742707502</v>
      </c>
      <c r="I37" s="17">
        <v>3.7065998742707502</v>
      </c>
      <c r="J37" s="17">
        <v>1.85329993713537</v>
      </c>
    </row>
  </sheetData>
  <phoneticPr fontId="18" type="noConversion"/>
  <pageMargins left="0.7" right="0.7" top="0.75" bottom="0.75" header="0.3" footer="0.3"/>
  <pageSetup scale="7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D13" sqref="A1:D13"/>
    </sheetView>
  </sheetViews>
  <sheetFormatPr baseColWidth="10" defaultRowHeight="16"/>
  <cols>
    <col min="1" max="1" width="15.1640625" bestFit="1" customWidth="1"/>
    <col min="3" max="3" width="15" customWidth="1"/>
    <col min="4" max="4" width="15.83203125" bestFit="1" customWidth="1"/>
  </cols>
  <sheetData>
    <row r="1" spans="1:4">
      <c r="A1" s="142"/>
      <c r="B1" s="140" t="s">
        <v>595</v>
      </c>
      <c r="C1" s="140" t="s">
        <v>598</v>
      </c>
      <c r="D1" s="149" t="s">
        <v>599</v>
      </c>
    </row>
    <row r="2" spans="1:4" ht="19" thickBot="1">
      <c r="A2" s="151" t="s">
        <v>659</v>
      </c>
      <c r="B2" s="141"/>
      <c r="C2" s="141" t="s">
        <v>641</v>
      </c>
      <c r="D2" s="150" t="s">
        <v>642</v>
      </c>
    </row>
    <row r="3" spans="1:4">
      <c r="A3" s="19" t="s">
        <v>660</v>
      </c>
      <c r="B3" s="21">
        <v>26</v>
      </c>
      <c r="C3" s="206">
        <f>'Supp Table III'!C28</f>
        <v>150.45623999999998</v>
      </c>
      <c r="D3" s="207">
        <f>'Supp Table III'!D28</f>
        <v>2.0072085816665001E-9</v>
      </c>
    </row>
    <row r="4" spans="1:4">
      <c r="A4" s="26" t="s">
        <v>655</v>
      </c>
      <c r="B4" s="18">
        <v>16</v>
      </c>
      <c r="C4" s="17">
        <f>'Supp Table III'!C18</f>
        <v>47.688749999999999</v>
      </c>
      <c r="D4" s="145">
        <f>'Supp Table III'!D18</f>
        <v>6.6126038419854595E-10</v>
      </c>
    </row>
    <row r="5" spans="1:4">
      <c r="A5" s="26" t="s">
        <v>661</v>
      </c>
      <c r="B5" s="15">
        <v>5</v>
      </c>
      <c r="C5" s="17">
        <f>'Supp Table III'!C7</f>
        <v>14.129999999999999</v>
      </c>
      <c r="D5" s="145">
        <f>'Supp Table III'!D7</f>
        <v>2.1784746224399101E-10</v>
      </c>
    </row>
    <row r="6" spans="1:4">
      <c r="A6" s="26" t="s">
        <v>662</v>
      </c>
      <c r="B6" s="15">
        <v>5</v>
      </c>
      <c r="C6" s="17">
        <f>'Supp Table III'!C7</f>
        <v>14.129999999999999</v>
      </c>
      <c r="D6" s="145">
        <f>'Supp Table III'!D7</f>
        <v>2.1784746224399101E-10</v>
      </c>
    </row>
    <row r="7" spans="1:4" ht="17" thickBot="1">
      <c r="A7" s="146" t="s">
        <v>663</v>
      </c>
      <c r="B7" s="208">
        <v>6</v>
      </c>
      <c r="C7" s="147">
        <f>'Supp Table III'!C8</f>
        <v>47.688749999999999</v>
      </c>
      <c r="D7" s="148">
        <f>'Supp Table III'!D8</f>
        <v>6.6126038419854595E-10</v>
      </c>
    </row>
    <row r="8" spans="1:4" ht="17" thickBot="1">
      <c r="A8" s="209" t="s">
        <v>653</v>
      </c>
      <c r="B8" s="210"/>
      <c r="C8" s="210"/>
      <c r="D8" s="211"/>
    </row>
    <row r="9" spans="1:4">
      <c r="A9" s="142" t="s">
        <v>654</v>
      </c>
      <c r="B9" s="143">
        <v>1</v>
      </c>
      <c r="C9" s="206">
        <f>'Supp Table III'!C9</f>
        <v>150.45623999999998</v>
      </c>
      <c r="D9" s="207">
        <f>'Supp Table III'!D9</f>
        <v>2.0072085816665001E-9</v>
      </c>
    </row>
    <row r="10" spans="1:4">
      <c r="A10" s="144" t="s">
        <v>655</v>
      </c>
      <c r="B10" s="15">
        <v>17</v>
      </c>
      <c r="C10" s="17">
        <f>'Supp Table III'!C25</f>
        <v>179503.33333333331</v>
      </c>
      <c r="D10" s="145">
        <f>'Supp Table III'!D25</f>
        <v>1.57004646392972E-6</v>
      </c>
    </row>
    <row r="11" spans="1:4">
      <c r="A11" s="144" t="s">
        <v>656</v>
      </c>
      <c r="B11" s="15">
        <v>5</v>
      </c>
      <c r="C11" s="17">
        <f>'Supp Table III'!C13</f>
        <v>47.688749999999999</v>
      </c>
      <c r="D11" s="145">
        <f>'Supp Table III'!D13</f>
        <v>6.6126038419854595E-10</v>
      </c>
    </row>
    <row r="12" spans="1:4">
      <c r="A12" s="144" t="s">
        <v>657</v>
      </c>
      <c r="B12" s="15">
        <v>3</v>
      </c>
      <c r="C12" s="17">
        <f>'Supp Table III'!C11</f>
        <v>1766.25</v>
      </c>
      <c r="D12" s="145">
        <f>'Supp Table III'!D11</f>
        <v>1.8494070340848201E-8</v>
      </c>
    </row>
    <row r="13" spans="1:4" ht="17" thickBot="1">
      <c r="A13" s="146" t="s">
        <v>658</v>
      </c>
      <c r="B13" s="208">
        <v>26</v>
      </c>
      <c r="C13" s="147">
        <f>'Supp Table III'!C34</f>
        <v>179503.33333333331</v>
      </c>
      <c r="D13" s="148">
        <f>'Supp Table III'!D34</f>
        <v>1.57004646392972E-6</v>
      </c>
    </row>
  </sheetData>
  <phoneticPr fontId="18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F9" sqref="A1:F9"/>
    </sheetView>
  </sheetViews>
  <sheetFormatPr baseColWidth="10" defaultRowHeight="16"/>
  <cols>
    <col min="1" max="1" width="22" bestFit="1" customWidth="1"/>
    <col min="2" max="2" width="7" customWidth="1"/>
    <col min="3" max="3" width="7.6640625" bestFit="1" customWidth="1"/>
    <col min="4" max="4" width="7.33203125" customWidth="1"/>
    <col min="5" max="5" width="7.5" customWidth="1"/>
    <col min="6" max="6" width="7.1640625" customWidth="1"/>
  </cols>
  <sheetData>
    <row r="1" spans="1:6" ht="20" thickBot="1">
      <c r="A1" s="202"/>
      <c r="B1" s="203" t="s">
        <v>739</v>
      </c>
      <c r="C1" s="203" t="s">
        <v>712</v>
      </c>
      <c r="D1" s="203" t="s">
        <v>708</v>
      </c>
      <c r="E1" s="203" t="s">
        <v>710</v>
      </c>
      <c r="F1" s="204" t="s">
        <v>709</v>
      </c>
    </row>
    <row r="2" spans="1:6" ht="17" thickTop="1">
      <c r="A2" s="199" t="s">
        <v>659</v>
      </c>
      <c r="B2" s="200"/>
      <c r="C2" s="200"/>
      <c r="D2" s="200"/>
      <c r="E2" s="200"/>
      <c r="F2" s="201"/>
    </row>
    <row r="3" spans="1:6">
      <c r="A3" s="196" t="s">
        <v>707</v>
      </c>
      <c r="B3" s="159">
        <v>0.77</v>
      </c>
      <c r="C3" s="186" t="s">
        <v>711</v>
      </c>
      <c r="D3" s="159">
        <v>46</v>
      </c>
      <c r="E3" s="159">
        <v>-5.3</v>
      </c>
      <c r="F3" s="191">
        <v>39.5</v>
      </c>
    </row>
    <row r="4" spans="1:6">
      <c r="A4" s="196" t="s">
        <v>737</v>
      </c>
      <c r="B4" s="159">
        <v>0.78</v>
      </c>
      <c r="C4" s="186" t="s">
        <v>711</v>
      </c>
      <c r="D4" s="159">
        <v>65</v>
      </c>
      <c r="E4" s="159">
        <v>36</v>
      </c>
      <c r="F4" s="191">
        <v>56</v>
      </c>
    </row>
    <row r="5" spans="1:6" ht="17" thickBot="1">
      <c r="A5" s="197" t="s">
        <v>725</v>
      </c>
      <c r="B5" s="194">
        <v>0.62</v>
      </c>
      <c r="C5" s="205" t="s">
        <v>711</v>
      </c>
      <c r="D5" s="194">
        <v>50</v>
      </c>
      <c r="E5" s="194">
        <v>22</v>
      </c>
      <c r="F5" s="195">
        <v>46</v>
      </c>
    </row>
    <row r="6" spans="1:6" ht="17" thickTop="1">
      <c r="A6" s="199" t="s">
        <v>653</v>
      </c>
      <c r="B6" s="187"/>
      <c r="C6" s="187"/>
      <c r="D6" s="187"/>
      <c r="E6" s="187"/>
      <c r="F6" s="193"/>
    </row>
    <row r="7" spans="1:6">
      <c r="A7" s="196" t="s">
        <v>707</v>
      </c>
      <c r="B7" s="159">
        <v>0.43</v>
      </c>
      <c r="C7" s="159">
        <v>0.03</v>
      </c>
      <c r="D7" s="159">
        <v>4.4000000000000004</v>
      </c>
      <c r="E7" s="159">
        <v>-2.7</v>
      </c>
      <c r="F7" s="191">
        <v>28</v>
      </c>
    </row>
    <row r="8" spans="1:6">
      <c r="A8" s="196" t="s">
        <v>738</v>
      </c>
      <c r="B8" s="159">
        <v>0.05</v>
      </c>
      <c r="C8" s="159">
        <v>0.52</v>
      </c>
      <c r="D8" s="159">
        <v>4.9000000000000004</v>
      </c>
      <c r="E8" s="159">
        <v>0.3</v>
      </c>
      <c r="F8" s="191">
        <v>32</v>
      </c>
    </row>
    <row r="9" spans="1:6" ht="17" thickBot="1">
      <c r="A9" s="198" t="s">
        <v>725</v>
      </c>
      <c r="B9" s="188">
        <v>0.04</v>
      </c>
      <c r="C9" s="188">
        <v>0.56999999999999995</v>
      </c>
      <c r="D9" s="188">
        <v>13</v>
      </c>
      <c r="E9" s="188">
        <v>51</v>
      </c>
      <c r="F9" s="192">
        <v>73</v>
      </c>
    </row>
  </sheetData>
  <phoneticPr fontId="18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26"/>
  <sheetViews>
    <sheetView workbookViewId="0">
      <selection activeCell="F25" sqref="A1:F25"/>
    </sheetView>
  </sheetViews>
  <sheetFormatPr baseColWidth="10" defaultRowHeight="16"/>
  <cols>
    <col min="1" max="1" width="25.1640625" bestFit="1" customWidth="1"/>
    <col min="2" max="2" width="13" bestFit="1" customWidth="1"/>
    <col min="4" max="4" width="11.6640625" customWidth="1"/>
    <col min="5" max="5" width="13.6640625" customWidth="1"/>
    <col min="6" max="6" width="13.5" customWidth="1"/>
    <col min="7" max="7" width="25.33203125" customWidth="1"/>
    <col min="8" max="8" width="19.1640625" bestFit="1" customWidth="1"/>
    <col min="10" max="10" width="11.6640625" bestFit="1" customWidth="1"/>
    <col min="11" max="11" width="14" customWidth="1"/>
    <col min="12" max="12" width="13.83203125" customWidth="1"/>
  </cols>
  <sheetData>
    <row r="1" spans="1:6" ht="17" thickBot="1">
      <c r="A1" s="16" t="s">
        <v>689</v>
      </c>
      <c r="B1" s="16"/>
      <c r="C1" s="16"/>
      <c r="D1" s="16"/>
      <c r="E1" s="16"/>
      <c r="F1" s="16"/>
    </row>
    <row r="2" spans="1:6" ht="69" thickBot="1">
      <c r="A2" s="154" t="s">
        <v>648</v>
      </c>
      <c r="B2" s="155" t="s">
        <v>649</v>
      </c>
      <c r="C2" s="155" t="s">
        <v>675</v>
      </c>
      <c r="D2" s="155" t="s">
        <v>650</v>
      </c>
      <c r="E2" s="156" t="s">
        <v>674</v>
      </c>
    </row>
    <row r="3" spans="1:6" ht="18">
      <c r="A3" s="162" t="s">
        <v>651</v>
      </c>
      <c r="B3" s="163" t="s">
        <v>652</v>
      </c>
      <c r="C3" s="163" t="s">
        <v>652</v>
      </c>
      <c r="D3" s="164"/>
      <c r="E3" s="165" t="s">
        <v>652</v>
      </c>
    </row>
    <row r="4" spans="1:6">
      <c r="A4" s="166">
        <v>34.19</v>
      </c>
      <c r="B4" s="152">
        <v>962.35</v>
      </c>
      <c r="C4" s="152">
        <v>1154.82</v>
      </c>
      <c r="D4" s="153">
        <v>0.77525209092783887</v>
      </c>
      <c r="E4" s="167">
        <v>259.54000000000002</v>
      </c>
    </row>
    <row r="5" spans="1:6">
      <c r="A5" s="166">
        <v>34.909999999999997</v>
      </c>
      <c r="B5" s="152">
        <v>982.61</v>
      </c>
      <c r="C5" s="152">
        <v>1179.1300000000001</v>
      </c>
      <c r="D5" s="153">
        <v>0.75926751173345064</v>
      </c>
      <c r="E5" s="167">
        <v>283.86</v>
      </c>
    </row>
    <row r="6" spans="1:6">
      <c r="A6" s="166">
        <v>35.630000000000003</v>
      </c>
      <c r="B6" s="152">
        <v>1002.87</v>
      </c>
      <c r="C6" s="152">
        <v>1203.44</v>
      </c>
      <c r="D6" s="153">
        <v>0.74392877412267377</v>
      </c>
      <c r="E6" s="167">
        <v>308.17</v>
      </c>
    </row>
    <row r="7" spans="1:6">
      <c r="A7" s="168">
        <v>35.99</v>
      </c>
      <c r="B7" s="157">
        <v>1013</v>
      </c>
      <c r="C7" s="157">
        <v>1215.5999999999999</v>
      </c>
      <c r="D7" s="158">
        <v>0.73648948638144707</v>
      </c>
      <c r="E7" s="169">
        <v>320.32</v>
      </c>
    </row>
    <row r="8" spans="1:6">
      <c r="A8" s="166">
        <v>36.71</v>
      </c>
      <c r="B8" s="152">
        <v>1033.26</v>
      </c>
      <c r="C8" s="152">
        <v>1239.9100000000001</v>
      </c>
      <c r="D8" s="153">
        <v>0.72204851606024223</v>
      </c>
      <c r="E8" s="167">
        <v>344.64</v>
      </c>
    </row>
    <row r="9" spans="1:6" ht="17" thickBot="1">
      <c r="A9" s="170">
        <v>37.43</v>
      </c>
      <c r="B9" s="171">
        <v>1053.52</v>
      </c>
      <c r="C9" s="171">
        <v>1264.22</v>
      </c>
      <c r="D9" s="172">
        <v>0.7081629676744684</v>
      </c>
      <c r="E9" s="173">
        <v>368.95</v>
      </c>
    </row>
    <row r="11" spans="1:6" ht="17" thickBot="1">
      <c r="A11" s="16" t="s">
        <v>690</v>
      </c>
    </row>
    <row r="12" spans="1:6" ht="52" thickBot="1">
      <c r="A12" s="240" t="s">
        <v>676</v>
      </c>
      <c r="B12" s="241"/>
      <c r="C12" s="241"/>
      <c r="D12" s="241"/>
      <c r="E12" s="218" t="s">
        <v>687</v>
      </c>
      <c r="F12" s="219" t="s">
        <v>688</v>
      </c>
    </row>
    <row r="13" spans="1:6" ht="17" thickBot="1">
      <c r="A13" s="229" t="s">
        <v>677</v>
      </c>
      <c r="B13" s="230" t="s">
        <v>0</v>
      </c>
      <c r="C13" s="230" t="s">
        <v>5</v>
      </c>
      <c r="D13" s="230" t="s">
        <v>686</v>
      </c>
      <c r="E13" s="231"/>
      <c r="F13" s="232"/>
    </row>
    <row r="14" spans="1:6">
      <c r="A14" s="223" t="s">
        <v>58</v>
      </c>
      <c r="B14" s="224" t="s">
        <v>685</v>
      </c>
      <c r="C14" s="225" t="s">
        <v>678</v>
      </c>
      <c r="D14" s="226">
        <v>0.05</v>
      </c>
      <c r="E14" s="227">
        <f>D14/$E$7</f>
        <v>1.5609390609390609E-4</v>
      </c>
      <c r="F14" s="228">
        <f>D14/$C$7</f>
        <v>4.1131951299769667E-5</v>
      </c>
    </row>
    <row r="15" spans="1:6">
      <c r="A15" s="180"/>
      <c r="B15" s="181"/>
      <c r="C15" s="181" t="s">
        <v>679</v>
      </c>
      <c r="D15" s="181">
        <v>2.2999999999999998</v>
      </c>
      <c r="E15" s="214">
        <f t="shared" ref="E15:E25" si="0">D15/$E$7</f>
        <v>7.18031968031968E-3</v>
      </c>
      <c r="F15" s="220">
        <f t="shared" ref="F15:F25" si="1">D15/$C$7</f>
        <v>1.8920697597894045E-3</v>
      </c>
    </row>
    <row r="16" spans="1:6">
      <c r="A16" s="174" t="s">
        <v>42</v>
      </c>
      <c r="B16" s="161" t="s">
        <v>684</v>
      </c>
      <c r="C16" s="160" t="s">
        <v>678</v>
      </c>
      <c r="D16" s="182">
        <v>0.9</v>
      </c>
      <c r="E16" s="215">
        <f t="shared" si="0"/>
        <v>2.80969030969031E-3</v>
      </c>
      <c r="F16" s="233">
        <f t="shared" si="1"/>
        <v>7.4037512339585401E-4</v>
      </c>
    </row>
    <row r="17" spans="1:6">
      <c r="A17" s="183"/>
      <c r="B17" s="182"/>
      <c r="C17" s="182" t="s">
        <v>679</v>
      </c>
      <c r="D17" s="182">
        <v>64</v>
      </c>
      <c r="E17" s="216">
        <f t="shared" si="0"/>
        <v>0.19980019980019981</v>
      </c>
      <c r="F17" s="234">
        <f>D17/$C$7</f>
        <v>5.2648897663705167E-2</v>
      </c>
    </row>
    <row r="18" spans="1:6">
      <c r="A18" s="176" t="s">
        <v>67</v>
      </c>
      <c r="B18" s="177" t="s">
        <v>683</v>
      </c>
      <c r="C18" s="178" t="s">
        <v>678</v>
      </c>
      <c r="D18" s="181">
        <v>17</v>
      </c>
      <c r="E18" s="217">
        <f t="shared" si="0"/>
        <v>5.3071928071928072E-2</v>
      </c>
      <c r="F18" s="221">
        <f t="shared" si="1"/>
        <v>1.3984863441921685E-2</v>
      </c>
    </row>
    <row r="19" spans="1:6">
      <c r="A19" s="180"/>
      <c r="B19" s="181"/>
      <c r="C19" s="181" t="s">
        <v>679</v>
      </c>
      <c r="D19" s="181">
        <v>29</v>
      </c>
      <c r="E19" s="217">
        <f t="shared" si="0"/>
        <v>9.0534465534465536E-2</v>
      </c>
      <c r="F19" s="221">
        <f t="shared" si="1"/>
        <v>2.3856531753866404E-2</v>
      </c>
    </row>
    <row r="20" spans="1:6">
      <c r="A20" s="174" t="s">
        <v>46</v>
      </c>
      <c r="B20" s="182" t="s">
        <v>682</v>
      </c>
      <c r="C20" s="160" t="s">
        <v>678</v>
      </c>
      <c r="D20" s="182">
        <v>175</v>
      </c>
      <c r="E20" s="216">
        <f t="shared" si="0"/>
        <v>0.54632867132867136</v>
      </c>
      <c r="F20" s="234">
        <f t="shared" si="1"/>
        <v>0.14396182954919381</v>
      </c>
    </row>
    <row r="21" spans="1:6">
      <c r="A21" s="183"/>
      <c r="B21" s="182"/>
      <c r="C21" s="182" t="s">
        <v>679</v>
      </c>
      <c r="D21" s="182">
        <v>250</v>
      </c>
      <c r="E21" s="216">
        <f t="shared" si="0"/>
        <v>0.78046953046953049</v>
      </c>
      <c r="F21" s="234">
        <f t="shared" si="1"/>
        <v>0.20565975649884832</v>
      </c>
    </row>
    <row r="22" spans="1:6">
      <c r="A22" s="176" t="s">
        <v>8</v>
      </c>
      <c r="B22" s="177" t="s">
        <v>681</v>
      </c>
      <c r="C22" s="178" t="s">
        <v>678</v>
      </c>
      <c r="D22" s="181">
        <v>187</v>
      </c>
      <c r="E22" s="217">
        <f t="shared" si="0"/>
        <v>0.58379120879120883</v>
      </c>
      <c r="F22" s="221">
        <f t="shared" si="1"/>
        <v>0.15383349786113854</v>
      </c>
    </row>
    <row r="23" spans="1:6">
      <c r="A23" s="180"/>
      <c r="B23" s="181"/>
      <c r="C23" s="181" t="s">
        <v>679</v>
      </c>
      <c r="D23" s="181">
        <v>409</v>
      </c>
      <c r="E23" s="217">
        <f t="shared" si="0"/>
        <v>1.2768481518481518</v>
      </c>
      <c r="F23" s="221">
        <f t="shared" si="1"/>
        <v>0.33645936163211587</v>
      </c>
    </row>
    <row r="24" spans="1:6">
      <c r="A24" s="175" t="s">
        <v>32</v>
      </c>
      <c r="B24" s="182" t="s">
        <v>680</v>
      </c>
      <c r="C24" s="160" t="s">
        <v>678</v>
      </c>
      <c r="D24" s="182">
        <v>266</v>
      </c>
      <c r="E24" s="216">
        <f t="shared" si="0"/>
        <v>0.83041958041958042</v>
      </c>
      <c r="F24" s="234">
        <f t="shared" si="1"/>
        <v>0.21882198091477462</v>
      </c>
    </row>
    <row r="25" spans="1:6" ht="17" thickBot="1">
      <c r="A25" s="184"/>
      <c r="B25" s="179"/>
      <c r="C25" s="179" t="s">
        <v>679</v>
      </c>
      <c r="D25" s="179">
        <v>365</v>
      </c>
      <c r="E25" s="222">
        <f t="shared" si="0"/>
        <v>1.1394855144855145</v>
      </c>
      <c r="F25" s="235">
        <f t="shared" si="1"/>
        <v>0.30026324448831854</v>
      </c>
    </row>
    <row r="26" spans="1:6">
      <c r="A26" s="185"/>
      <c r="B26" s="185"/>
      <c r="C26" s="185"/>
      <c r="D26" s="185"/>
      <c r="E26" s="185"/>
      <c r="F26" s="185"/>
    </row>
  </sheetData>
  <mergeCells count="1">
    <mergeCell ref="A12:D12"/>
  </mergeCells>
  <phoneticPr fontId="18" type="noConversion"/>
  <pageMargins left="0.7" right="0.7" top="0.75" bottom="0.75" header="0.3" footer="0.3"/>
  <pageSetup scale="96" orientation="portrait" horizontalDpi="0" verticalDpi="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Supp Table I</vt:lpstr>
      <vt:lpstr>Supp Table II</vt:lpstr>
      <vt:lpstr>Supp Table III</vt:lpstr>
      <vt:lpstr>Supp Table IV</vt:lpstr>
      <vt:lpstr>Supp Table V</vt:lpstr>
      <vt:lpstr>Supp Table VI</vt:lpstr>
      <vt:lpstr>'Supp Table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R. Heal</cp:lastModifiedBy>
  <cp:lastPrinted>2018-10-16T20:20:25Z</cp:lastPrinted>
  <dcterms:created xsi:type="dcterms:W3CDTF">2018-04-17T06:25:31Z</dcterms:created>
  <dcterms:modified xsi:type="dcterms:W3CDTF">2020-06-08T17:03:48Z</dcterms:modified>
</cp:coreProperties>
</file>