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BB27B878-DD25-4CC1-B04B-3AA412962812}" xr6:coauthVersionLast="47" xr6:coauthVersionMax="47" xr10:uidLastSave="{00000000-0000-0000-0000-000000000000}"/>
  <bookViews>
    <workbookView xWindow="-108" yWindow="-108" windowWidth="23256" windowHeight="12576" xr2:uid="{1D948BB8-7E64-0241-94ED-66E2788EB486}"/>
  </bookViews>
  <sheets>
    <sheet name="Task 1" sheetId="3" r:id="rId1"/>
    <sheet name="Task 2" sheetId="4" r:id="rId2"/>
    <sheet name="Task 3" sheetId="6" r:id="rId3"/>
    <sheet name="Task 4" sheetId="5" r:id="rId4"/>
  </sheets>
  <definedNames>
    <definedName name="solver_adj" localSheetId="1" hidden="1">'Task 2'!$Q$26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'Task 2'!$V$50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8" i="3" l="1"/>
  <c r="Q18" i="3"/>
  <c r="P18" i="3"/>
  <c r="V31" i="3"/>
  <c r="C17" i="3"/>
  <c r="F18" i="3"/>
  <c r="W31" i="3"/>
  <c r="Y49" i="3"/>
  <c r="Y48" i="3"/>
  <c r="P48" i="3" l="1"/>
  <c r="V48" i="3"/>
  <c r="Y31" i="3"/>
  <c r="AE15" i="3"/>
  <c r="AI15" i="3"/>
  <c r="AP11" i="6"/>
  <c r="AQ11" i="6"/>
  <c r="AO11" i="6"/>
  <c r="AQ5" i="6"/>
  <c r="AQ6" i="6"/>
  <c r="AQ8" i="6"/>
  <c r="AQ9" i="6"/>
  <c r="AQ10" i="6"/>
  <c r="AQ4" i="6"/>
  <c r="AP5" i="6"/>
  <c r="AP6" i="6"/>
  <c r="AP8" i="6"/>
  <c r="AP9" i="6"/>
  <c r="AP10" i="6"/>
  <c r="AP4" i="6"/>
  <c r="AO5" i="6"/>
  <c r="AO6" i="6"/>
  <c r="AO8" i="6"/>
  <c r="AO9" i="6"/>
  <c r="AO10" i="6"/>
  <c r="AO4" i="6"/>
  <c r="AN5" i="6"/>
  <c r="AN6" i="6"/>
  <c r="AN7" i="6"/>
  <c r="AN8" i="6"/>
  <c r="AN9" i="6"/>
  <c r="AN10" i="6"/>
  <c r="AN4" i="6"/>
  <c r="AM5" i="6"/>
  <c r="AM6" i="6"/>
  <c r="AM7" i="6"/>
  <c r="AM8" i="6"/>
  <c r="AM9" i="6"/>
  <c r="AM10" i="6"/>
  <c r="AM4" i="6"/>
  <c r="AL5" i="6"/>
  <c r="AL6" i="6"/>
  <c r="AL7" i="6"/>
  <c r="AL8" i="6"/>
  <c r="AL9" i="6"/>
  <c r="AL10" i="6"/>
  <c r="AL4" i="6"/>
  <c r="C6" i="4"/>
  <c r="S32" i="4" l="1"/>
  <c r="BE10" i="3" l="1"/>
  <c r="AW17" i="3"/>
  <c r="V5" i="3"/>
  <c r="V4" i="3"/>
  <c r="AG15" i="3"/>
  <c r="P4" i="3"/>
  <c r="M4" i="4"/>
  <c r="G45" i="4" a="1"/>
  <c r="G45" i="4" s="1"/>
  <c r="A45" i="4" a="1"/>
  <c r="A45" i="4" s="1"/>
  <c r="B46" i="4" s="1"/>
  <c r="G25" i="4" s="1"/>
  <c r="D25" i="4"/>
  <c r="F25" i="4"/>
  <c r="C25" i="4"/>
  <c r="U58" i="3" a="1"/>
  <c r="U58" i="3" s="1"/>
  <c r="AF5" i="4"/>
  <c r="AF11" i="4"/>
  <c r="AF17" i="4"/>
  <c r="Y6" i="3"/>
  <c r="Y5" i="3"/>
  <c r="J4" i="5"/>
  <c r="C5" i="5"/>
  <c r="C6" i="5"/>
  <c r="C7" i="5"/>
  <c r="C8" i="5"/>
  <c r="C9" i="5"/>
  <c r="C10" i="5"/>
  <c r="C11" i="5"/>
  <c r="C12" i="5"/>
  <c r="C13" i="5"/>
  <c r="O13" i="5" s="1"/>
  <c r="P13" i="5" s="1"/>
  <c r="C4" i="5"/>
  <c r="F5" i="5"/>
  <c r="F6" i="5"/>
  <c r="F7" i="5"/>
  <c r="F8" i="5"/>
  <c r="F9" i="5"/>
  <c r="F10" i="5"/>
  <c r="Q10" i="5" s="1"/>
  <c r="V10" i="5" s="1"/>
  <c r="F11" i="5"/>
  <c r="F12" i="5"/>
  <c r="Q12" i="5" s="1"/>
  <c r="V12" i="5" s="1"/>
  <c r="X12" i="5" s="1"/>
  <c r="F13" i="5"/>
  <c r="F4" i="5"/>
  <c r="Q4" i="5" s="1"/>
  <c r="R13" i="5"/>
  <c r="W13" i="5" s="1"/>
  <c r="Q13" i="5"/>
  <c r="S13" i="5" s="1"/>
  <c r="W12" i="5"/>
  <c r="R12" i="5"/>
  <c r="AB12" i="5" s="1"/>
  <c r="O12" i="5"/>
  <c r="P12" i="5" s="1"/>
  <c r="W11" i="5"/>
  <c r="V11" i="5"/>
  <c r="X11" i="5" s="1"/>
  <c r="R11" i="5"/>
  <c r="AB11" i="5" s="1"/>
  <c r="Q11" i="5"/>
  <c r="AA11" i="5" s="1"/>
  <c r="AC11" i="5" s="1"/>
  <c r="O11" i="5"/>
  <c r="P11" i="5" s="1"/>
  <c r="R10" i="5"/>
  <c r="AB10" i="5" s="1"/>
  <c r="O10" i="5"/>
  <c r="P10" i="5" s="1"/>
  <c r="U10" i="5" s="1"/>
  <c r="W9" i="5"/>
  <c r="R9" i="5"/>
  <c r="AB9" i="5" s="1"/>
  <c r="Q9" i="5"/>
  <c r="S9" i="5" s="1"/>
  <c r="O9" i="5"/>
  <c r="P9" i="5" s="1"/>
  <c r="R8" i="5"/>
  <c r="S8" i="5" s="1"/>
  <c r="Q8" i="5"/>
  <c r="AA8" i="5" s="1"/>
  <c r="O8" i="5"/>
  <c r="P8" i="5" s="1"/>
  <c r="R7" i="5"/>
  <c r="W7" i="5" s="1"/>
  <c r="Q7" i="5"/>
  <c r="V7" i="5" s="1"/>
  <c r="X7" i="5" s="1"/>
  <c r="O7" i="5"/>
  <c r="P7" i="5" s="1"/>
  <c r="W6" i="5"/>
  <c r="R6" i="5"/>
  <c r="AB6" i="5" s="1"/>
  <c r="Q6" i="5"/>
  <c r="S6" i="5" s="1"/>
  <c r="O6" i="5"/>
  <c r="P6" i="5" s="1"/>
  <c r="R5" i="5"/>
  <c r="W5" i="5" s="1"/>
  <c r="Q5" i="5"/>
  <c r="S5" i="5" s="1"/>
  <c r="O5" i="5"/>
  <c r="P5" i="5" s="1"/>
  <c r="W4" i="5"/>
  <c r="R4" i="5"/>
  <c r="AB4" i="5" s="1"/>
  <c r="O4" i="5"/>
  <c r="P4" i="5" s="1"/>
  <c r="U4" i="5" s="1"/>
  <c r="W4" i="6"/>
  <c r="AB5" i="6"/>
  <c r="AC5" i="6"/>
  <c r="AE5" i="6" s="1"/>
  <c r="AD5" i="6"/>
  <c r="AG5" i="6"/>
  <c r="AH5" i="6"/>
  <c r="AI5" i="6"/>
  <c r="AJ5" i="6"/>
  <c r="AB6" i="6"/>
  <c r="AC6" i="6"/>
  <c r="AE6" i="6" s="1"/>
  <c r="AD6" i="6"/>
  <c r="AG6" i="6"/>
  <c r="AH6" i="6"/>
  <c r="AI6" i="6"/>
  <c r="AJ6" i="6"/>
  <c r="AB7" i="6"/>
  <c r="AC7" i="6"/>
  <c r="AE7" i="6" s="1"/>
  <c r="AD7" i="6"/>
  <c r="AG7" i="6"/>
  <c r="AH7" i="6"/>
  <c r="AI7" i="6"/>
  <c r="AJ7" i="6"/>
  <c r="AB8" i="6"/>
  <c r="AC8" i="6"/>
  <c r="AE8" i="6" s="1"/>
  <c r="AD8" i="6"/>
  <c r="AG8" i="6"/>
  <c r="AH8" i="6"/>
  <c r="AI8" i="6"/>
  <c r="AJ8" i="6"/>
  <c r="AB9" i="6"/>
  <c r="AC9" i="6"/>
  <c r="AE9" i="6" s="1"/>
  <c r="AD9" i="6"/>
  <c r="AG9" i="6"/>
  <c r="AH9" i="6"/>
  <c r="AI9" i="6"/>
  <c r="AJ9" i="6"/>
  <c r="AB10" i="6"/>
  <c r="AC10" i="6"/>
  <c r="AE10" i="6" s="1"/>
  <c r="AD10" i="6"/>
  <c r="AG10" i="6"/>
  <c r="AH10" i="6"/>
  <c r="AI10" i="6"/>
  <c r="AJ10" i="6"/>
  <c r="AI4" i="6"/>
  <c r="AH4" i="6"/>
  <c r="AG4" i="6"/>
  <c r="AD4" i="6"/>
  <c r="AC4" i="6"/>
  <c r="AB4" i="6"/>
  <c r="AJ4" i="6"/>
  <c r="AE4" i="6"/>
  <c r="Z5" i="4"/>
  <c r="AB5" i="4"/>
  <c r="AB6" i="4"/>
  <c r="AB7" i="4"/>
  <c r="AB8" i="4"/>
  <c r="AB9" i="4"/>
  <c r="AB10" i="4"/>
  <c r="Z11" i="4"/>
  <c r="AB11" i="4"/>
  <c r="AB12" i="4"/>
  <c r="AB13" i="4"/>
  <c r="AB14" i="4"/>
  <c r="AB15" i="4"/>
  <c r="AB16" i="4"/>
  <c r="Z17" i="4"/>
  <c r="AB17" i="4"/>
  <c r="AB18" i="4"/>
  <c r="AB19" i="4"/>
  <c r="AB20" i="4"/>
  <c r="AB21" i="4"/>
  <c r="AB22" i="4"/>
  <c r="AB4" i="4"/>
  <c r="U5" i="4"/>
  <c r="W5" i="4"/>
  <c r="W6" i="4"/>
  <c r="W7" i="4"/>
  <c r="W8" i="4"/>
  <c r="W9" i="4"/>
  <c r="W10" i="4"/>
  <c r="U11" i="4"/>
  <c r="W11" i="4"/>
  <c r="W12" i="4"/>
  <c r="W13" i="4"/>
  <c r="W14" i="4"/>
  <c r="W15" i="4"/>
  <c r="W16" i="4"/>
  <c r="U17" i="4"/>
  <c r="W17" i="4"/>
  <c r="W18" i="4"/>
  <c r="W19" i="4"/>
  <c r="W20" i="4"/>
  <c r="W21" i="4"/>
  <c r="W22" i="4"/>
  <c r="W4" i="4"/>
  <c r="AC18" i="3"/>
  <c r="AC19" i="3"/>
  <c r="AC20" i="3"/>
  <c r="AC21" i="3"/>
  <c r="AC22" i="3"/>
  <c r="AC23" i="3"/>
  <c r="AC24" i="3"/>
  <c r="AC25" i="3"/>
  <c r="AC17" i="3"/>
  <c r="AB18" i="3"/>
  <c r="AB19" i="3"/>
  <c r="AB20" i="3"/>
  <c r="AB21" i="3"/>
  <c r="AB22" i="3"/>
  <c r="AB23" i="3"/>
  <c r="AB24" i="3"/>
  <c r="AB25" i="3"/>
  <c r="AB17" i="3"/>
  <c r="AA17" i="3"/>
  <c r="AA18" i="3"/>
  <c r="AA19" i="3"/>
  <c r="AA20" i="3"/>
  <c r="AA21" i="3"/>
  <c r="AA22" i="3"/>
  <c r="AA23" i="3"/>
  <c r="AA24" i="3"/>
  <c r="AA25" i="3"/>
  <c r="X18" i="3"/>
  <c r="X19" i="3"/>
  <c r="X20" i="3"/>
  <c r="X21" i="3"/>
  <c r="X22" i="3"/>
  <c r="X23" i="3"/>
  <c r="X24" i="3"/>
  <c r="X25" i="3"/>
  <c r="X17" i="3"/>
  <c r="S17" i="3"/>
  <c r="W18" i="3"/>
  <c r="W19" i="3"/>
  <c r="W20" i="3"/>
  <c r="W21" i="3"/>
  <c r="W22" i="3"/>
  <c r="W23" i="3"/>
  <c r="W24" i="3"/>
  <c r="W25" i="3"/>
  <c r="W17" i="3"/>
  <c r="V18" i="3"/>
  <c r="V19" i="3"/>
  <c r="V20" i="3"/>
  <c r="V21" i="3"/>
  <c r="V22" i="3"/>
  <c r="V23" i="3"/>
  <c r="V24" i="3"/>
  <c r="V25" i="3"/>
  <c r="V17" i="3"/>
  <c r="Q17" i="3"/>
  <c r="Y4" i="6"/>
  <c r="R4" i="4"/>
  <c r="V4" i="6"/>
  <c r="Y5" i="6"/>
  <c r="Y6" i="6"/>
  <c r="Y7" i="6"/>
  <c r="Z7" i="6" s="1"/>
  <c r="Y8" i="6"/>
  <c r="Y9" i="6"/>
  <c r="Y10" i="6"/>
  <c r="X5" i="6"/>
  <c r="X6" i="6"/>
  <c r="X7" i="6"/>
  <c r="X8" i="6"/>
  <c r="X9" i="6"/>
  <c r="Z9" i="6" s="1"/>
  <c r="X10" i="6"/>
  <c r="X4" i="6"/>
  <c r="V5" i="6"/>
  <c r="V6" i="6"/>
  <c r="V7" i="6"/>
  <c r="V8" i="6"/>
  <c r="V9" i="6"/>
  <c r="W9" i="6" s="1"/>
  <c r="V10" i="6"/>
  <c r="W10" i="6" s="1"/>
  <c r="M4" i="6"/>
  <c r="F5" i="6"/>
  <c r="F6" i="6"/>
  <c r="F7" i="6"/>
  <c r="F8" i="6"/>
  <c r="F9" i="6"/>
  <c r="F10" i="6"/>
  <c r="F4" i="6"/>
  <c r="C5" i="6"/>
  <c r="C6" i="6"/>
  <c r="C7" i="6"/>
  <c r="C8" i="6"/>
  <c r="C9" i="6"/>
  <c r="C10" i="6"/>
  <c r="C4" i="6"/>
  <c r="Z10" i="6"/>
  <c r="Z8" i="6"/>
  <c r="W8" i="6"/>
  <c r="W7" i="6"/>
  <c r="Z6" i="6"/>
  <c r="W6" i="6"/>
  <c r="Z5" i="6"/>
  <c r="W5" i="6"/>
  <c r="AI16" i="3"/>
  <c r="AI17" i="3"/>
  <c r="AI18" i="3"/>
  <c r="AI19" i="3"/>
  <c r="AE16" i="3"/>
  <c r="AF16" i="3"/>
  <c r="AE17" i="3"/>
  <c r="AF17" i="3"/>
  <c r="AE18" i="3"/>
  <c r="AF18" i="3"/>
  <c r="AE19" i="3"/>
  <c r="AF19" i="3"/>
  <c r="AI20" i="3"/>
  <c r="AI21" i="3"/>
  <c r="AI22" i="3"/>
  <c r="AH19" i="3"/>
  <c r="AG19" i="3"/>
  <c r="AH15" i="3"/>
  <c r="AF15" i="3"/>
  <c r="S30" i="4"/>
  <c r="S31" i="4"/>
  <c r="T31" i="4" s="1"/>
  <c r="U31" i="4" s="1"/>
  <c r="T32" i="4"/>
  <c r="U32" i="4" s="1"/>
  <c r="V32" i="4" s="1"/>
  <c r="S33" i="4"/>
  <c r="S34" i="4"/>
  <c r="S35" i="4"/>
  <c r="T35" i="4" s="1"/>
  <c r="U35" i="4" s="1"/>
  <c r="V35" i="4" s="1"/>
  <c r="S36" i="4"/>
  <c r="T36" i="4" s="1"/>
  <c r="U36" i="4" s="1"/>
  <c r="V36" i="4" s="1"/>
  <c r="S37" i="4"/>
  <c r="S38" i="4"/>
  <c r="S39" i="4"/>
  <c r="T39" i="4" s="1"/>
  <c r="U39" i="4" s="1"/>
  <c r="V39" i="4" s="1"/>
  <c r="S40" i="4"/>
  <c r="T40" i="4" s="1"/>
  <c r="U40" i="4" s="1"/>
  <c r="V40" i="4" s="1"/>
  <c r="S41" i="4"/>
  <c r="S42" i="4"/>
  <c r="S43" i="4"/>
  <c r="T43" i="4" s="1"/>
  <c r="U43" i="4" s="1"/>
  <c r="S44" i="4"/>
  <c r="T44" i="4" s="1"/>
  <c r="U44" i="4" s="1"/>
  <c r="V44" i="4" s="1"/>
  <c r="S45" i="4"/>
  <c r="T45" i="4" s="1"/>
  <c r="S46" i="4"/>
  <c r="S47" i="4"/>
  <c r="T47" i="4" s="1"/>
  <c r="U47" i="4" s="1"/>
  <c r="V47" i="4" s="1"/>
  <c r="S48" i="4"/>
  <c r="T48" i="4" s="1"/>
  <c r="U48" i="4" s="1"/>
  <c r="V48" i="4" s="1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3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50" i="4"/>
  <c r="I25" i="4"/>
  <c r="B25" i="4"/>
  <c r="A25" i="4"/>
  <c r="R13" i="4"/>
  <c r="R14" i="4"/>
  <c r="R15" i="4"/>
  <c r="R16" i="4"/>
  <c r="R17" i="4"/>
  <c r="R18" i="4"/>
  <c r="R19" i="4"/>
  <c r="R20" i="4"/>
  <c r="R21" i="4"/>
  <c r="R22" i="4"/>
  <c r="P5" i="4"/>
  <c r="P11" i="4"/>
  <c r="P17" i="4"/>
  <c r="R12" i="4"/>
  <c r="R11" i="4"/>
  <c r="R10" i="4"/>
  <c r="R9" i="4"/>
  <c r="R8" i="4"/>
  <c r="R7" i="4"/>
  <c r="R6" i="4"/>
  <c r="R5" i="4"/>
  <c r="O5" i="4"/>
  <c r="O11" i="4"/>
  <c r="O17" i="4"/>
  <c r="U43" i="3" a="1"/>
  <c r="U43" i="3" s="1"/>
  <c r="J30" i="4"/>
  <c r="J31" i="4"/>
  <c r="J33" i="4"/>
  <c r="J34" i="4"/>
  <c r="J39" i="4"/>
  <c r="J41" i="4"/>
  <c r="J42" i="4"/>
  <c r="I26" i="4"/>
  <c r="I27" i="4"/>
  <c r="J27" i="4" s="1"/>
  <c r="I28" i="4"/>
  <c r="J28" i="4" s="1"/>
  <c r="I29" i="4"/>
  <c r="J29" i="4" s="1"/>
  <c r="I30" i="4"/>
  <c r="I31" i="4"/>
  <c r="I32" i="4"/>
  <c r="I33" i="4"/>
  <c r="I34" i="4"/>
  <c r="I35" i="4"/>
  <c r="J35" i="4" s="1"/>
  <c r="I36" i="4"/>
  <c r="J36" i="4" s="1"/>
  <c r="I37" i="4"/>
  <c r="J37" i="4" s="1"/>
  <c r="I38" i="4"/>
  <c r="I39" i="4"/>
  <c r="I40" i="4"/>
  <c r="J40" i="4" s="1"/>
  <c r="I41" i="4"/>
  <c r="I42" i="4"/>
  <c r="J25" i="4"/>
  <c r="F27" i="4"/>
  <c r="F31" i="4"/>
  <c r="F32" i="4"/>
  <c r="F34" i="4"/>
  <c r="F35" i="4"/>
  <c r="F38" i="4"/>
  <c r="F40" i="4"/>
  <c r="F42" i="4"/>
  <c r="F26" i="4"/>
  <c r="P43" i="3" a="1"/>
  <c r="P43" i="3" s="1"/>
  <c r="P44" i="3" s="1"/>
  <c r="D27" i="4"/>
  <c r="D28" i="4"/>
  <c r="D29" i="4"/>
  <c r="D30" i="4"/>
  <c r="D31" i="4"/>
  <c r="D33" i="4"/>
  <c r="D34" i="4"/>
  <c r="D35" i="4"/>
  <c r="D36" i="4"/>
  <c r="D37" i="4"/>
  <c r="D39" i="4"/>
  <c r="D40" i="4"/>
  <c r="D41" i="4"/>
  <c r="D42" i="4"/>
  <c r="B27" i="4"/>
  <c r="B28" i="4"/>
  <c r="B29" i="4"/>
  <c r="B30" i="4"/>
  <c r="B31" i="4"/>
  <c r="B33" i="4"/>
  <c r="B34" i="4"/>
  <c r="B35" i="4"/>
  <c r="B36" i="4"/>
  <c r="B37" i="4"/>
  <c r="B39" i="4"/>
  <c r="B40" i="4"/>
  <c r="B41" i="4"/>
  <c r="B42" i="4"/>
  <c r="A27" i="4"/>
  <c r="A28" i="4"/>
  <c r="A29" i="4"/>
  <c r="A30" i="4"/>
  <c r="C30" i="4" s="1"/>
  <c r="A31" i="4"/>
  <c r="A33" i="4"/>
  <c r="A34" i="4"/>
  <c r="A35" i="4"/>
  <c r="A36" i="4"/>
  <c r="A37" i="4"/>
  <c r="A39" i="4"/>
  <c r="A40" i="4"/>
  <c r="C40" i="4" s="1"/>
  <c r="A41" i="4"/>
  <c r="A42" i="4"/>
  <c r="C27" i="4"/>
  <c r="AZ21" i="3"/>
  <c r="AW21" i="3"/>
  <c r="AT21" i="3"/>
  <c r="BB5" i="3"/>
  <c r="BB6" i="3"/>
  <c r="BB7" i="3"/>
  <c r="BB8" i="3"/>
  <c r="BB9" i="3"/>
  <c r="BB10" i="3"/>
  <c r="BB11" i="3"/>
  <c r="BB12" i="3"/>
  <c r="BB4" i="3"/>
  <c r="BA9" i="3"/>
  <c r="AZ9" i="3"/>
  <c r="AY4" i="3"/>
  <c r="AX9" i="3"/>
  <c r="AY5" i="3"/>
  <c r="AY6" i="3"/>
  <c r="AY7" i="3"/>
  <c r="AY8" i="3"/>
  <c r="AY9" i="3"/>
  <c r="AY10" i="3"/>
  <c r="AY11" i="3"/>
  <c r="AY12" i="3"/>
  <c r="AD4" i="3"/>
  <c r="B4" i="3"/>
  <c r="AE4" i="3"/>
  <c r="AC4" i="3"/>
  <c r="AT9" i="3"/>
  <c r="AW9" i="3" s="1"/>
  <c r="AU9" i="3"/>
  <c r="AV9" i="3"/>
  <c r="AV10" i="3"/>
  <c r="AV11" i="3"/>
  <c r="AV12" i="3"/>
  <c r="AV4" i="3"/>
  <c r="AV5" i="3"/>
  <c r="AV6" i="3"/>
  <c r="AV7" i="3"/>
  <c r="AV8" i="3"/>
  <c r="P59" i="3"/>
  <c r="P58" i="3" a="1"/>
  <c r="P58" i="3" s="1"/>
  <c r="S32" i="3"/>
  <c r="S31" i="3"/>
  <c r="X49" i="3"/>
  <c r="X50" i="3"/>
  <c r="X51" i="3"/>
  <c r="X52" i="3"/>
  <c r="X53" i="3"/>
  <c r="Y53" i="3" s="1"/>
  <c r="X48" i="3"/>
  <c r="Y51" i="3"/>
  <c r="X32" i="3"/>
  <c r="X33" i="3"/>
  <c r="X34" i="3"/>
  <c r="X35" i="3"/>
  <c r="X36" i="3"/>
  <c r="X37" i="3"/>
  <c r="X38" i="3"/>
  <c r="Y38" i="3" s="1"/>
  <c r="X31" i="3"/>
  <c r="S53" i="3"/>
  <c r="Q53" i="3"/>
  <c r="P53" i="3"/>
  <c r="R53" i="3" s="1"/>
  <c r="J53" i="3"/>
  <c r="U53" i="3" s="1"/>
  <c r="F53" i="3"/>
  <c r="C53" i="3"/>
  <c r="Y52" i="3"/>
  <c r="S52" i="3"/>
  <c r="Q52" i="3"/>
  <c r="P52" i="3"/>
  <c r="R52" i="3" s="1"/>
  <c r="J52" i="3"/>
  <c r="U52" i="3" s="1"/>
  <c r="F52" i="3"/>
  <c r="C52" i="3"/>
  <c r="S51" i="3"/>
  <c r="Q51" i="3"/>
  <c r="P51" i="3"/>
  <c r="R51" i="3" s="1"/>
  <c r="J51" i="3"/>
  <c r="U51" i="3" s="1"/>
  <c r="F51" i="3"/>
  <c r="C51" i="3"/>
  <c r="Y50" i="3"/>
  <c r="S50" i="3"/>
  <c r="Q50" i="3"/>
  <c r="P50" i="3"/>
  <c r="J50" i="3"/>
  <c r="U50" i="3" s="1"/>
  <c r="F50" i="3"/>
  <c r="C50" i="3"/>
  <c r="U49" i="3"/>
  <c r="S49" i="3"/>
  <c r="Q49" i="3"/>
  <c r="P49" i="3"/>
  <c r="J49" i="3"/>
  <c r="F49" i="3"/>
  <c r="C49" i="3"/>
  <c r="U48" i="3"/>
  <c r="S48" i="3"/>
  <c r="Q48" i="3"/>
  <c r="R48" i="3"/>
  <c r="J48" i="3"/>
  <c r="F48" i="3"/>
  <c r="C48" i="3"/>
  <c r="Y37" i="3"/>
  <c r="Y36" i="3"/>
  <c r="Y35" i="3"/>
  <c r="Y32" i="3"/>
  <c r="Y33" i="3"/>
  <c r="Y34" i="3"/>
  <c r="S33" i="3"/>
  <c r="S34" i="3"/>
  <c r="S35" i="3"/>
  <c r="S36" i="3"/>
  <c r="S37" i="3"/>
  <c r="S38" i="3"/>
  <c r="C32" i="3"/>
  <c r="F32" i="3"/>
  <c r="J32" i="3"/>
  <c r="U32" i="3" s="1"/>
  <c r="Q32" i="3"/>
  <c r="Q31" i="3"/>
  <c r="P32" i="3"/>
  <c r="R32" i="3" s="1"/>
  <c r="P31" i="3"/>
  <c r="Q33" i="3"/>
  <c r="Q34" i="3"/>
  <c r="Q35" i="3"/>
  <c r="Q36" i="3"/>
  <c r="Q37" i="3"/>
  <c r="Q38" i="3"/>
  <c r="R38" i="3" s="1"/>
  <c r="P33" i="3"/>
  <c r="P34" i="3"/>
  <c r="P35" i="3"/>
  <c r="R35" i="3" s="1"/>
  <c r="P36" i="3"/>
  <c r="P37" i="3"/>
  <c r="P38" i="3"/>
  <c r="J38" i="3"/>
  <c r="U38" i="3" s="1"/>
  <c r="F38" i="3"/>
  <c r="C38" i="3"/>
  <c r="J37" i="3"/>
  <c r="U37" i="3" s="1"/>
  <c r="F37" i="3"/>
  <c r="C37" i="3"/>
  <c r="J36" i="3"/>
  <c r="U36" i="3" s="1"/>
  <c r="F36" i="3"/>
  <c r="C36" i="3"/>
  <c r="J35" i="3"/>
  <c r="U35" i="3" s="1"/>
  <c r="F35" i="3"/>
  <c r="C35" i="3"/>
  <c r="J34" i="3"/>
  <c r="U34" i="3" s="1"/>
  <c r="F34" i="3"/>
  <c r="C34" i="3"/>
  <c r="J33" i="3"/>
  <c r="U33" i="3" s="1"/>
  <c r="F33" i="3"/>
  <c r="C33" i="3"/>
  <c r="J31" i="3"/>
  <c r="U31" i="3" s="1"/>
  <c r="F31" i="3"/>
  <c r="C31" i="3"/>
  <c r="R22" i="3"/>
  <c r="J25" i="3"/>
  <c r="R25" i="3" s="1"/>
  <c r="J24" i="3"/>
  <c r="R24" i="3" s="1"/>
  <c r="J23" i="3"/>
  <c r="R23" i="3" s="1"/>
  <c r="J21" i="3"/>
  <c r="R21" i="3" s="1"/>
  <c r="J20" i="3"/>
  <c r="R20" i="3" s="1"/>
  <c r="J19" i="3"/>
  <c r="R19" i="3" s="1"/>
  <c r="J18" i="3"/>
  <c r="J17" i="3"/>
  <c r="M5" i="5"/>
  <c r="M6" i="5"/>
  <c r="M4" i="5"/>
  <c r="M5" i="6"/>
  <c r="M6" i="6"/>
  <c r="M8" i="6"/>
  <c r="M9" i="6"/>
  <c r="M10" i="6"/>
  <c r="O5" i="6"/>
  <c r="P5" i="6"/>
  <c r="Q5" i="6"/>
  <c r="R5" i="6"/>
  <c r="S5" i="6"/>
  <c r="O6" i="6"/>
  <c r="P6" i="6"/>
  <c r="Q6" i="6"/>
  <c r="R6" i="6"/>
  <c r="S6" i="6"/>
  <c r="O8" i="6"/>
  <c r="P8" i="6"/>
  <c r="Q8" i="6"/>
  <c r="R8" i="6"/>
  <c r="S8" i="6"/>
  <c r="T8" i="6"/>
  <c r="O9" i="6"/>
  <c r="P9" i="6"/>
  <c r="Q9" i="6"/>
  <c r="R9" i="6"/>
  <c r="S9" i="6"/>
  <c r="O10" i="6"/>
  <c r="P10" i="6"/>
  <c r="Q10" i="6"/>
  <c r="T10" i="6" s="1"/>
  <c r="R10" i="6"/>
  <c r="S10" i="6"/>
  <c r="N6" i="6"/>
  <c r="N8" i="6"/>
  <c r="N9" i="6"/>
  <c r="N10" i="6"/>
  <c r="N5" i="6"/>
  <c r="S4" i="6"/>
  <c r="R4" i="6"/>
  <c r="Q4" i="6"/>
  <c r="P4" i="6"/>
  <c r="O4" i="6"/>
  <c r="N4" i="6"/>
  <c r="J10" i="5"/>
  <c r="M10" i="5" s="1"/>
  <c r="J11" i="5"/>
  <c r="M11" i="5" s="1"/>
  <c r="J12" i="5"/>
  <c r="J13" i="5"/>
  <c r="M13" i="5" s="1"/>
  <c r="J9" i="5"/>
  <c r="M9" i="5" s="1"/>
  <c r="J5" i="5"/>
  <c r="J6" i="5"/>
  <c r="J7" i="5"/>
  <c r="M7" i="5" s="1"/>
  <c r="J8" i="5"/>
  <c r="M8" i="5" s="1"/>
  <c r="J5" i="6"/>
  <c r="J6" i="6"/>
  <c r="J8" i="6"/>
  <c r="J9" i="6"/>
  <c r="J10" i="6"/>
  <c r="J4" i="6"/>
  <c r="J7" i="4"/>
  <c r="F28" i="4" s="1"/>
  <c r="J8" i="4"/>
  <c r="F29" i="4" s="1"/>
  <c r="J9" i="4"/>
  <c r="F30" i="4" s="1"/>
  <c r="J10" i="4"/>
  <c r="J12" i="4"/>
  <c r="F33" i="4" s="1"/>
  <c r="J13" i="4"/>
  <c r="J14" i="4"/>
  <c r="J15" i="4"/>
  <c r="F36" i="4" s="1"/>
  <c r="J16" i="4"/>
  <c r="F37" i="4" s="1"/>
  <c r="J18" i="4"/>
  <c r="F39" i="4" s="1"/>
  <c r="J19" i="4"/>
  <c r="J20" i="4"/>
  <c r="F41" i="4" s="1"/>
  <c r="J21" i="4"/>
  <c r="J22" i="4"/>
  <c r="J6" i="4"/>
  <c r="J4" i="4"/>
  <c r="U12" i="3"/>
  <c r="T12" i="3"/>
  <c r="S12" i="3"/>
  <c r="R12" i="3"/>
  <c r="Q12" i="3"/>
  <c r="P12" i="3"/>
  <c r="J12" i="3"/>
  <c r="U11" i="3"/>
  <c r="T11" i="3"/>
  <c r="S11" i="3"/>
  <c r="R11" i="3"/>
  <c r="Q11" i="3"/>
  <c r="P11" i="3"/>
  <c r="J11" i="3"/>
  <c r="U10" i="3"/>
  <c r="T10" i="3"/>
  <c r="S10" i="3"/>
  <c r="R10" i="3"/>
  <c r="Q10" i="3"/>
  <c r="P10" i="3"/>
  <c r="J10" i="3"/>
  <c r="U8" i="3"/>
  <c r="T8" i="3"/>
  <c r="S8" i="3"/>
  <c r="R8" i="3"/>
  <c r="Q8" i="3"/>
  <c r="P8" i="3"/>
  <c r="J8" i="3"/>
  <c r="U7" i="3"/>
  <c r="T7" i="3"/>
  <c r="S7" i="3"/>
  <c r="R7" i="3"/>
  <c r="Q7" i="3"/>
  <c r="P7" i="3"/>
  <c r="J7" i="3"/>
  <c r="U6" i="3"/>
  <c r="T6" i="3"/>
  <c r="S6" i="3"/>
  <c r="R6" i="3"/>
  <c r="Q6" i="3"/>
  <c r="P6" i="3"/>
  <c r="J6" i="3"/>
  <c r="U5" i="3"/>
  <c r="T5" i="3"/>
  <c r="S5" i="3"/>
  <c r="R5" i="3"/>
  <c r="Q5" i="3"/>
  <c r="P5" i="3"/>
  <c r="J5" i="3"/>
  <c r="U4" i="3"/>
  <c r="T4" i="3"/>
  <c r="S4" i="3"/>
  <c r="R4" i="3"/>
  <c r="Q4" i="3"/>
  <c r="J4" i="3"/>
  <c r="G1" i="3"/>
  <c r="C20" i="3" l="1"/>
  <c r="O20" i="3" s="1"/>
  <c r="P20" i="3" s="1"/>
  <c r="Z20" i="3" s="1"/>
  <c r="O17" i="3"/>
  <c r="P17" i="3" s="1"/>
  <c r="C21" i="3"/>
  <c r="O21" i="3" s="1"/>
  <c r="P21" i="3" s="1"/>
  <c r="Z21" i="3" s="1"/>
  <c r="C19" i="3"/>
  <c r="O19" i="3" s="1"/>
  <c r="P19" i="3" s="1"/>
  <c r="Z19" i="3" s="1"/>
  <c r="C22" i="3"/>
  <c r="O22" i="3" s="1"/>
  <c r="P22" i="3" s="1"/>
  <c r="Z22" i="3" s="1"/>
  <c r="C25" i="3"/>
  <c r="O25" i="3" s="1"/>
  <c r="P25" i="3" s="1"/>
  <c r="Z25" i="3" s="1"/>
  <c r="C23" i="3"/>
  <c r="O23" i="3" s="1"/>
  <c r="P23" i="3" s="1"/>
  <c r="Z23" i="3" s="1"/>
  <c r="C24" i="3"/>
  <c r="O24" i="3" s="1"/>
  <c r="P24" i="3" s="1"/>
  <c r="Z24" i="3" s="1"/>
  <c r="C18" i="3"/>
  <c r="O18" i="3" s="1"/>
  <c r="Z18" i="3" s="1"/>
  <c r="C4" i="3"/>
  <c r="C8" i="4"/>
  <c r="O8" i="4" s="1"/>
  <c r="P8" i="4" s="1"/>
  <c r="C18" i="4"/>
  <c r="O18" i="4" s="1"/>
  <c r="P18" i="4" s="1"/>
  <c r="C21" i="4"/>
  <c r="O21" i="4" s="1"/>
  <c r="P21" i="4" s="1"/>
  <c r="C13" i="4"/>
  <c r="O13" i="4" s="1"/>
  <c r="P13" i="4" s="1"/>
  <c r="C9" i="4"/>
  <c r="O9" i="4" s="1"/>
  <c r="P9" i="4" s="1"/>
  <c r="C19" i="4"/>
  <c r="O19" i="4" s="1"/>
  <c r="P19" i="4" s="1"/>
  <c r="C12" i="4"/>
  <c r="O12" i="4" s="1"/>
  <c r="P12" i="4" s="1"/>
  <c r="C22" i="4"/>
  <c r="O22" i="4" s="1"/>
  <c r="P22" i="4" s="1"/>
  <c r="C10" i="4"/>
  <c r="O10" i="4" s="1"/>
  <c r="P10" i="4" s="1"/>
  <c r="C20" i="4"/>
  <c r="O20" i="4" s="1"/>
  <c r="P20" i="4" s="1"/>
  <c r="C4" i="4"/>
  <c r="O4" i="4" s="1"/>
  <c r="P4" i="4" s="1"/>
  <c r="C14" i="4"/>
  <c r="O14" i="4" s="1"/>
  <c r="P14" i="4" s="1"/>
  <c r="O6" i="4"/>
  <c r="P6" i="4" s="1"/>
  <c r="C15" i="4"/>
  <c r="O15" i="4" s="1"/>
  <c r="P15" i="4" s="1"/>
  <c r="C7" i="4"/>
  <c r="O7" i="4" s="1"/>
  <c r="P7" i="4" s="1"/>
  <c r="C16" i="4"/>
  <c r="O16" i="4" s="1"/>
  <c r="P16" i="4" s="1"/>
  <c r="Z6" i="5"/>
  <c r="U6" i="5"/>
  <c r="S11" i="5"/>
  <c r="M12" i="5"/>
  <c r="V9" i="5"/>
  <c r="X9" i="5" s="1"/>
  <c r="V6" i="5"/>
  <c r="X6" i="5" s="1"/>
  <c r="V4" i="5"/>
  <c r="X4" i="5" s="1"/>
  <c r="U12" i="5"/>
  <c r="Z12" i="5"/>
  <c r="Z8" i="5"/>
  <c r="U8" i="5"/>
  <c r="Z5" i="5"/>
  <c r="U5" i="5"/>
  <c r="U9" i="5"/>
  <c r="Z9" i="5"/>
  <c r="Z11" i="5"/>
  <c r="U11" i="5"/>
  <c r="U7" i="5"/>
  <c r="Z7" i="5"/>
  <c r="Z13" i="5"/>
  <c r="U13" i="5"/>
  <c r="Z4" i="5"/>
  <c r="AA4" i="5"/>
  <c r="AC4" i="5" s="1"/>
  <c r="AB7" i="5"/>
  <c r="V8" i="5"/>
  <c r="X8" i="5" s="1"/>
  <c r="S10" i="5"/>
  <c r="AA12" i="5"/>
  <c r="AC12" i="5" s="1"/>
  <c r="AB8" i="5"/>
  <c r="AC8" i="5" s="1"/>
  <c r="Z10" i="5"/>
  <c r="AA13" i="5"/>
  <c r="AC13" i="5" s="1"/>
  <c r="AB5" i="5"/>
  <c r="AA10" i="5"/>
  <c r="AC10" i="5" s="1"/>
  <c r="AB13" i="5"/>
  <c r="AA7" i="5"/>
  <c r="AC7" i="5" s="1"/>
  <c r="V5" i="5"/>
  <c r="X5" i="5" s="1"/>
  <c r="S7" i="5"/>
  <c r="W8" i="5"/>
  <c r="AA9" i="5"/>
  <c r="AC9" i="5" s="1"/>
  <c r="V13" i="5"/>
  <c r="X13" i="5" s="1"/>
  <c r="S4" i="5"/>
  <c r="AA6" i="5"/>
  <c r="AC6" i="5" s="1"/>
  <c r="S12" i="5"/>
  <c r="W10" i="5"/>
  <c r="X10" i="5" s="1"/>
  <c r="AA5" i="5"/>
  <c r="AC5" i="5" s="1"/>
  <c r="Z4" i="6"/>
  <c r="T30" i="4"/>
  <c r="U30" i="4" s="1"/>
  <c r="V30" i="4" s="1"/>
  <c r="T37" i="4"/>
  <c r="U37" i="4" s="1"/>
  <c r="T42" i="4"/>
  <c r="U42" i="4" s="1"/>
  <c r="V42" i="4" s="1"/>
  <c r="T34" i="4"/>
  <c r="U34" i="4" s="1"/>
  <c r="V34" i="4" s="1"/>
  <c r="U45" i="4"/>
  <c r="V45" i="4" s="1"/>
  <c r="T41" i="4"/>
  <c r="U41" i="4" s="1"/>
  <c r="V41" i="4" s="1"/>
  <c r="T33" i="4"/>
  <c r="U33" i="4" s="1"/>
  <c r="V33" i="4" s="1"/>
  <c r="T46" i="4"/>
  <c r="U46" i="4" s="1"/>
  <c r="V46" i="4" s="1"/>
  <c r="T38" i="4"/>
  <c r="U38" i="4" s="1"/>
  <c r="V38" i="4" s="1"/>
  <c r="G27" i="4"/>
  <c r="H27" i="4" s="1"/>
  <c r="F12" i="4"/>
  <c r="Q12" i="4" s="1"/>
  <c r="F20" i="4"/>
  <c r="Q20" i="4" s="1"/>
  <c r="G36" i="4"/>
  <c r="H36" i="4" s="1"/>
  <c r="F5" i="4"/>
  <c r="Q5" i="4" s="1"/>
  <c r="F13" i="4"/>
  <c r="Q13" i="4" s="1"/>
  <c r="F21" i="4"/>
  <c r="Q21" i="4" s="1"/>
  <c r="G37" i="4"/>
  <c r="H37" i="4" s="1"/>
  <c r="F6" i="4"/>
  <c r="Q6" i="4" s="1"/>
  <c r="F14" i="4"/>
  <c r="Q14" i="4" s="1"/>
  <c r="F22" i="4"/>
  <c r="Q22" i="4" s="1"/>
  <c r="G41" i="4"/>
  <c r="H41" i="4" s="1"/>
  <c r="F17" i="4"/>
  <c r="Q17" i="4" s="1"/>
  <c r="F7" i="4"/>
  <c r="Q7" i="4" s="1"/>
  <c r="F15" i="4"/>
  <c r="Q15" i="4" s="1"/>
  <c r="F4" i="4"/>
  <c r="G26" i="4"/>
  <c r="G42" i="4"/>
  <c r="G29" i="4"/>
  <c r="F8" i="4"/>
  <c r="Q8" i="4" s="1"/>
  <c r="F16" i="4"/>
  <c r="Q16" i="4" s="1"/>
  <c r="G28" i="4"/>
  <c r="H28" i="4" s="1"/>
  <c r="F9" i="4"/>
  <c r="Q9" i="4" s="1"/>
  <c r="F10" i="4"/>
  <c r="Q10" i="4" s="1"/>
  <c r="F18" i="4"/>
  <c r="Q18" i="4" s="1"/>
  <c r="G33" i="4"/>
  <c r="H33" i="4" s="1"/>
  <c r="F11" i="4"/>
  <c r="Q11" i="4" s="1"/>
  <c r="F19" i="4"/>
  <c r="Q19" i="4" s="1"/>
  <c r="G34" i="4"/>
  <c r="H34" i="4" s="1"/>
  <c r="G40" i="4"/>
  <c r="H40" i="4" s="1"/>
  <c r="G32" i="4"/>
  <c r="G39" i="4"/>
  <c r="H39" i="4" s="1"/>
  <c r="G31" i="4"/>
  <c r="H31" i="4" s="1"/>
  <c r="G38" i="4"/>
  <c r="H38" i="4" s="1"/>
  <c r="G30" i="4"/>
  <c r="H30" i="4" s="1"/>
  <c r="H42" i="4"/>
  <c r="C41" i="4"/>
  <c r="C31" i="4"/>
  <c r="H25" i="4"/>
  <c r="G35" i="4"/>
  <c r="H35" i="4" s="1"/>
  <c r="C36" i="4"/>
  <c r="C34" i="4"/>
  <c r="C37" i="4"/>
  <c r="C28" i="4"/>
  <c r="C35" i="4"/>
  <c r="C42" i="4"/>
  <c r="C33" i="4"/>
  <c r="C39" i="4"/>
  <c r="C29" i="4"/>
  <c r="M22" i="4"/>
  <c r="BC9" i="3"/>
  <c r="R31" i="3"/>
  <c r="R50" i="3"/>
  <c r="AC7" i="3"/>
  <c r="AD7" i="3" s="1"/>
  <c r="R36" i="3"/>
  <c r="R17" i="3"/>
  <c r="R49" i="3"/>
  <c r="R37" i="3"/>
  <c r="AC6" i="3"/>
  <c r="AE6" i="3" s="1"/>
  <c r="AC5" i="3"/>
  <c r="AC11" i="3"/>
  <c r="AC12" i="3"/>
  <c r="AD12" i="3" s="1"/>
  <c r="R34" i="3"/>
  <c r="R33" i="3"/>
  <c r="AC8" i="3"/>
  <c r="AE8" i="3" s="1"/>
  <c r="AC10" i="3"/>
  <c r="AE10" i="3" s="1"/>
  <c r="V7" i="3"/>
  <c r="V10" i="3"/>
  <c r="T6" i="6"/>
  <c r="V11" i="3"/>
  <c r="T5" i="6"/>
  <c r="V12" i="3"/>
  <c r="V8" i="3"/>
  <c r="V6" i="3"/>
  <c r="T9" i="6"/>
  <c r="T4" i="6"/>
  <c r="AD5" i="3"/>
  <c r="AE5" i="3"/>
  <c r="AE11" i="3"/>
  <c r="AD11" i="3"/>
  <c r="AG4" i="3"/>
  <c r="V50" i="4" l="1"/>
  <c r="AA11" i="4"/>
  <c r="AC11" i="4" s="1"/>
  <c r="V11" i="4"/>
  <c r="M7" i="4"/>
  <c r="AA14" i="4"/>
  <c r="AC14" i="4" s="1"/>
  <c r="V14" i="4"/>
  <c r="X14" i="4" s="1"/>
  <c r="V12" i="4"/>
  <c r="X12" i="4" s="1"/>
  <c r="AA12" i="4"/>
  <c r="AC12" i="4" s="1"/>
  <c r="V9" i="4"/>
  <c r="X9" i="4" s="1"/>
  <c r="AA9" i="4"/>
  <c r="AC9" i="4" s="1"/>
  <c r="AA7" i="4"/>
  <c r="AC7" i="4" s="1"/>
  <c r="V7" i="4"/>
  <c r="X7" i="4" s="1"/>
  <c r="AA16" i="4"/>
  <c r="AC16" i="4" s="1"/>
  <c r="V16" i="4"/>
  <c r="X16" i="4" s="1"/>
  <c r="AA17" i="4"/>
  <c r="AC17" i="4" s="1"/>
  <c r="V17" i="4"/>
  <c r="V8" i="4"/>
  <c r="X8" i="4" s="1"/>
  <c r="AA8" i="4"/>
  <c r="AC8" i="4" s="1"/>
  <c r="AA22" i="4"/>
  <c r="AC22" i="4" s="1"/>
  <c r="V22" i="4"/>
  <c r="X22" i="4" s="1"/>
  <c r="V6" i="4"/>
  <c r="X6" i="4" s="1"/>
  <c r="S6" i="4"/>
  <c r="AA6" i="4"/>
  <c r="AC6" i="4" s="1"/>
  <c r="V21" i="4"/>
  <c r="X21" i="4" s="1"/>
  <c r="AA21" i="4"/>
  <c r="AC21" i="4" s="1"/>
  <c r="AA13" i="4"/>
  <c r="AC13" i="4" s="1"/>
  <c r="V13" i="4"/>
  <c r="X13" i="4" s="1"/>
  <c r="AA5" i="4"/>
  <c r="AC5" i="4" s="1"/>
  <c r="V5" i="4"/>
  <c r="S19" i="4"/>
  <c r="AA19" i="4"/>
  <c r="AC19" i="4" s="1"/>
  <c r="V19" i="4"/>
  <c r="X19" i="4" s="1"/>
  <c r="AA20" i="4"/>
  <c r="AC20" i="4" s="1"/>
  <c r="V20" i="4"/>
  <c r="X20" i="4" s="1"/>
  <c r="V18" i="4"/>
  <c r="X18" i="4" s="1"/>
  <c r="AA18" i="4"/>
  <c r="AC18" i="4" s="1"/>
  <c r="AA10" i="4"/>
  <c r="AC10" i="4" s="1"/>
  <c r="V10" i="4"/>
  <c r="X10" i="4" s="1"/>
  <c r="S4" i="4"/>
  <c r="Q4" i="4"/>
  <c r="S15" i="4"/>
  <c r="V15" i="4"/>
  <c r="X15" i="4" s="1"/>
  <c r="AA15" i="4"/>
  <c r="AC15" i="4" s="1"/>
  <c r="U17" i="3"/>
  <c r="Z17" i="3"/>
  <c r="U4" i="4"/>
  <c r="Z4" i="4"/>
  <c r="AF4" i="4" s="1"/>
  <c r="U20" i="4"/>
  <c r="AE20" i="4" s="1"/>
  <c r="Z20" i="4"/>
  <c r="AF20" i="4" s="1"/>
  <c r="Z18" i="4"/>
  <c r="AF18" i="4" s="1"/>
  <c r="U18" i="4"/>
  <c r="Z16" i="4"/>
  <c r="AF16" i="4" s="1"/>
  <c r="U16" i="4"/>
  <c r="AE16" i="4" s="1"/>
  <c r="Z22" i="4"/>
  <c r="AF22" i="4" s="1"/>
  <c r="U22" i="4"/>
  <c r="AE22" i="4" s="1"/>
  <c r="Z9" i="4"/>
  <c r="AF9" i="4" s="1"/>
  <c r="U9" i="4"/>
  <c r="Z7" i="4"/>
  <c r="AF7" i="4" s="1"/>
  <c r="U7" i="4"/>
  <c r="AE7" i="4" s="1"/>
  <c r="U12" i="4"/>
  <c r="Z12" i="4"/>
  <c r="AF12" i="4" s="1"/>
  <c r="Z15" i="4"/>
  <c r="AF15" i="4" s="1"/>
  <c r="U15" i="4"/>
  <c r="AE15" i="4" s="1"/>
  <c r="U19" i="4"/>
  <c r="AE19" i="4" s="1"/>
  <c r="Z19" i="4"/>
  <c r="AF19" i="4" s="1"/>
  <c r="U6" i="4"/>
  <c r="AE6" i="4" s="1"/>
  <c r="Z6" i="4"/>
  <c r="AF6" i="4" s="1"/>
  <c r="Z14" i="4"/>
  <c r="AF14" i="4" s="1"/>
  <c r="U14" i="4"/>
  <c r="AE14" i="4" s="1"/>
  <c r="Z13" i="4"/>
  <c r="AF13" i="4" s="1"/>
  <c r="U13" i="4"/>
  <c r="AE13" i="4" s="1"/>
  <c r="U21" i="4"/>
  <c r="AE21" i="4" s="1"/>
  <c r="Z21" i="4"/>
  <c r="AF21" i="4" s="1"/>
  <c r="U10" i="4"/>
  <c r="Z10" i="4"/>
  <c r="AF10" i="4" s="1"/>
  <c r="Z8" i="4"/>
  <c r="AF8" i="4" s="1"/>
  <c r="U8" i="4"/>
  <c r="M13" i="4"/>
  <c r="S12" i="4"/>
  <c r="M12" i="4"/>
  <c r="M18" i="4"/>
  <c r="M10" i="4"/>
  <c r="S18" i="4"/>
  <c r="M6" i="4"/>
  <c r="M14" i="4"/>
  <c r="S20" i="4"/>
  <c r="M8" i="4"/>
  <c r="S11" i="4"/>
  <c r="M19" i="4"/>
  <c r="M20" i="4"/>
  <c r="S21" i="4"/>
  <c r="M21" i="4"/>
  <c r="S13" i="4"/>
  <c r="S16" i="4"/>
  <c r="S17" i="4"/>
  <c r="M9" i="4"/>
  <c r="S10" i="4"/>
  <c r="S8" i="4"/>
  <c r="S22" i="4"/>
  <c r="S9" i="4"/>
  <c r="M15" i="4"/>
  <c r="S7" i="4"/>
  <c r="S14" i="4"/>
  <c r="M16" i="4"/>
  <c r="S5" i="4"/>
  <c r="H29" i="4"/>
  <c r="H32" i="4"/>
  <c r="H26" i="4"/>
  <c r="AD8" i="3"/>
  <c r="AD6" i="3"/>
  <c r="AE7" i="3"/>
  <c r="V51" i="3"/>
  <c r="W51" i="3" s="1"/>
  <c r="V49" i="3"/>
  <c r="W49" i="3" s="1"/>
  <c r="V50" i="3"/>
  <c r="W50" i="3" s="1"/>
  <c r="V53" i="3"/>
  <c r="W53" i="3" s="1"/>
  <c r="V52" i="3"/>
  <c r="W52" i="3" s="1"/>
  <c r="W48" i="3"/>
  <c r="AD10" i="3"/>
  <c r="F19" i="3"/>
  <c r="Q19" i="3" s="1"/>
  <c r="F11" i="3"/>
  <c r="AU11" i="3" s="1"/>
  <c r="F21" i="3"/>
  <c r="Q21" i="3" s="1"/>
  <c r="F22" i="3"/>
  <c r="Q22" i="3" s="1"/>
  <c r="F23" i="3"/>
  <c r="Q23" i="3" s="1"/>
  <c r="F20" i="3"/>
  <c r="Q20" i="3" s="1"/>
  <c r="F24" i="3"/>
  <c r="Q24" i="3" s="1"/>
  <c r="F17" i="3"/>
  <c r="F25" i="3"/>
  <c r="Q25" i="3" s="1"/>
  <c r="AF4" i="3"/>
  <c r="F12" i="3"/>
  <c r="F7" i="3"/>
  <c r="F10" i="3"/>
  <c r="F4" i="3"/>
  <c r="F8" i="3"/>
  <c r="F5" i="3"/>
  <c r="F6" i="3"/>
  <c r="V35" i="3"/>
  <c r="W35" i="3" s="1"/>
  <c r="V34" i="3"/>
  <c r="W34" i="3" s="1"/>
  <c r="V36" i="3"/>
  <c r="W36" i="3" s="1"/>
  <c r="V37" i="3"/>
  <c r="W37" i="3" s="1"/>
  <c r="V38" i="3"/>
  <c r="W38" i="3" s="1"/>
  <c r="V32" i="3"/>
  <c r="W32" i="3" s="1"/>
  <c r="V33" i="3"/>
  <c r="W33" i="3" s="1"/>
  <c r="AE12" i="3"/>
  <c r="AA4" i="4" l="1"/>
  <c r="AC4" i="4" s="1"/>
  <c r="V4" i="4"/>
  <c r="X4" i="4" s="1"/>
  <c r="X17" i="4"/>
  <c r="AE17" i="4"/>
  <c r="AE12" i="4"/>
  <c r="X5" i="4"/>
  <c r="AE5" i="4"/>
  <c r="AE18" i="4"/>
  <c r="AE8" i="4"/>
  <c r="AE10" i="4"/>
  <c r="X11" i="4"/>
  <c r="AE11" i="4"/>
  <c r="AE9" i="4"/>
  <c r="X7" i="3"/>
  <c r="Z7" i="3" s="1"/>
  <c r="AP7" i="3" s="1"/>
  <c r="AR7" i="3" s="1"/>
  <c r="AU7" i="3"/>
  <c r="X12" i="3"/>
  <c r="Z12" i="3" s="1"/>
  <c r="AU12" i="3"/>
  <c r="AX11" i="3"/>
  <c r="BA11" i="3"/>
  <c r="X5" i="3"/>
  <c r="AO5" i="3" s="1"/>
  <c r="AQ5" i="3" s="1"/>
  <c r="AU5" i="3"/>
  <c r="X11" i="3"/>
  <c r="Y11" i="3" s="1"/>
  <c r="AO11" i="3" s="1"/>
  <c r="X6" i="3"/>
  <c r="AO6" i="3" s="1"/>
  <c r="AQ6" i="3" s="1"/>
  <c r="AU6" i="3"/>
  <c r="X8" i="3"/>
  <c r="AU8" i="3"/>
  <c r="AU4" i="3"/>
  <c r="X4" i="3"/>
  <c r="Y4" i="3" s="1"/>
  <c r="AO4" i="3" s="1"/>
  <c r="AQ4" i="3" s="1"/>
  <c r="X10" i="3"/>
  <c r="Z10" i="3" s="1"/>
  <c r="AP10" i="3" s="1"/>
  <c r="AU10" i="3"/>
  <c r="U47" i="3" a="1"/>
  <c r="U47" i="3" s="1"/>
  <c r="AN12" i="3"/>
  <c r="Y12" i="3"/>
  <c r="AO12" i="3" s="1"/>
  <c r="AP12" i="3"/>
  <c r="S24" i="3"/>
  <c r="S23" i="3"/>
  <c r="S22" i="3"/>
  <c r="S19" i="3"/>
  <c r="S21" i="3"/>
  <c r="S25" i="3"/>
  <c r="S20" i="3"/>
  <c r="S18" i="3"/>
  <c r="AN6" i="3"/>
  <c r="Z6" i="3"/>
  <c r="AP6" i="3" s="1"/>
  <c r="AR6" i="3" s="1"/>
  <c r="Y8" i="3"/>
  <c r="AO8" i="3" s="1"/>
  <c r="AQ8" i="3" s="1"/>
  <c r="Z8" i="3"/>
  <c r="AP8" i="3" s="1"/>
  <c r="AR8" i="3" s="1"/>
  <c r="AN8" i="3"/>
  <c r="AN5" i="3"/>
  <c r="AN10" i="3"/>
  <c r="AE4" i="4" l="1"/>
  <c r="AX5" i="3"/>
  <c r="BA5" i="3"/>
  <c r="Y10" i="3"/>
  <c r="AO10" i="3" s="1"/>
  <c r="AN4" i="3"/>
  <c r="AX12" i="3"/>
  <c r="BA12" i="3"/>
  <c r="BA6" i="3"/>
  <c r="AX6" i="3"/>
  <c r="Z11" i="3"/>
  <c r="AP11" i="3" s="1"/>
  <c r="AX4" i="3"/>
  <c r="BA4" i="3"/>
  <c r="Z5" i="3"/>
  <c r="AP5" i="3" s="1"/>
  <c r="AR5" i="3" s="1"/>
  <c r="AX8" i="3"/>
  <c r="BA8" i="3"/>
  <c r="AN7" i="3"/>
  <c r="Z4" i="3"/>
  <c r="AP4" i="3" s="1"/>
  <c r="AR4" i="3" s="1"/>
  <c r="Y7" i="3"/>
  <c r="AO7" i="3" s="1"/>
  <c r="AQ7" i="3" s="1"/>
  <c r="AN11" i="3"/>
  <c r="AX10" i="3"/>
  <c r="BA10" i="3"/>
  <c r="BA7" i="3"/>
  <c r="AX7" i="3"/>
  <c r="C12" i="3"/>
  <c r="AT12" i="3" s="1"/>
  <c r="C5" i="3"/>
  <c r="C6" i="3"/>
  <c r="AT6" i="3" s="1"/>
  <c r="C8" i="3"/>
  <c r="AT8" i="3" s="1"/>
  <c r="C11" i="3"/>
  <c r="C10" i="3"/>
  <c r="C7" i="3"/>
  <c r="AH12" i="3"/>
  <c r="AH8" i="3"/>
  <c r="AH6" i="3"/>
  <c r="BC12" i="3" l="1"/>
  <c r="AZ12" i="3"/>
  <c r="AZ24" i="3" s="1"/>
  <c r="BA24" i="3" s="1"/>
  <c r="AW12" i="3"/>
  <c r="AW24" i="3" s="1"/>
  <c r="AX24" i="3" s="1"/>
  <c r="AT24" i="3"/>
  <c r="AU24" i="3" s="1"/>
  <c r="AH7" i="3"/>
  <c r="AT7" i="3"/>
  <c r="AT10" i="3"/>
  <c r="AH10" i="3"/>
  <c r="AI10" i="3" s="1"/>
  <c r="AT20" i="3"/>
  <c r="AU20" i="3" s="1"/>
  <c r="AZ8" i="3"/>
  <c r="AZ20" i="3" s="1"/>
  <c r="BA20" i="3" s="1"/>
  <c r="BC8" i="3"/>
  <c r="AW8" i="3"/>
  <c r="AZ6" i="3"/>
  <c r="AZ18" i="3" s="1"/>
  <c r="BA18" i="3" s="1"/>
  <c r="BC6" i="3"/>
  <c r="AW6" i="3"/>
  <c r="AT18" i="3"/>
  <c r="AU18" i="3" s="1"/>
  <c r="AH11" i="3"/>
  <c r="AT11" i="3"/>
  <c r="AH5" i="3"/>
  <c r="AI5" i="3" s="1"/>
  <c r="AK5" i="3" s="1"/>
  <c r="AT5" i="3"/>
  <c r="AH4" i="3"/>
  <c r="AT4" i="3"/>
  <c r="U22" i="3"/>
  <c r="U21" i="3"/>
  <c r="U24" i="3"/>
  <c r="U23" i="3"/>
  <c r="U20" i="3"/>
  <c r="U18" i="3"/>
  <c r="U19" i="3"/>
  <c r="U25" i="3"/>
  <c r="AI7" i="3"/>
  <c r="AK7" i="3" s="1"/>
  <c r="AJ7" i="3"/>
  <c r="AL7" i="3" s="1"/>
  <c r="AJ12" i="3"/>
  <c r="AI12" i="3"/>
  <c r="AJ6" i="3"/>
  <c r="AL6" i="3" s="1"/>
  <c r="AI6" i="3"/>
  <c r="AK6" i="3" s="1"/>
  <c r="AJ11" i="3"/>
  <c r="AI11" i="3"/>
  <c r="AJ8" i="3"/>
  <c r="AL8" i="3" s="1"/>
  <c r="AI8" i="3"/>
  <c r="AK8" i="3" s="1"/>
  <c r="AJ5" i="3" l="1"/>
  <c r="AL5" i="3" s="1"/>
  <c r="AW18" i="3"/>
  <c r="AX18" i="3" s="1"/>
  <c r="BE12" i="3"/>
  <c r="AT22" i="3"/>
  <c r="AU22" i="3" s="1"/>
  <c r="AW10" i="3"/>
  <c r="AW22" i="3" s="1"/>
  <c r="AX22" i="3" s="1"/>
  <c r="BC10" i="3"/>
  <c r="AZ10" i="3"/>
  <c r="AZ22" i="3" s="1"/>
  <c r="BA22" i="3" s="1"/>
  <c r="AZ4" i="3"/>
  <c r="AZ16" i="3" s="1"/>
  <c r="BA16" i="3" s="1"/>
  <c r="AT16" i="3"/>
  <c r="AU16" i="3" s="1"/>
  <c r="AW4" i="3"/>
  <c r="AW16" i="3" s="1"/>
  <c r="AX16" i="3" s="1"/>
  <c r="AJ10" i="3"/>
  <c r="AZ5" i="3"/>
  <c r="AZ17" i="3" s="1"/>
  <c r="BA17" i="3" s="1"/>
  <c r="BC5" i="3"/>
  <c r="AW5" i="3"/>
  <c r="AT17" i="3"/>
  <c r="AU17" i="3" s="1"/>
  <c r="AW20" i="3"/>
  <c r="AX20" i="3" s="1"/>
  <c r="BE14" i="3"/>
  <c r="AT19" i="3"/>
  <c r="AU19" i="3" s="1"/>
  <c r="AZ7" i="3"/>
  <c r="AZ19" i="3" s="1"/>
  <c r="BA19" i="3" s="1"/>
  <c r="BC7" i="3"/>
  <c r="AW7" i="3"/>
  <c r="AT23" i="3"/>
  <c r="AU23" i="3" s="1"/>
  <c r="AZ11" i="3"/>
  <c r="AZ23" i="3" s="1"/>
  <c r="BA23" i="3" s="1"/>
  <c r="AW11" i="3"/>
  <c r="AW23" i="3" s="1"/>
  <c r="AX23" i="3" s="1"/>
  <c r="BC11" i="3"/>
  <c r="BC4" i="3"/>
  <c r="AJ4" i="3"/>
  <c r="AL4" i="3" s="1"/>
  <c r="AI4" i="3"/>
  <c r="AK4" i="3" s="1"/>
  <c r="BE11" i="3" l="1"/>
  <c r="AX17" i="3"/>
  <c r="AW19" i="3"/>
  <c r="AX19" i="3" s="1"/>
  <c r="BE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<sst xmlns="http://schemas.openxmlformats.org/spreadsheetml/2006/main" count="322" uniqueCount="98">
  <si>
    <t>air O2 - run1</t>
  </si>
  <si>
    <t>Per. O2%</t>
  </si>
  <si>
    <t>ret. O2%</t>
  </si>
  <si>
    <t>ret. Rot</t>
  </si>
  <si>
    <t>feed P (psig)</t>
  </si>
  <si>
    <t>feed flow (sccm)</t>
  </si>
  <si>
    <t>Feed Rot (mm)</t>
  </si>
  <si>
    <t>Per. P (psig)</t>
  </si>
  <si>
    <t>ret. P (psig)</t>
  </si>
  <si>
    <t>Per. Rot (mm)</t>
  </si>
  <si>
    <t>ret. flow (sccm)</t>
  </si>
  <si>
    <t>Per. flow (sccm)</t>
  </si>
  <si>
    <t>Variation 1.2</t>
  </si>
  <si>
    <t>Variation 1.1</t>
  </si>
  <si>
    <t>For 90 psig</t>
  </si>
  <si>
    <t>For 45 psig</t>
  </si>
  <si>
    <t>For 60 psig</t>
  </si>
  <si>
    <t>delta P</t>
  </si>
  <si>
    <t>For 75 psig</t>
  </si>
  <si>
    <t>air N2 - run1</t>
  </si>
  <si>
    <t>n_N2</t>
  </si>
  <si>
    <t>y_O2</t>
  </si>
  <si>
    <t>z_O2</t>
  </si>
  <si>
    <t>x_O2</t>
  </si>
  <si>
    <t>P_feed (psia)</t>
  </si>
  <si>
    <t>P_ret (psia)</t>
  </si>
  <si>
    <t>P_per (psia)</t>
  </si>
  <si>
    <t>n_total</t>
  </si>
  <si>
    <t>n_O2</t>
  </si>
  <si>
    <t>Analysis 1.1 (permeate)</t>
  </si>
  <si>
    <t>Analysis 1.2 (retentate)</t>
  </si>
  <si>
    <t>Variation 2.1</t>
  </si>
  <si>
    <t>For 30 psig</t>
  </si>
  <si>
    <t>For 92 psig</t>
  </si>
  <si>
    <t>Analysis 1.2 (mass balances)</t>
  </si>
  <si>
    <t>Analysis 1.2 (feed)</t>
  </si>
  <si>
    <t>Variation 2.2 - run 2</t>
  </si>
  <si>
    <t>Variation 2.2 - run 3</t>
  </si>
  <si>
    <t>R/P</t>
  </si>
  <si>
    <t>ret. N2%</t>
  </si>
  <si>
    <t>J_feed (mmol/s)</t>
  </si>
  <si>
    <t>total</t>
  </si>
  <si>
    <t>J_per (mmol/s)</t>
  </si>
  <si>
    <t>J_ret(mmol/s)</t>
  </si>
  <si>
    <t>per+ret</t>
  </si>
  <si>
    <t>O2</t>
  </si>
  <si>
    <t>N2</t>
  </si>
  <si>
    <t>fitting za-xa/ya-za</t>
  </si>
  <si>
    <t>(za-xa) (R)</t>
  </si>
  <si>
    <t>ya-za (P)</t>
  </si>
  <si>
    <t>Cp/cr</t>
  </si>
  <si>
    <t>R/P (za-xa)/(ya-za)</t>
  </si>
  <si>
    <t>(Cp = mCr)</t>
  </si>
  <si>
    <t>so if Cr = 50 sccm/min</t>
  </si>
  <si>
    <t>R</t>
  </si>
  <si>
    <t>P</t>
  </si>
  <si>
    <t>R+P</t>
  </si>
  <si>
    <t>Pexit</t>
  </si>
  <si>
    <t>(pexit/Patm)^61/2*feed rot reading</t>
  </si>
  <si>
    <t>then Cp = 44.3</t>
  </si>
  <si>
    <t>Cf = 200</t>
  </si>
  <si>
    <t xml:space="preserve">N2 </t>
  </si>
  <si>
    <t>mass O2</t>
  </si>
  <si>
    <t>mass N2</t>
  </si>
  <si>
    <t>Analysis of air mole</t>
  </si>
  <si>
    <t>feed</t>
  </si>
  <si>
    <t>retentate</t>
  </si>
  <si>
    <t>permeate</t>
  </si>
  <si>
    <t>O2 mole</t>
  </si>
  <si>
    <t>N2mole</t>
  </si>
  <si>
    <t>bal?</t>
  </si>
  <si>
    <t>%</t>
  </si>
  <si>
    <t>Cp = mCr</t>
  </si>
  <si>
    <t>Cp =</t>
  </si>
  <si>
    <t>Cf</t>
  </si>
  <si>
    <t>Cp/14.7)^1/2*feed flow</t>
  </si>
  <si>
    <t>P/R (za-xa)/(ya-za)</t>
  </si>
  <si>
    <t>alpha</t>
  </si>
  <si>
    <t>y side</t>
  </si>
  <si>
    <t>x</t>
  </si>
  <si>
    <t>x side</t>
  </si>
  <si>
    <t>y</t>
  </si>
  <si>
    <t>Pf/Pp</t>
  </si>
  <si>
    <t>num (alpha [*( pF/Pp *x)-y])</t>
  </si>
  <si>
    <t>denom</t>
  </si>
  <si>
    <t>num/dem</t>
  </si>
  <si>
    <t>bal</t>
  </si>
  <si>
    <t>SSE</t>
  </si>
  <si>
    <t>P_perO2</t>
  </si>
  <si>
    <t>P_perN2</t>
  </si>
  <si>
    <t>P_retO2</t>
  </si>
  <si>
    <t>P_retN2</t>
  </si>
  <si>
    <t>Pn_per - pN_ret)/PO_per - pO_ret)</t>
  </si>
  <si>
    <t>P_inO2</t>
  </si>
  <si>
    <t>P_inN2</t>
  </si>
  <si>
    <t>% recovery = oxygen recovered from feed at permeate or nitrogen recovered from feed at retentate</t>
  </si>
  <si>
    <t>N2 (ret)</t>
  </si>
  <si>
    <t>O2 (feed)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</si>
</sst>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1.1 - 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1'!$V$4:$V$12</c:f>
              <c:numCache>
                <c:formatCode>General</c:formatCode>
                <c:ptCount val="9"/>
                <c:pt idx="0">
                  <c:v>7.6614999999999993</c:v>
                </c:pt>
                <c:pt idx="1">
                  <c:v>7.6036499999999991</c:v>
                </c:pt>
                <c:pt idx="2">
                  <c:v>7.6099999999999994</c:v>
                </c:pt>
                <c:pt idx="3">
                  <c:v>7.4040999999999988</c:v>
                </c:pt>
                <c:pt idx="4">
                  <c:v>7.5283499999999997</c:v>
                </c:pt>
                <c:pt idx="6">
                  <c:v>8.9310500000000008</c:v>
                </c:pt>
                <c:pt idx="7">
                  <c:v>5.6061000000000014</c:v>
                </c:pt>
                <c:pt idx="8">
                  <c:v>3.88185</c:v>
                </c:pt>
              </c:numCache>
            </c:numRef>
          </c:xVal>
          <c:yVal>
            <c:numRef>
              <c:f>'Task 1'!$Y$4:$Y$12</c:f>
              <c:numCache>
                <c:formatCode>General</c:formatCode>
                <c:ptCount val="9"/>
                <c:pt idx="0">
                  <c:v>1.1346170509138297E-4</c:v>
                </c:pt>
                <c:pt idx="1">
                  <c:v>1.2387348508800398E-4</c:v>
                </c:pt>
                <c:pt idx="2">
                  <c:v>1.0504207802729337E-4</c:v>
                </c:pt>
                <c:pt idx="3">
                  <c:v>9.0607564850159669E-5</c:v>
                </c:pt>
                <c:pt idx="4">
                  <c:v>1.3469785310313913E-4</c:v>
                </c:pt>
                <c:pt idx="6">
                  <c:v>1.4706740369741536E-4</c:v>
                </c:pt>
                <c:pt idx="7">
                  <c:v>8.9163506785360245E-5</c:v>
                </c:pt>
                <c:pt idx="8">
                  <c:v>6.4472945363691723E-5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9-6945-935E-D9CDFB927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790767"/>
        <c:axId val="2003658767"/>
      </c:scatterChart>
      <c:valAx>
        <c:axId val="162379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8767"/>
        <c:crosses val="autoZero"/>
        <c:crossBetween val="midCat"/>
      </c:valAx>
      <c:valAx>
        <c:axId val="20036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1.1 - N2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1'!$V$4:$V$12</c:f>
              <c:numCache>
                <c:formatCode>General</c:formatCode>
                <c:ptCount val="9"/>
                <c:pt idx="0">
                  <c:v>7.6614999999999993</c:v>
                </c:pt>
                <c:pt idx="1">
                  <c:v>7.6036499999999991</c:v>
                </c:pt>
                <c:pt idx="2">
                  <c:v>7.6099999999999994</c:v>
                </c:pt>
                <c:pt idx="3">
                  <c:v>7.4040999999999988</c:v>
                </c:pt>
                <c:pt idx="4">
                  <c:v>7.5283499999999997</c:v>
                </c:pt>
                <c:pt idx="6">
                  <c:v>8.9310500000000008</c:v>
                </c:pt>
                <c:pt idx="7">
                  <c:v>5.6061000000000014</c:v>
                </c:pt>
                <c:pt idx="8">
                  <c:v>3.88185</c:v>
                </c:pt>
              </c:numCache>
            </c:numRef>
          </c:xVal>
          <c:yVal>
            <c:numRef>
              <c:f>'Task 1'!$Z$4:$Z$12</c:f>
              <c:numCache>
                <c:formatCode>General</c:formatCode>
                <c:ptCount val="9"/>
                <c:pt idx="0">
                  <c:v>2.3036164367038359E-4</c:v>
                </c:pt>
                <c:pt idx="1">
                  <c:v>2.3208480539476615E-4</c:v>
                </c:pt>
                <c:pt idx="2">
                  <c:v>2.3271379987397148E-4</c:v>
                </c:pt>
                <c:pt idx="3">
                  <c:v>2.329908810432677E-4</c:v>
                </c:pt>
                <c:pt idx="4">
                  <c:v>2.2935039852696663E-4</c:v>
                </c:pt>
                <c:pt idx="6">
                  <c:v>2.8170053711137585E-4</c:v>
                </c:pt>
                <c:pt idx="7">
                  <c:v>1.8185019165038521E-4</c:v>
                </c:pt>
                <c:pt idx="8">
                  <c:v>1.357535930328664E-4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8-FE49-8C9B-F068F18EF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790767"/>
        <c:axId val="2003658767"/>
      </c:scatterChart>
      <c:valAx>
        <c:axId val="162379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8767"/>
        <c:crosses val="autoZero"/>
        <c:crossBetween val="midCat"/>
      </c:valAx>
      <c:valAx>
        <c:axId val="20036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1.1 -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1'!$V$4:$V$12</c:f>
              <c:numCache>
                <c:formatCode>General</c:formatCode>
                <c:ptCount val="9"/>
                <c:pt idx="0">
                  <c:v>7.6614999999999993</c:v>
                </c:pt>
                <c:pt idx="1">
                  <c:v>7.6036499999999991</c:v>
                </c:pt>
                <c:pt idx="2">
                  <c:v>7.6099999999999994</c:v>
                </c:pt>
                <c:pt idx="3">
                  <c:v>7.4040999999999988</c:v>
                </c:pt>
                <c:pt idx="4">
                  <c:v>7.5283499999999997</c:v>
                </c:pt>
                <c:pt idx="6">
                  <c:v>8.9310500000000008</c:v>
                </c:pt>
                <c:pt idx="7">
                  <c:v>5.6061000000000014</c:v>
                </c:pt>
                <c:pt idx="8">
                  <c:v>3.88185</c:v>
                </c:pt>
              </c:numCache>
            </c:numRef>
          </c:xVal>
          <c:yVal>
            <c:numRef>
              <c:f>'Task 1'!$X$4:$X$12</c:f>
              <c:numCache>
                <c:formatCode>General</c:formatCode>
                <c:ptCount val="9"/>
                <c:pt idx="0">
                  <c:v>3.4382334876176658E-4</c:v>
                </c:pt>
                <c:pt idx="1">
                  <c:v>3.5595829048277013E-4</c:v>
                </c:pt>
                <c:pt idx="2">
                  <c:v>3.3775587790126483E-4</c:v>
                </c:pt>
                <c:pt idx="3">
                  <c:v>3.2359844589342735E-4</c:v>
                </c:pt>
                <c:pt idx="4">
                  <c:v>3.6404825163010576E-4</c:v>
                </c:pt>
                <c:pt idx="6">
                  <c:v>4.2876794080879121E-4</c:v>
                </c:pt>
                <c:pt idx="7">
                  <c:v>2.7101369843574545E-4</c:v>
                </c:pt>
                <c:pt idx="8">
                  <c:v>2.0022653839655815E-4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D-0D4D-A6FC-3968A7B21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790767"/>
        <c:axId val="2003658767"/>
      </c:scatterChart>
      <c:valAx>
        <c:axId val="162379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8767"/>
        <c:crosses val="autoZero"/>
        <c:crossBetween val="midCat"/>
      </c:valAx>
      <c:valAx>
        <c:axId val="20036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1'!$Y$31:$Y$38</c:f>
              <c:numCache>
                <c:formatCode>General</c:formatCode>
                <c:ptCount val="8"/>
                <c:pt idx="0">
                  <c:v>34.599678540443712</c:v>
                </c:pt>
                <c:pt idx="1">
                  <c:v>28.634216723125828</c:v>
                </c:pt>
                <c:pt idx="2">
                  <c:v>26.248031996198677</c:v>
                </c:pt>
                <c:pt idx="3">
                  <c:v>22.668754905807948</c:v>
                </c:pt>
                <c:pt idx="4">
                  <c:v>28.634216723125828</c:v>
                </c:pt>
                <c:pt idx="5">
                  <c:v>62.493197278911573</c:v>
                </c:pt>
                <c:pt idx="6">
                  <c:v>26.872448979591841</c:v>
                </c:pt>
                <c:pt idx="7">
                  <c:v>18.605442176870749</c:v>
                </c:pt>
              </c:numCache>
            </c:numRef>
          </c:xVal>
          <c:yVal>
            <c:numRef>
              <c:f>'Task 1'!$W$31:$W$38</c:f>
              <c:numCache>
                <c:formatCode>General</c:formatCode>
                <c:ptCount val="8"/>
                <c:pt idx="0">
                  <c:v>8373.7605988884407</c:v>
                </c:pt>
                <c:pt idx="1">
                  <c:v>7065.8483057445164</c:v>
                </c:pt>
                <c:pt idx="2">
                  <c:v>6199.3921591725548</c:v>
                </c:pt>
                <c:pt idx="3">
                  <c:v>5044.32781717131</c:v>
                </c:pt>
                <c:pt idx="4">
                  <c:v>9937.3687943177229</c:v>
                </c:pt>
                <c:pt idx="5">
                  <c:v>9046.234357751986</c:v>
                </c:pt>
                <c:pt idx="6">
                  <c:v>5743.374546880972</c:v>
                </c:pt>
                <c:pt idx="7">
                  <c:v>4293.0528368747473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0-4C58-B4E9-308DE9CCB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743920"/>
        <c:axId val="1095743504"/>
      </c:scatterChart>
      <c:valAx>
        <c:axId val="109574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43504"/>
        <c:crosses val="autoZero"/>
        <c:crossBetween val="midCat"/>
      </c:valAx>
      <c:valAx>
        <c:axId val="10957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4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2.1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2'!$M$6:$M$22</c:f>
              <c:numCache>
                <c:formatCode>General</c:formatCode>
                <c:ptCount val="17"/>
                <c:pt idx="0">
                  <c:v>12.330530509328522</c:v>
                </c:pt>
                <c:pt idx="1">
                  <c:v>13.660216580500139</c:v>
                </c:pt>
                <c:pt idx="2">
                  <c:v>15.715382021693216</c:v>
                </c:pt>
                <c:pt idx="3">
                  <c:v>18.939805864853827</c:v>
                </c:pt>
                <c:pt idx="4">
                  <c:v>10.036478321546472</c:v>
                </c:pt>
                <c:pt idx="6">
                  <c:v>14.224632809109098</c:v>
                </c:pt>
                <c:pt idx="7">
                  <c:v>15.791522438464984</c:v>
                </c:pt>
                <c:pt idx="8">
                  <c:v>18.270081470764229</c:v>
                </c:pt>
                <c:pt idx="9">
                  <c:v>22.430192471640179</c:v>
                </c:pt>
                <c:pt idx="10">
                  <c:v>10.403259921337208</c:v>
                </c:pt>
                <c:pt idx="12">
                  <c:v>11.843641828848739</c:v>
                </c:pt>
                <c:pt idx="13">
                  <c:v>12.708527744815337</c:v>
                </c:pt>
                <c:pt idx="14">
                  <c:v>14.98443402068423</c:v>
                </c:pt>
                <c:pt idx="15">
                  <c:v>18.990254358405569</c:v>
                </c:pt>
                <c:pt idx="16">
                  <c:v>10.557344663010658</c:v>
                </c:pt>
              </c:numCache>
            </c:numRef>
          </c:xVal>
          <c:yVal>
            <c:numRef>
              <c:f>'Task 2'!$G$6:$G$22</c:f>
              <c:numCache>
                <c:formatCode>General</c:formatCode>
                <c:ptCount val="17"/>
                <c:pt idx="0">
                  <c:v>44.2</c:v>
                </c:pt>
                <c:pt idx="1">
                  <c:v>42</c:v>
                </c:pt>
                <c:pt idx="2">
                  <c:v>39.299999999999997</c:v>
                </c:pt>
                <c:pt idx="3">
                  <c:v>35.6</c:v>
                </c:pt>
                <c:pt idx="4">
                  <c:v>47.3</c:v>
                </c:pt>
                <c:pt idx="6">
                  <c:v>44.6</c:v>
                </c:pt>
                <c:pt idx="7">
                  <c:v>42.5</c:v>
                </c:pt>
                <c:pt idx="8">
                  <c:v>39.700000000000003</c:v>
                </c:pt>
                <c:pt idx="9">
                  <c:v>35.5</c:v>
                </c:pt>
                <c:pt idx="10">
                  <c:v>47</c:v>
                </c:pt>
                <c:pt idx="12">
                  <c:v>44.3</c:v>
                </c:pt>
                <c:pt idx="13">
                  <c:v>42.4</c:v>
                </c:pt>
                <c:pt idx="14">
                  <c:v>39.5</c:v>
                </c:pt>
                <c:pt idx="15">
                  <c:v>35.299999999999997</c:v>
                </c:pt>
                <c:pt idx="16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2-4848-991A-D031CF9B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063551"/>
        <c:axId val="2010015807"/>
      </c:scatterChart>
      <c:valAx>
        <c:axId val="164306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15807"/>
        <c:crosses val="autoZero"/>
        <c:crossBetween val="midCat"/>
      </c:valAx>
      <c:valAx>
        <c:axId val="20100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06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2.2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2'!$A$6:$A$22</c:f>
              <c:numCache>
                <c:formatCode>General</c:formatCode>
                <c:ptCount val="17"/>
                <c:pt idx="0">
                  <c:v>65</c:v>
                </c:pt>
                <c:pt idx="1">
                  <c:v>50</c:v>
                </c:pt>
                <c:pt idx="2">
                  <c:v>37</c:v>
                </c:pt>
                <c:pt idx="3">
                  <c:v>23</c:v>
                </c:pt>
                <c:pt idx="4">
                  <c:v>83</c:v>
                </c:pt>
                <c:pt idx="6">
                  <c:v>64</c:v>
                </c:pt>
                <c:pt idx="7">
                  <c:v>50</c:v>
                </c:pt>
                <c:pt idx="8">
                  <c:v>36</c:v>
                </c:pt>
                <c:pt idx="9">
                  <c:v>22</c:v>
                </c:pt>
                <c:pt idx="10">
                  <c:v>81</c:v>
                </c:pt>
                <c:pt idx="12">
                  <c:v>65</c:v>
                </c:pt>
                <c:pt idx="13">
                  <c:v>52</c:v>
                </c:pt>
                <c:pt idx="14">
                  <c:v>37</c:v>
                </c:pt>
                <c:pt idx="15">
                  <c:v>22</c:v>
                </c:pt>
                <c:pt idx="16">
                  <c:v>82</c:v>
                </c:pt>
              </c:numCache>
            </c:numRef>
          </c:xVal>
          <c:yVal>
            <c:numRef>
              <c:f>'Task 2'!$G$6:$G$22</c:f>
              <c:numCache>
                <c:formatCode>General</c:formatCode>
                <c:ptCount val="17"/>
                <c:pt idx="0">
                  <c:v>44.2</c:v>
                </c:pt>
                <c:pt idx="1">
                  <c:v>42</c:v>
                </c:pt>
                <c:pt idx="2">
                  <c:v>39.299999999999997</c:v>
                </c:pt>
                <c:pt idx="3">
                  <c:v>35.6</c:v>
                </c:pt>
                <c:pt idx="4">
                  <c:v>47.3</c:v>
                </c:pt>
                <c:pt idx="6">
                  <c:v>44.6</c:v>
                </c:pt>
                <c:pt idx="7">
                  <c:v>42.5</c:v>
                </c:pt>
                <c:pt idx="8">
                  <c:v>39.700000000000003</c:v>
                </c:pt>
                <c:pt idx="9">
                  <c:v>35.5</c:v>
                </c:pt>
                <c:pt idx="10">
                  <c:v>47</c:v>
                </c:pt>
                <c:pt idx="12">
                  <c:v>44.3</c:v>
                </c:pt>
                <c:pt idx="13">
                  <c:v>42.4</c:v>
                </c:pt>
                <c:pt idx="14">
                  <c:v>39.5</c:v>
                </c:pt>
                <c:pt idx="15">
                  <c:v>35.299999999999997</c:v>
                </c:pt>
                <c:pt idx="16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C-E846-ADD5-B90DEDB1A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063551"/>
        <c:axId val="2010015807"/>
      </c:scatterChart>
      <c:valAx>
        <c:axId val="164306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15807"/>
        <c:crosses val="autoZero"/>
        <c:crossBetween val="midCat"/>
      </c:valAx>
      <c:valAx>
        <c:axId val="20100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06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3.1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3'!$J$4:$J$6</c:f>
              <c:numCache>
                <c:formatCode>General</c:formatCode>
                <c:ptCount val="3"/>
                <c:pt idx="0">
                  <c:v>750</c:v>
                </c:pt>
                <c:pt idx="1">
                  <c:v>500</c:v>
                </c:pt>
                <c:pt idx="2">
                  <c:v>100</c:v>
                </c:pt>
              </c:numCache>
            </c:numRef>
          </c:xVal>
          <c:yVal>
            <c:numRef>
              <c:f>'Task 3'!$M$4:$M$6</c:f>
              <c:numCache>
                <c:formatCode>General</c:formatCode>
                <c:ptCount val="3"/>
                <c:pt idx="0">
                  <c:v>91.2</c:v>
                </c:pt>
                <c:pt idx="1">
                  <c:v>89.8</c:v>
                </c:pt>
                <c:pt idx="2">
                  <c:v>87.3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9-DB41-8F09-1E29750C0F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3'!$J$8:$J$10</c:f>
              <c:numCache>
                <c:formatCode>General</c:formatCode>
                <c:ptCount val="3"/>
                <c:pt idx="0">
                  <c:v>925</c:v>
                </c:pt>
                <c:pt idx="1">
                  <c:v>500</c:v>
                </c:pt>
                <c:pt idx="2">
                  <c:v>125</c:v>
                </c:pt>
              </c:numCache>
            </c:numRef>
          </c:xVal>
          <c:yVal>
            <c:numRef>
              <c:f>'Task 3'!$M$8:$M$10</c:f>
              <c:numCache>
                <c:formatCode>General</c:formatCode>
                <c:ptCount val="3"/>
                <c:pt idx="0">
                  <c:v>92.7</c:v>
                </c:pt>
                <c:pt idx="1">
                  <c:v>89.5</c:v>
                </c:pt>
                <c:pt idx="2">
                  <c:v>86.4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B9-DB41-8F09-1E29750C0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962271"/>
        <c:axId val="1643083519"/>
      </c:scatterChart>
      <c:valAx>
        <c:axId val="164396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083519"/>
        <c:crosses val="autoZero"/>
        <c:crossBetween val="midCat"/>
      </c:valAx>
      <c:valAx>
        <c:axId val="164308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6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4'!$M$4:$M$13</c:f>
              <c:numCache>
                <c:formatCode>General</c:formatCode>
                <c:ptCount val="10"/>
                <c:pt idx="0">
                  <c:v>13.806795574614194</c:v>
                </c:pt>
                <c:pt idx="1">
                  <c:v>10.678693452240665</c:v>
                </c:pt>
                <c:pt idx="2">
                  <c:v>7.6468406259401691</c:v>
                </c:pt>
                <c:pt idx="3">
                  <c:v>4.8039108313734955</c:v>
                </c:pt>
                <c:pt idx="4">
                  <c:v>2.0482608819482593</c:v>
                </c:pt>
                <c:pt idx="5">
                  <c:v>1.7824346745915864</c:v>
                </c:pt>
                <c:pt idx="6">
                  <c:v>1.4238257936320888</c:v>
                </c:pt>
                <c:pt idx="7">
                  <c:v>1.0650956586130951</c:v>
                </c:pt>
                <c:pt idx="8">
                  <c:v>0.70177613048679066</c:v>
                </c:pt>
                <c:pt idx="9">
                  <c:v>0.3006318391246639</c:v>
                </c:pt>
              </c:numCache>
            </c:numRef>
          </c:xVal>
          <c:yVal>
            <c:numRef>
              <c:f>'Task 4'!$G$4:$G$13</c:f>
              <c:numCache>
                <c:formatCode>General</c:formatCode>
                <c:ptCount val="10"/>
                <c:pt idx="0">
                  <c:v>44.1</c:v>
                </c:pt>
                <c:pt idx="1">
                  <c:v>43.8</c:v>
                </c:pt>
                <c:pt idx="2">
                  <c:v>43.4</c:v>
                </c:pt>
                <c:pt idx="3">
                  <c:v>42</c:v>
                </c:pt>
                <c:pt idx="4">
                  <c:v>37.4</c:v>
                </c:pt>
                <c:pt idx="5">
                  <c:v>37.700000000000003</c:v>
                </c:pt>
                <c:pt idx="6">
                  <c:v>36.299999999999997</c:v>
                </c:pt>
                <c:pt idx="7">
                  <c:v>34.299999999999997</c:v>
                </c:pt>
                <c:pt idx="8">
                  <c:v>31.4</c:v>
                </c:pt>
                <c:pt idx="9">
                  <c:v>26.2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6-5D46-8A10-7AF64C2D5DE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4'!$M$4:$M$13</c:f>
              <c:numCache>
                <c:formatCode>General</c:formatCode>
                <c:ptCount val="10"/>
                <c:pt idx="0">
                  <c:v>13.806795574614194</c:v>
                </c:pt>
                <c:pt idx="1">
                  <c:v>10.678693452240665</c:v>
                </c:pt>
                <c:pt idx="2">
                  <c:v>7.6468406259401691</c:v>
                </c:pt>
                <c:pt idx="3">
                  <c:v>4.8039108313734955</c:v>
                </c:pt>
                <c:pt idx="4">
                  <c:v>2.0482608819482593</c:v>
                </c:pt>
                <c:pt idx="5">
                  <c:v>1.7824346745915864</c:v>
                </c:pt>
                <c:pt idx="6">
                  <c:v>1.4238257936320888</c:v>
                </c:pt>
                <c:pt idx="7">
                  <c:v>1.0650956586130951</c:v>
                </c:pt>
                <c:pt idx="8">
                  <c:v>0.70177613048679066</c:v>
                </c:pt>
                <c:pt idx="9">
                  <c:v>0.3006318391246639</c:v>
                </c:pt>
              </c:numCache>
            </c:numRef>
          </c:xVal>
          <c:yVal>
            <c:numRef>
              <c:f>'Task 4'!$K$4:$K$13</c:f>
              <c:numCache>
                <c:formatCode>General</c:formatCode>
                <c:ptCount val="10"/>
                <c:pt idx="0">
                  <c:v>20</c:v>
                </c:pt>
                <c:pt idx="1">
                  <c:v>19.2</c:v>
                </c:pt>
                <c:pt idx="2">
                  <c:v>18</c:v>
                </c:pt>
                <c:pt idx="3">
                  <c:v>15.7</c:v>
                </c:pt>
                <c:pt idx="4">
                  <c:v>10.199999999999999</c:v>
                </c:pt>
                <c:pt idx="5">
                  <c:v>10.3</c:v>
                </c:pt>
                <c:pt idx="6">
                  <c:v>9.6</c:v>
                </c:pt>
                <c:pt idx="7">
                  <c:v>8.6</c:v>
                </c:pt>
                <c:pt idx="8">
                  <c:v>7.2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D6-5D46-8A10-7AF64C2D5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579855"/>
        <c:axId val="1646293551"/>
      </c:scatterChart>
      <c:valAx>
        <c:axId val="164357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93551"/>
        <c:crosses val="autoZero"/>
        <c:crossBetween val="midCat"/>
      </c:valAx>
      <c:valAx>
        <c:axId val="164629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79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13311</xdr:colOff>
      <xdr:row>40</xdr:row>
      <xdr:rowOff>111842</xdr:rowOff>
    </xdr:from>
    <xdr:to>
      <xdr:col>32</xdr:col>
      <xdr:colOff>457814</xdr:colOff>
      <xdr:row>54</xdr:row>
      <xdr:rowOff>16797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B9186-37B1-F0A1-9B44-3FCD8B520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131039</xdr:colOff>
      <xdr:row>36</xdr:row>
      <xdr:rowOff>73741</xdr:rowOff>
    </xdr:from>
    <xdr:to>
      <xdr:col>40</xdr:col>
      <xdr:colOff>756206</xdr:colOff>
      <xdr:row>49</xdr:row>
      <xdr:rowOff>169196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EF22C6-9F6E-BF40-82B5-EBE2D0ACD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146351</xdr:colOff>
      <xdr:row>19</xdr:row>
      <xdr:rowOff>115757</xdr:rowOff>
    </xdr:from>
    <xdr:to>
      <xdr:col>41</xdr:col>
      <xdr:colOff>594468</xdr:colOff>
      <xdr:row>33</xdr:row>
      <xdr:rowOff>26856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E48EA3-1186-F34B-ADD0-4537E87EE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697587</xdr:colOff>
      <xdr:row>39</xdr:row>
      <xdr:rowOff>54431</xdr:rowOff>
    </xdr:from>
    <xdr:to>
      <xdr:col>11</xdr:col>
      <xdr:colOff>375108</xdr:colOff>
      <xdr:row>53</xdr:row>
      <xdr:rowOff>44598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E72F46-632A-1A31-CA5A-9A2CBA9A3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825442</xdr:colOff>
      <xdr:row>30</xdr:row>
      <xdr:rowOff>115070</xdr:rowOff>
    </xdr:from>
    <xdr:to>
      <xdr:col>15</xdr:col>
      <xdr:colOff>207648</xdr:colOff>
      <xdr:row>42</xdr:row>
      <xdr:rowOff>19116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F77945-C04F-DABA-43AC-5E44EEFE8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291830</xdr:colOff>
      <xdr:row>12</xdr:row>
      <xdr:rowOff>141755</xdr:rowOff>
    </xdr:from>
    <xdr:to>
      <xdr:col>14</xdr:col>
      <xdr:colOff>747421</xdr:colOff>
      <xdr:row>24</xdr:row>
      <xdr:rowOff>44573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3FCA9E-7F9A-034B-BEF4-CD5A7AD09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499411</xdr:colOff>
      <xdr:row>14</xdr:row>
      <xdr:rowOff>9747</xdr:rowOff>
    </xdr:from>
    <xdr:to>
      <xdr:col>13</xdr:col>
      <xdr:colOff>84635</xdr:colOff>
      <xdr:row>27</xdr:row>
      <xdr:rowOff>104090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0597C-02A8-56F6-4118-E66CF73DF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271630</xdr:colOff>
      <xdr:row>19</xdr:row>
      <xdr:rowOff>112657</xdr:rowOff>
    </xdr:from>
    <xdr:to>
      <xdr:col>13</xdr:col>
      <xdr:colOff>757517</xdr:colOff>
      <xdr:row>33</xdr:row>
      <xdr:rowOff>11058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802ED-4445-65EE-8589-8EF0873E2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660F-2626-444E-B92F-0D191ABEA35D}">
  <dimension ref="A1:BE59"/>
  <sheetViews>
    <sheetView tabSelected="1" zoomScale="51" zoomScaleNormal="62" workbookViewId="0">
      <selection activeCell="F14" sqref="F14"/>
    </sheetView>
  </sheetViews>
  <sheetFormatPr defaultColWidth="11.19921875" defaultRowHeight="15.6" x14ac:dyDescent="0.3"/>
  <cols>
    <col min="1" max="1" width="11.796875" bestFit="1" customWidth="1"/>
    <col min="2" max="2" width="13.796875" bestFit="1" customWidth="1"/>
    <col min="3" max="3" width="15.09765625" bestFit="1" customWidth="1"/>
    <col min="4" max="4" width="11.09765625" bestFit="1" customWidth="1"/>
    <col min="5" max="5" width="12.8984375" bestFit="1" customWidth="1"/>
    <col min="6" max="6" width="14.69921875" bestFit="1" customWidth="1"/>
    <col min="7" max="7" width="8.8984375" bestFit="1" customWidth="1"/>
    <col min="8" max="8" width="10.8984375" bestFit="1" customWidth="1"/>
    <col min="9" max="9" width="7.5" bestFit="1" customWidth="1"/>
    <col min="10" max="10" width="14.3984375" bestFit="1" customWidth="1"/>
    <col min="11" max="11" width="8.5" bestFit="1" customWidth="1"/>
    <col min="12" max="12" width="10.19921875" bestFit="1" customWidth="1"/>
    <col min="13" max="14" width="10.19921875" customWidth="1"/>
    <col min="15" max="15" width="14.09765625" customWidth="1"/>
    <col min="16" max="16" width="16" customWidth="1"/>
    <col min="17" max="17" width="17.19921875" customWidth="1"/>
    <col min="18" max="18" width="17.796875" customWidth="1"/>
    <col min="19" max="24" width="11.3984375" bestFit="1" customWidth="1"/>
    <col min="25" max="25" width="14.59765625" bestFit="1" customWidth="1"/>
    <col min="26" max="26" width="11.3984375" bestFit="1" customWidth="1"/>
    <col min="27" max="29" width="11.296875" bestFit="1" customWidth="1"/>
    <col min="30" max="30" width="13.5" bestFit="1" customWidth="1"/>
    <col min="31" max="37" width="11.296875" bestFit="1" customWidth="1"/>
    <col min="46" max="46" width="24.8984375" customWidth="1"/>
    <col min="47" max="47" width="16.69921875" customWidth="1"/>
    <col min="48" max="48" width="15.3984375" customWidth="1"/>
  </cols>
  <sheetData>
    <row r="1" spans="1:57" x14ac:dyDescent="0.3">
      <c r="A1" t="s">
        <v>0</v>
      </c>
      <c r="B1">
        <v>21.5</v>
      </c>
      <c r="C1" t="s">
        <v>0</v>
      </c>
      <c r="D1">
        <v>21.5</v>
      </c>
      <c r="F1" t="s">
        <v>19</v>
      </c>
      <c r="G1">
        <f>100-D1</f>
        <v>78.5</v>
      </c>
      <c r="X1" t="s">
        <v>29</v>
      </c>
      <c r="AC1" t="s">
        <v>30</v>
      </c>
      <c r="AH1" t="s">
        <v>35</v>
      </c>
      <c r="AN1" t="s">
        <v>34</v>
      </c>
      <c r="AQ1" s="1" t="s">
        <v>45</v>
      </c>
      <c r="AR1" s="1">
        <v>32</v>
      </c>
      <c r="AS1" s="1"/>
      <c r="AT1" s="1" t="s">
        <v>64</v>
      </c>
      <c r="AU1" s="1"/>
      <c r="AV1" s="1"/>
      <c r="AW1" s="1" t="s">
        <v>68</v>
      </c>
      <c r="AX1" s="1"/>
      <c r="AY1" s="1"/>
      <c r="AZ1" t="s">
        <v>69</v>
      </c>
    </row>
    <row r="2" spans="1:57" x14ac:dyDescent="0.3">
      <c r="A2" t="s">
        <v>4</v>
      </c>
      <c r="B2" t="s">
        <v>6</v>
      </c>
      <c r="C2" t="s">
        <v>5</v>
      </c>
      <c r="D2" t="s">
        <v>7</v>
      </c>
      <c r="E2" t="s">
        <v>9</v>
      </c>
      <c r="F2" t="s">
        <v>11</v>
      </c>
      <c r="G2" t="s">
        <v>1</v>
      </c>
      <c r="H2" t="s">
        <v>8</v>
      </c>
      <c r="I2" t="s">
        <v>3</v>
      </c>
      <c r="J2" t="s">
        <v>10</v>
      </c>
      <c r="K2" t="s">
        <v>2</v>
      </c>
      <c r="P2" t="s">
        <v>24</v>
      </c>
      <c r="Q2" t="s">
        <v>26</v>
      </c>
      <c r="R2" t="s">
        <v>25</v>
      </c>
      <c r="S2" t="s">
        <v>22</v>
      </c>
      <c r="T2" t="s">
        <v>21</v>
      </c>
      <c r="U2" t="s">
        <v>23</v>
      </c>
      <c r="V2" t="s">
        <v>17</v>
      </c>
      <c r="X2" t="s">
        <v>27</v>
      </c>
      <c r="Y2" t="s">
        <v>28</v>
      </c>
      <c r="Z2" t="s">
        <v>20</v>
      </c>
      <c r="AC2" t="s">
        <v>27</v>
      </c>
      <c r="AD2" t="s">
        <v>28</v>
      </c>
      <c r="AE2" t="s">
        <v>20</v>
      </c>
      <c r="AF2" t="s">
        <v>62</v>
      </c>
      <c r="AG2" t="s">
        <v>20</v>
      </c>
      <c r="AH2" t="s">
        <v>27</v>
      </c>
      <c r="AI2" t="s">
        <v>28</v>
      </c>
      <c r="AJ2" t="s">
        <v>20</v>
      </c>
      <c r="AK2" t="s">
        <v>62</v>
      </c>
      <c r="AL2" t="s">
        <v>63</v>
      </c>
      <c r="AN2" t="s">
        <v>27</v>
      </c>
      <c r="AO2" t="s">
        <v>28</v>
      </c>
      <c r="AP2" t="s">
        <v>20</v>
      </c>
      <c r="AQ2" s="1" t="s">
        <v>61</v>
      </c>
      <c r="AR2" s="1">
        <v>28</v>
      </c>
      <c r="AS2" s="1"/>
      <c r="AT2" s="1" t="s">
        <v>65</v>
      </c>
      <c r="AU2" s="1" t="s">
        <v>67</v>
      </c>
      <c r="AV2" s="1" t="s">
        <v>66</v>
      </c>
      <c r="AW2" s="1" t="s">
        <v>65</v>
      </c>
      <c r="AX2" s="1" t="s">
        <v>67</v>
      </c>
      <c r="AY2" s="1" t="s">
        <v>66</v>
      </c>
      <c r="AZ2" s="1" t="s">
        <v>65</v>
      </c>
      <c r="BA2" s="1" t="s">
        <v>67</v>
      </c>
      <c r="BB2" s="1" t="s">
        <v>66</v>
      </c>
    </row>
    <row r="3" spans="1:57" x14ac:dyDescent="0.3">
      <c r="A3" t="s">
        <v>13</v>
      </c>
      <c r="AQ3" s="1"/>
      <c r="AR3" s="1"/>
      <c r="AS3" s="1"/>
      <c r="AT3" s="1"/>
      <c r="AU3" s="1"/>
      <c r="AV3" s="1"/>
      <c r="AW3" s="1"/>
      <c r="AX3" s="1"/>
      <c r="AY3" s="1"/>
    </row>
    <row r="4" spans="1:57" x14ac:dyDescent="0.3">
      <c r="A4">
        <v>69</v>
      </c>
      <c r="B4">
        <f>12</f>
        <v>12</v>
      </c>
      <c r="C4">
        <f>B4*$U$58</f>
        <v>2807.7307671555368</v>
      </c>
      <c r="D4">
        <v>0</v>
      </c>
      <c r="E4">
        <v>85</v>
      </c>
      <c r="F4">
        <f>E4*$P$44</f>
        <v>3765.8483057445164</v>
      </c>
      <c r="G4">
        <v>33</v>
      </c>
      <c r="H4">
        <v>68</v>
      </c>
      <c r="I4">
        <v>66</v>
      </c>
      <c r="J4">
        <f>I4*50</f>
        <v>3300</v>
      </c>
      <c r="K4">
        <v>8.5</v>
      </c>
      <c r="L4" t="s">
        <v>18</v>
      </c>
      <c r="P4">
        <f>A4+14.7</f>
        <v>83.7</v>
      </c>
      <c r="Q4">
        <f>D4+14.7</f>
        <v>14.7</v>
      </c>
      <c r="R4">
        <f>H4+14.7</f>
        <v>82.7</v>
      </c>
      <c r="S4">
        <f>$B$1/100</f>
        <v>0.215</v>
      </c>
      <c r="T4">
        <f>G4/100</f>
        <v>0.33</v>
      </c>
      <c r="U4">
        <f>K4/100</f>
        <v>8.5000000000000006E-2</v>
      </c>
      <c r="V4">
        <f>((S4*P4+R4*U4)/2)-Q4*T4</f>
        <v>7.6614999999999993</v>
      </c>
      <c r="X4">
        <f>Q4*F4*(1/28316.8)/(529.83*10.73159)</f>
        <v>3.4382334876176658E-4</v>
      </c>
      <c r="Y4">
        <f>X4*T4</f>
        <v>1.1346170509138297E-4</v>
      </c>
      <c r="Z4">
        <f>X4*(1-T4)</f>
        <v>2.3036164367038359E-4</v>
      </c>
      <c r="AC4">
        <f>R4*J4*(1/28316.8)/(529.83*10.73159)</f>
        <v>1.6950193432036732E-3</v>
      </c>
      <c r="AD4">
        <f>AC4*U4</f>
        <v>1.4407664417231223E-4</v>
      </c>
      <c r="AE4">
        <f>AC4*(1-U4)</f>
        <v>1.550942699031361E-3</v>
      </c>
      <c r="AF4">
        <f>AD4*32</f>
        <v>4.6104526135139915E-3</v>
      </c>
      <c r="AG4">
        <f>AE4*28</f>
        <v>4.3426395572878113E-2</v>
      </c>
      <c r="AH4" s="3">
        <f>P4*C4*(1/28316.8)/(529.83*10.73159)</f>
        <v>1.4596076410612793E-3</v>
      </c>
      <c r="AI4" s="4">
        <f>AH4*S4</f>
        <v>3.1381564282817503E-4</v>
      </c>
      <c r="AJ4" s="5">
        <f>AH4*(1-S4)</f>
        <v>1.1457919982331042E-3</v>
      </c>
      <c r="AK4">
        <f>AI4*$AR$1</f>
        <v>1.0042100570501601E-2</v>
      </c>
      <c r="AL4">
        <f>AJ4*$AR$2</f>
        <v>3.2082175950526919E-2</v>
      </c>
      <c r="AN4" s="3">
        <f t="shared" ref="AN4:AP8" si="0">X4+AC4</f>
        <v>2.0388426919654397E-3</v>
      </c>
      <c r="AO4" s="4">
        <f t="shared" si="0"/>
        <v>2.5753834926369519E-4</v>
      </c>
      <c r="AP4" s="5">
        <f t="shared" si="0"/>
        <v>1.7813043427017446E-3</v>
      </c>
      <c r="AQ4" s="1">
        <f>AO4*32</f>
        <v>8.2412271764382462E-3</v>
      </c>
      <c r="AR4" s="1">
        <f>AP4*28</f>
        <v>4.987652159564885E-2</v>
      </c>
      <c r="AS4" s="1"/>
      <c r="AT4" s="1">
        <f t="shared" ref="AT4:AT12" si="1">((P4*6894.7)*C4/10^6)/(8.314*295)</f>
        <v>0.66063907418147838</v>
      </c>
      <c r="AU4" s="6">
        <f t="shared" ref="AU4:AU12" si="2">(Q4*6894.7*F4/10^6)/8.314/295</f>
        <v>0.15561931331271561</v>
      </c>
      <c r="AV4" s="1">
        <f t="shared" ref="AV4:AV12" si="3">(R4*6894.7*J4/10^6)/8.314/295</f>
        <v>0.76718974203202295</v>
      </c>
      <c r="AW4" s="1">
        <f t="shared" ref="AW4:AW12" si="4">AT4*0.215</f>
        <v>0.14203740094901784</v>
      </c>
      <c r="AX4" s="6">
        <f>AU4*T4</f>
        <v>5.1354373393196158E-2</v>
      </c>
      <c r="AY4" s="7">
        <f>AV4*U4</f>
        <v>6.5211128072721961E-2</v>
      </c>
      <c r="AZ4" s="1">
        <f>AT4*(1-0.215)</f>
        <v>0.51860167323246054</v>
      </c>
      <c r="BA4" s="6">
        <f>AU4*(1-T4)</f>
        <v>0.10426493991951945</v>
      </c>
      <c r="BB4" s="7">
        <f>AV4*(1-U4)</f>
        <v>0.70197861395930106</v>
      </c>
      <c r="BC4">
        <f t="shared" ref="BC4:BC12" si="5">AT4*0.785</f>
        <v>0.51860167323246054</v>
      </c>
    </row>
    <row r="5" spans="1:57" x14ac:dyDescent="0.3">
      <c r="A5">
        <v>69</v>
      </c>
      <c r="B5">
        <v>14.5</v>
      </c>
      <c r="C5">
        <f t="shared" ref="C5:C12" si="6">B5*$U$58</f>
        <v>3392.6746769796073</v>
      </c>
      <c r="D5">
        <v>0</v>
      </c>
      <c r="E5">
        <v>88</v>
      </c>
      <c r="F5">
        <f t="shared" ref="F5:F12" si="7">E5*$P$44</f>
        <v>3898.7605988884407</v>
      </c>
      <c r="G5">
        <v>34.799999999999997</v>
      </c>
      <c r="H5">
        <v>68</v>
      </c>
      <c r="I5">
        <v>89.5</v>
      </c>
      <c r="J5">
        <f>I5*50</f>
        <v>4475</v>
      </c>
      <c r="K5">
        <v>9</v>
      </c>
      <c r="L5" t="s">
        <v>18</v>
      </c>
      <c r="P5">
        <f t="shared" ref="P5:P12" si="8">A5+14.7</f>
        <v>83.7</v>
      </c>
      <c r="Q5">
        <f t="shared" ref="Q5:Q12" si="9">D5+14.7</f>
        <v>14.7</v>
      </c>
      <c r="R5">
        <f t="shared" ref="R5:R12" si="10">H5+14.7</f>
        <v>82.7</v>
      </c>
      <c r="S5">
        <f t="shared" ref="S5:S12" si="11">$B$1/100</f>
        <v>0.215</v>
      </c>
      <c r="T5">
        <f>G5/100</f>
        <v>0.34799999999999998</v>
      </c>
      <c r="U5">
        <f>K5/100</f>
        <v>0.09</v>
      </c>
      <c r="V5">
        <f t="shared" ref="V5:V12" si="12">((S5*P5+R5*U5)/2)-Q5*T5</f>
        <v>7.6036499999999991</v>
      </c>
      <c r="X5">
        <f t="shared" ref="X5:X12" si="13">Q5*F5*(1/28316.8)/(529.83*10.73159)</f>
        <v>3.5595829048277013E-4</v>
      </c>
      <c r="Y5">
        <f>X5*T5</f>
        <v>1.2387348508800398E-4</v>
      </c>
      <c r="Z5">
        <f t="shared" ref="Z5:Z12" si="14">X5*(1-T5)</f>
        <v>2.3208480539476615E-4</v>
      </c>
      <c r="AC5">
        <f>R5*J5*(1/28316.8)/(529.83*10.73159)</f>
        <v>2.2985489578292231E-3</v>
      </c>
      <c r="AD5">
        <f>AC5*U5</f>
        <v>2.0686940620463009E-4</v>
      </c>
      <c r="AE5">
        <f>AC5*(1-U5)</f>
        <v>2.0916795516245932E-3</v>
      </c>
      <c r="AH5" s="3">
        <f>P5*C5*(1/28316.8)/(529.83*10.73159)</f>
        <v>1.7636925662823796E-3</v>
      </c>
      <c r="AI5" s="4">
        <f>AH5*S5</f>
        <v>3.7919390175071159E-4</v>
      </c>
      <c r="AJ5" s="5">
        <f>AH5*(1-S5)</f>
        <v>1.384498664531668E-3</v>
      </c>
      <c r="AK5">
        <f>AI5*$AR$1</f>
        <v>1.2134204856022771E-2</v>
      </c>
      <c r="AL5">
        <f>AJ5*$AR$2</f>
        <v>3.8765962606886709E-2</v>
      </c>
      <c r="AN5" s="3">
        <f t="shared" si="0"/>
        <v>2.6545072483119933E-3</v>
      </c>
      <c r="AO5" s="4">
        <f t="shared" si="0"/>
        <v>3.3074289129263407E-4</v>
      </c>
      <c r="AP5" s="5">
        <f t="shared" si="0"/>
        <v>2.3237643570193593E-3</v>
      </c>
      <c r="AQ5" s="1">
        <f>AO5*32</f>
        <v>1.058377252136429E-2</v>
      </c>
      <c r="AR5" s="1">
        <f>AP5*28</f>
        <v>6.5065401996542066E-2</v>
      </c>
      <c r="AS5" s="1"/>
      <c r="AT5" s="1">
        <f t="shared" si="1"/>
        <v>0.7982722146359531</v>
      </c>
      <c r="AU5" s="6">
        <f t="shared" si="2"/>
        <v>0.16111175966492913</v>
      </c>
      <c r="AV5" s="1">
        <f t="shared" si="3"/>
        <v>1.040355786543425</v>
      </c>
      <c r="AW5" s="1">
        <f t="shared" si="4"/>
        <v>0.17162852614672991</v>
      </c>
      <c r="AX5" s="6">
        <f t="shared" ref="AX5:AX12" si="15">AU5*T5</f>
        <v>5.6066892363395335E-2</v>
      </c>
      <c r="AY5" s="7">
        <f t="shared" ref="AY5:AY12" si="16">AV5*U5</f>
        <v>9.3632020788908241E-2</v>
      </c>
      <c r="AZ5" s="1">
        <f t="shared" ref="AZ5:AZ12" si="17">AT5*(1-0.215)</f>
        <v>0.62664368848922325</v>
      </c>
      <c r="BA5" s="6">
        <f t="shared" ref="BA5:BA12" si="18">AU5*(1-T5)</f>
        <v>0.1050448673015338</v>
      </c>
      <c r="BB5" s="7">
        <f t="shared" ref="BB5:BB12" si="19">AV5*(1-U5)</f>
        <v>0.94672376575451678</v>
      </c>
      <c r="BC5">
        <f t="shared" si="5"/>
        <v>0.62664368848922325</v>
      </c>
    </row>
    <row r="6" spans="1:57" x14ac:dyDescent="0.3">
      <c r="A6">
        <v>69</v>
      </c>
      <c r="B6">
        <v>11</v>
      </c>
      <c r="C6">
        <f t="shared" si="6"/>
        <v>2573.7532032259087</v>
      </c>
      <c r="D6">
        <v>0</v>
      </c>
      <c r="E6">
        <v>83.5</v>
      </c>
      <c r="F6">
        <f t="shared" si="7"/>
        <v>3699.3921591725548</v>
      </c>
      <c r="G6">
        <v>31.1</v>
      </c>
      <c r="H6">
        <v>68</v>
      </c>
      <c r="I6">
        <v>50</v>
      </c>
      <c r="J6">
        <f>I6*50</f>
        <v>2500</v>
      </c>
      <c r="K6">
        <v>7.7</v>
      </c>
      <c r="L6" t="s">
        <v>18</v>
      </c>
      <c r="P6">
        <f t="shared" si="8"/>
        <v>83.7</v>
      </c>
      <c r="Q6">
        <f t="shared" si="9"/>
        <v>14.7</v>
      </c>
      <c r="R6">
        <f t="shared" si="10"/>
        <v>82.7</v>
      </c>
      <c r="S6">
        <f t="shared" si="11"/>
        <v>0.215</v>
      </c>
      <c r="T6">
        <f>G6/100</f>
        <v>0.311</v>
      </c>
      <c r="U6">
        <f>K6/100</f>
        <v>7.6999999999999999E-2</v>
      </c>
      <c r="V6">
        <f t="shared" si="12"/>
        <v>7.6099999999999994</v>
      </c>
      <c r="X6">
        <f t="shared" si="13"/>
        <v>3.3775587790126483E-4</v>
      </c>
      <c r="Y6">
        <f>X6*T6</f>
        <v>1.0504207802729337E-4</v>
      </c>
      <c r="Z6">
        <f t="shared" si="14"/>
        <v>2.3271379987397148E-4</v>
      </c>
      <c r="AC6">
        <f>R6*J6*(1/28316.8)/(529.83*10.73159)</f>
        <v>1.2841055630330857E-3</v>
      </c>
      <c r="AD6">
        <f>AC6*U6</f>
        <v>9.8876128353547592E-5</v>
      </c>
      <c r="AE6">
        <f>AC6*(1-U6)</f>
        <v>1.1852294346795381E-3</v>
      </c>
      <c r="AH6" s="3">
        <f>P6*C6*(1/28316.8)/(529.83*10.73159)</f>
        <v>1.3379736709728395E-3</v>
      </c>
      <c r="AI6" s="4">
        <f>AH6*S6</f>
        <v>2.8766433925916051E-4</v>
      </c>
      <c r="AJ6" s="5">
        <f>AH6*(1-S6)</f>
        <v>1.050309331713679E-3</v>
      </c>
      <c r="AK6">
        <f>AI6*$AR$1</f>
        <v>9.2052588562931362E-3</v>
      </c>
      <c r="AL6">
        <f>AJ6*$AR$2</f>
        <v>2.9408661287983012E-2</v>
      </c>
      <c r="AN6" s="3">
        <f t="shared" si="0"/>
        <v>1.6218614409343505E-3</v>
      </c>
      <c r="AO6" s="4">
        <f t="shared" si="0"/>
        <v>2.0391820638084095E-4</v>
      </c>
      <c r="AP6" s="5">
        <f t="shared" si="0"/>
        <v>1.4179432345535095E-3</v>
      </c>
      <c r="AQ6" s="1">
        <f>AO6*32</f>
        <v>6.5253826041869103E-3</v>
      </c>
      <c r="AR6" s="1">
        <f>AP6*28</f>
        <v>3.9702410567498264E-2</v>
      </c>
      <c r="AS6" s="1"/>
      <c r="AT6" s="1">
        <f t="shared" si="1"/>
        <v>0.60558581799968847</v>
      </c>
      <c r="AU6" s="6">
        <f t="shared" si="2"/>
        <v>0.15287309013660888</v>
      </c>
      <c r="AV6" s="1">
        <f t="shared" si="3"/>
        <v>0.58120435002425974</v>
      </c>
      <c r="AW6" s="1">
        <f t="shared" si="4"/>
        <v>0.13020095086993302</v>
      </c>
      <c r="AX6" s="6">
        <f t="shared" si="15"/>
        <v>4.7543531032485362E-2</v>
      </c>
      <c r="AY6" s="7">
        <f t="shared" si="16"/>
        <v>4.4752734951867996E-2</v>
      </c>
      <c r="AZ6" s="1">
        <f t="shared" si="17"/>
        <v>0.47538486712975547</v>
      </c>
      <c r="BA6" s="6">
        <f t="shared" si="18"/>
        <v>0.10532955910412353</v>
      </c>
      <c r="BB6" s="7">
        <f t="shared" si="19"/>
        <v>0.53645161507239181</v>
      </c>
      <c r="BC6">
        <f t="shared" si="5"/>
        <v>0.47538486712975547</v>
      </c>
    </row>
    <row r="7" spans="1:57" x14ac:dyDescent="0.3">
      <c r="A7">
        <v>69</v>
      </c>
      <c r="B7">
        <v>9.5</v>
      </c>
      <c r="C7">
        <f t="shared" si="6"/>
        <v>2222.7868573314668</v>
      </c>
      <c r="D7">
        <v>0</v>
      </c>
      <c r="E7">
        <v>80</v>
      </c>
      <c r="F7">
        <f t="shared" si="7"/>
        <v>3544.32781717131</v>
      </c>
      <c r="G7">
        <v>28</v>
      </c>
      <c r="H7">
        <v>68</v>
      </c>
      <c r="I7">
        <v>30</v>
      </c>
      <c r="J7">
        <f>I7*50</f>
        <v>1500</v>
      </c>
      <c r="K7">
        <v>6.1</v>
      </c>
      <c r="L7" t="s">
        <v>18</v>
      </c>
      <c r="P7">
        <f t="shared" si="8"/>
        <v>83.7</v>
      </c>
      <c r="Q7">
        <f t="shared" si="9"/>
        <v>14.7</v>
      </c>
      <c r="R7">
        <f t="shared" si="10"/>
        <v>82.7</v>
      </c>
      <c r="S7">
        <f t="shared" si="11"/>
        <v>0.215</v>
      </c>
      <c r="T7">
        <f>G7/100</f>
        <v>0.28000000000000003</v>
      </c>
      <c r="U7">
        <f>K7/100</f>
        <v>6.0999999999999999E-2</v>
      </c>
      <c r="V7">
        <f t="shared" si="12"/>
        <v>7.4040999999999988</v>
      </c>
      <c r="X7">
        <f t="shared" si="13"/>
        <v>3.2359844589342735E-4</v>
      </c>
      <c r="Y7">
        <f t="shared" ref="Y7:Y12" si="20">X7*T7</f>
        <v>9.0607564850159669E-5</v>
      </c>
      <c r="Z7">
        <f t="shared" si="14"/>
        <v>2.329908810432677E-4</v>
      </c>
      <c r="AC7">
        <f>R7*J7*(1/28316.8)/(529.83*10.73159)</f>
        <v>7.704633378198514E-4</v>
      </c>
      <c r="AD7">
        <f>AC7*U7</f>
        <v>4.6998263607010934E-5</v>
      </c>
      <c r="AE7">
        <f>AC7*(1-U7)</f>
        <v>7.2346507421284048E-4</v>
      </c>
      <c r="AH7" s="3">
        <f>P7*C7*(1/28316.8)/(529.83*10.73159)</f>
        <v>1.1555227158401796E-3</v>
      </c>
      <c r="AI7" s="4">
        <f>AH7*S7</f>
        <v>2.4843738390563862E-4</v>
      </c>
      <c r="AJ7" s="5">
        <f>AH7*(1-S7)</f>
        <v>9.0708533193454102E-4</v>
      </c>
      <c r="AK7">
        <f>AI7*$AR$1</f>
        <v>7.9499962849804359E-3</v>
      </c>
      <c r="AL7">
        <f>AJ7*$AR$2</f>
        <v>2.5398389294167149E-2</v>
      </c>
      <c r="AN7" s="3">
        <f t="shared" si="0"/>
        <v>1.0940617837132786E-3</v>
      </c>
      <c r="AO7" s="4">
        <f t="shared" si="0"/>
        <v>1.376058284571706E-4</v>
      </c>
      <c r="AP7" s="5">
        <f t="shared" si="0"/>
        <v>9.564559552561082E-4</v>
      </c>
      <c r="AQ7" s="1">
        <f>AO7*32</f>
        <v>4.4033865106294593E-3</v>
      </c>
      <c r="AR7" s="1">
        <f>AP7*28</f>
        <v>2.6780766747171031E-2</v>
      </c>
      <c r="AS7" s="1"/>
      <c r="AT7" s="1">
        <f t="shared" si="1"/>
        <v>0.52300593372700377</v>
      </c>
      <c r="AU7" s="6">
        <f t="shared" si="2"/>
        <v>0.14646523605902648</v>
      </c>
      <c r="AV7" s="1">
        <f t="shared" si="3"/>
        <v>0.3487226100145559</v>
      </c>
      <c r="AW7" s="1">
        <f t="shared" si="4"/>
        <v>0.11244627575130581</v>
      </c>
      <c r="AX7" s="6">
        <f t="shared" si="15"/>
        <v>4.1010266096527415E-2</v>
      </c>
      <c r="AY7" s="7">
        <f t="shared" si="16"/>
        <v>2.1272079210887911E-2</v>
      </c>
      <c r="AZ7" s="1">
        <f t="shared" si="17"/>
        <v>0.41055965797569799</v>
      </c>
      <c r="BA7" s="6">
        <f t="shared" si="18"/>
        <v>0.10545496996249906</v>
      </c>
      <c r="BB7" s="7">
        <f t="shared" si="19"/>
        <v>0.32745053080366798</v>
      </c>
      <c r="BC7">
        <f t="shared" si="5"/>
        <v>0.41055965797569799</v>
      </c>
    </row>
    <row r="8" spans="1:57" x14ac:dyDescent="0.3">
      <c r="A8">
        <v>69</v>
      </c>
      <c r="B8">
        <v>12</v>
      </c>
      <c r="C8">
        <f t="shared" si="6"/>
        <v>2807.7307671555368</v>
      </c>
      <c r="D8">
        <v>0</v>
      </c>
      <c r="E8">
        <v>90</v>
      </c>
      <c r="F8">
        <f t="shared" si="7"/>
        <v>3987.3687943177233</v>
      </c>
      <c r="G8">
        <v>37</v>
      </c>
      <c r="H8">
        <v>68</v>
      </c>
      <c r="I8">
        <v>119</v>
      </c>
      <c r="J8">
        <f>I8*50</f>
        <v>5950</v>
      </c>
      <c r="K8">
        <v>9.6</v>
      </c>
      <c r="L8" t="s">
        <v>18</v>
      </c>
      <c r="P8">
        <f t="shared" si="8"/>
        <v>83.7</v>
      </c>
      <c r="Q8">
        <f t="shared" si="9"/>
        <v>14.7</v>
      </c>
      <c r="R8">
        <f t="shared" si="10"/>
        <v>82.7</v>
      </c>
      <c r="S8">
        <f t="shared" si="11"/>
        <v>0.215</v>
      </c>
      <c r="T8">
        <f>G8/100</f>
        <v>0.37</v>
      </c>
      <c r="U8">
        <f>K8/100</f>
        <v>9.6000000000000002E-2</v>
      </c>
      <c r="V8">
        <f t="shared" si="12"/>
        <v>7.5283499999999997</v>
      </c>
      <c r="X8">
        <f t="shared" si="13"/>
        <v>3.6404825163010576E-4</v>
      </c>
      <c r="Y8">
        <f t="shared" si="20"/>
        <v>1.3469785310313913E-4</v>
      </c>
      <c r="Z8">
        <f t="shared" si="14"/>
        <v>2.2935039852696663E-4</v>
      </c>
      <c r="AC8">
        <f>R8*J8*(1/28316.8)/(529.83*10.73159)</f>
        <v>3.0561712400187439E-3</v>
      </c>
      <c r="AD8">
        <f>AC8*U8</f>
        <v>2.933924390417994E-4</v>
      </c>
      <c r="AE8">
        <f>AC8*(1-U8)</f>
        <v>2.7627788009769445E-3</v>
      </c>
      <c r="AH8" s="3">
        <f>P8*C8*(1/28316.8)/(529.83*10.73159)</f>
        <v>1.4596076410612793E-3</v>
      </c>
      <c r="AI8" s="4">
        <f>AH8*S8</f>
        <v>3.1381564282817503E-4</v>
      </c>
      <c r="AJ8" s="5">
        <f>AH8*(1-S8)</f>
        <v>1.1457919982331042E-3</v>
      </c>
      <c r="AK8">
        <f>AI8*$AR$1</f>
        <v>1.0042100570501601E-2</v>
      </c>
      <c r="AL8">
        <f>AJ8*$AR$2</f>
        <v>3.2082175950526919E-2</v>
      </c>
      <c r="AN8" s="3">
        <f t="shared" si="0"/>
        <v>3.4202194916488496E-3</v>
      </c>
      <c r="AO8" s="4">
        <f t="shared" si="0"/>
        <v>4.2809029214493856E-4</v>
      </c>
      <c r="AP8" s="5">
        <f t="shared" si="0"/>
        <v>2.9921291995039113E-3</v>
      </c>
      <c r="AQ8" s="1">
        <f>AO8*32</f>
        <v>1.3698889348638034E-2</v>
      </c>
      <c r="AR8" s="1">
        <f>AP8*28</f>
        <v>8.3779617586109523E-2</v>
      </c>
      <c r="AS8" s="1"/>
      <c r="AT8" s="1">
        <f t="shared" si="1"/>
        <v>0.66063907418147838</v>
      </c>
      <c r="AU8" s="6">
        <f t="shared" si="2"/>
        <v>0.16477339056640478</v>
      </c>
      <c r="AV8" s="1">
        <f t="shared" si="3"/>
        <v>1.3832663530577383</v>
      </c>
      <c r="AW8" s="1">
        <f t="shared" si="4"/>
        <v>0.14203740094901784</v>
      </c>
      <c r="AX8" s="6">
        <f t="shared" si="15"/>
        <v>6.0966154509569763E-2</v>
      </c>
      <c r="AY8" s="7">
        <f t="shared" si="16"/>
        <v>0.13279356989354288</v>
      </c>
      <c r="AZ8" s="1">
        <f t="shared" si="17"/>
        <v>0.51860167323246054</v>
      </c>
      <c r="BA8" s="6">
        <f t="shared" si="18"/>
        <v>0.10380723605683501</v>
      </c>
      <c r="BB8" s="7">
        <f t="shared" si="19"/>
        <v>1.2504727831641955</v>
      </c>
      <c r="BC8">
        <f t="shared" si="5"/>
        <v>0.51860167323246054</v>
      </c>
    </row>
    <row r="9" spans="1:57" x14ac:dyDescent="0.3">
      <c r="A9" t="s">
        <v>12</v>
      </c>
      <c r="AQ9" s="1"/>
      <c r="AR9" s="1"/>
      <c r="AS9" s="1"/>
      <c r="AT9" s="1">
        <f t="shared" si="1"/>
        <v>0</v>
      </c>
      <c r="AU9" s="6">
        <f t="shared" si="2"/>
        <v>0</v>
      </c>
      <c r="AV9" s="1">
        <f t="shared" si="3"/>
        <v>0</v>
      </c>
      <c r="AW9" s="1">
        <f t="shared" si="4"/>
        <v>0</v>
      </c>
      <c r="AX9" s="6">
        <f t="shared" si="15"/>
        <v>0</v>
      </c>
      <c r="AY9" s="7">
        <f t="shared" si="16"/>
        <v>0</v>
      </c>
      <c r="AZ9" s="1">
        <f t="shared" si="17"/>
        <v>0</v>
      </c>
      <c r="BA9" s="6">
        <f t="shared" si="18"/>
        <v>0</v>
      </c>
      <c r="BB9" s="7">
        <f t="shared" si="19"/>
        <v>0</v>
      </c>
      <c r="BC9">
        <f t="shared" si="5"/>
        <v>0</v>
      </c>
    </row>
    <row r="10" spans="1:57" x14ac:dyDescent="0.3">
      <c r="A10">
        <v>82</v>
      </c>
      <c r="B10">
        <v>19</v>
      </c>
      <c r="C10">
        <f t="shared" si="6"/>
        <v>4445.5737146629335</v>
      </c>
      <c r="D10">
        <v>0</v>
      </c>
      <c r="E10">
        <v>106</v>
      </c>
      <c r="F10">
        <f t="shared" si="7"/>
        <v>4696.234357751985</v>
      </c>
      <c r="G10">
        <v>34.299999999999997</v>
      </c>
      <c r="H10">
        <v>82</v>
      </c>
      <c r="I10">
        <v>87</v>
      </c>
      <c r="J10">
        <f>I10*50</f>
        <v>4350</v>
      </c>
      <c r="K10">
        <v>7.4</v>
      </c>
      <c r="L10" t="s">
        <v>14</v>
      </c>
      <c r="P10">
        <f t="shared" si="8"/>
        <v>96.7</v>
      </c>
      <c r="Q10">
        <f t="shared" si="9"/>
        <v>14.7</v>
      </c>
      <c r="R10">
        <f t="shared" si="10"/>
        <v>96.7</v>
      </c>
      <c r="S10">
        <f t="shared" si="11"/>
        <v>0.215</v>
      </c>
      <c r="T10">
        <f>G10/100</f>
        <v>0.34299999999999997</v>
      </c>
      <c r="U10">
        <f>K10/100</f>
        <v>7.400000000000001E-2</v>
      </c>
      <c r="V10">
        <f t="shared" si="12"/>
        <v>8.9310500000000008</v>
      </c>
      <c r="X10">
        <f t="shared" si="13"/>
        <v>4.2876794080879121E-4</v>
      </c>
      <c r="Y10">
        <f t="shared" si="20"/>
        <v>1.4706740369741536E-4</v>
      </c>
      <c r="Z10">
        <f t="shared" si="14"/>
        <v>2.8170053711137585E-4</v>
      </c>
      <c r="AC10">
        <f>R10*J10*(1/28316.8)/(529.83*10.73159)</f>
        <v>2.6125880752699026E-3</v>
      </c>
      <c r="AD10">
        <f>AC10*U10</f>
        <v>1.9333151756997281E-4</v>
      </c>
      <c r="AE10">
        <f>AC10*(1-U10)</f>
        <v>2.4192565576999295E-3</v>
      </c>
      <c r="AH10" s="3">
        <f>P10*C10*(1/28316.8)/(529.83*10.73159)</f>
        <v>2.6699891665888974E-3</v>
      </c>
      <c r="AI10" s="4">
        <f>AH10*S10</f>
        <v>5.7404767081661293E-4</v>
      </c>
      <c r="AJ10" s="5">
        <f>AH10*(1-S10)</f>
        <v>2.0959414957722844E-3</v>
      </c>
      <c r="AN10" s="3">
        <f t="shared" ref="AN10:AP12" si="21">X10+AC10</f>
        <v>3.0413560160786938E-3</v>
      </c>
      <c r="AO10" s="4">
        <f t="shared" si="21"/>
        <v>3.4039892126738817E-4</v>
      </c>
      <c r="AP10" s="5">
        <f t="shared" si="21"/>
        <v>2.7009570948113054E-3</v>
      </c>
      <c r="AQ10" s="1"/>
      <c r="AR10" s="1"/>
      <c r="AS10" s="1"/>
      <c r="AT10" s="1">
        <f t="shared" si="1"/>
        <v>1.2084748815149644</v>
      </c>
      <c r="AU10" s="6">
        <f t="shared" si="2"/>
        <v>0.19406643777821006</v>
      </c>
      <c r="AV10" s="1">
        <f t="shared" si="3"/>
        <v>1.1824943352645936</v>
      </c>
      <c r="AW10" s="1">
        <f t="shared" si="4"/>
        <v>0.25982209952571733</v>
      </c>
      <c r="AX10" s="6">
        <f>AU10*T10</f>
        <v>6.6564788157926047E-2</v>
      </c>
      <c r="AY10" s="7">
        <f t="shared" si="16"/>
        <v>8.7504580809579943E-2</v>
      </c>
      <c r="AZ10" s="1">
        <f t="shared" si="17"/>
        <v>0.94865278198924707</v>
      </c>
      <c r="BA10" s="6">
        <f t="shared" si="18"/>
        <v>0.12750164962028401</v>
      </c>
      <c r="BB10" s="7">
        <f t="shared" si="19"/>
        <v>1.0949897544550136</v>
      </c>
      <c r="BC10">
        <f t="shared" si="5"/>
        <v>0.94865278198924707</v>
      </c>
      <c r="BE10" s="1">
        <f>AW4*(1-T4)</f>
        <v>9.5165058635841945E-2</v>
      </c>
    </row>
    <row r="11" spans="1:57" x14ac:dyDescent="0.3">
      <c r="A11">
        <v>54</v>
      </c>
      <c r="B11">
        <v>11.5</v>
      </c>
      <c r="C11">
        <f t="shared" si="6"/>
        <v>2690.741985190723</v>
      </c>
      <c r="D11">
        <v>0</v>
      </c>
      <c r="E11">
        <v>67</v>
      </c>
      <c r="F11">
        <f>E11*$P$44</f>
        <v>2968.374546880972</v>
      </c>
      <c r="G11">
        <v>32.9</v>
      </c>
      <c r="H11">
        <v>54</v>
      </c>
      <c r="I11">
        <v>55.5</v>
      </c>
      <c r="J11">
        <f>I11*50</f>
        <v>2775</v>
      </c>
      <c r="K11">
        <v>8.9</v>
      </c>
      <c r="L11" t="s">
        <v>16</v>
      </c>
      <c r="P11">
        <f t="shared" si="8"/>
        <v>68.7</v>
      </c>
      <c r="Q11">
        <f t="shared" si="9"/>
        <v>14.7</v>
      </c>
      <c r="R11">
        <f t="shared" si="10"/>
        <v>68.7</v>
      </c>
      <c r="S11">
        <f t="shared" si="11"/>
        <v>0.215</v>
      </c>
      <c r="T11">
        <f>G11/100</f>
        <v>0.32899999999999996</v>
      </c>
      <c r="U11">
        <f>K11/100</f>
        <v>8.900000000000001E-2</v>
      </c>
      <c r="V11">
        <f t="shared" si="12"/>
        <v>5.6061000000000014</v>
      </c>
      <c r="X11">
        <f t="shared" si="13"/>
        <v>2.7101369843574545E-4</v>
      </c>
      <c r="Y11">
        <f t="shared" si="20"/>
        <v>8.9163506785360245E-5</v>
      </c>
      <c r="Z11">
        <f t="shared" si="14"/>
        <v>1.8185019165038521E-4</v>
      </c>
      <c r="AC11">
        <f>R11*J11*(1/28316.8)/(529.83*10.73159)</f>
        <v>1.1840633363992021E-3</v>
      </c>
      <c r="AD11">
        <f>AC11*U11</f>
        <v>1.0538163693952899E-4</v>
      </c>
      <c r="AE11">
        <f>AC11*(1-U11)</f>
        <v>1.0786816994596731E-3</v>
      </c>
      <c r="AH11" s="3">
        <f>P11*C11*(1/28316.8)/(529.83*10.73159)</f>
        <v>1.1481113269817443E-3</v>
      </c>
      <c r="AI11" s="4">
        <f>AH11*S11</f>
        <v>2.4684393530107499E-4</v>
      </c>
      <c r="AJ11" s="5">
        <f>AH11*(1-S11)</f>
        <v>9.0126739168066932E-4</v>
      </c>
      <c r="AN11" s="3">
        <f t="shared" si="21"/>
        <v>1.4550770348349476E-3</v>
      </c>
      <c r="AO11" s="4">
        <f t="shared" si="21"/>
        <v>1.9454514372488924E-4</v>
      </c>
      <c r="AP11" s="5">
        <f t="shared" si="21"/>
        <v>1.2605318911100582E-3</v>
      </c>
      <c r="AT11" s="1">
        <f t="shared" si="1"/>
        <v>0.51965143424639293</v>
      </c>
      <c r="AU11" s="6">
        <f t="shared" si="2"/>
        <v>0.12266463519943469</v>
      </c>
      <c r="AV11" s="1">
        <f t="shared" si="3"/>
        <v>0.53592382248851234</v>
      </c>
      <c r="AW11" s="1">
        <f t="shared" si="4"/>
        <v>0.11172505836297447</v>
      </c>
      <c r="AX11" s="6">
        <f t="shared" si="15"/>
        <v>4.0356664980614007E-2</v>
      </c>
      <c r="AY11" s="7">
        <f t="shared" si="16"/>
        <v>4.7697220201477604E-2</v>
      </c>
      <c r="AZ11" s="1">
        <f t="shared" si="17"/>
        <v>0.40792637588341846</v>
      </c>
      <c r="BA11" s="6">
        <f t="shared" si="18"/>
        <v>8.2307970218820678E-2</v>
      </c>
      <c r="BB11" s="7">
        <f t="shared" si="19"/>
        <v>0.48822660228703474</v>
      </c>
      <c r="BC11">
        <f t="shared" si="5"/>
        <v>0.40792637588341846</v>
      </c>
      <c r="BE11" s="1">
        <f>AW5*(1-T5)</f>
        <v>0.11190179904766791</v>
      </c>
    </row>
    <row r="12" spans="1:57" x14ac:dyDescent="0.3">
      <c r="A12">
        <v>40</v>
      </c>
      <c r="B12">
        <v>10</v>
      </c>
      <c r="C12">
        <f t="shared" si="6"/>
        <v>2339.7756392962806</v>
      </c>
      <c r="D12">
        <v>0</v>
      </c>
      <c r="E12">
        <v>49.5</v>
      </c>
      <c r="F12">
        <f t="shared" si="7"/>
        <v>2193.0528368747478</v>
      </c>
      <c r="G12">
        <v>32.200000000000003</v>
      </c>
      <c r="H12">
        <v>40</v>
      </c>
      <c r="I12">
        <v>42</v>
      </c>
      <c r="J12">
        <f>I12*50</f>
        <v>2100</v>
      </c>
      <c r="K12">
        <v>10</v>
      </c>
      <c r="L12" t="s">
        <v>15</v>
      </c>
      <c r="P12">
        <f t="shared" si="8"/>
        <v>54.7</v>
      </c>
      <c r="Q12">
        <f t="shared" si="9"/>
        <v>14.7</v>
      </c>
      <c r="R12">
        <f t="shared" si="10"/>
        <v>54.7</v>
      </c>
      <c r="S12">
        <f t="shared" si="11"/>
        <v>0.215</v>
      </c>
      <c r="T12">
        <f>G12/100</f>
        <v>0.32200000000000001</v>
      </c>
      <c r="U12">
        <f>K12/100</f>
        <v>0.1</v>
      </c>
      <c r="V12">
        <f t="shared" si="12"/>
        <v>3.88185</v>
      </c>
      <c r="X12">
        <f t="shared" si="13"/>
        <v>2.0022653839655815E-4</v>
      </c>
      <c r="Y12">
        <f t="shared" si="20"/>
        <v>6.4472945363691723E-5</v>
      </c>
      <c r="Z12">
        <f t="shared" si="14"/>
        <v>1.357535930328664E-4</v>
      </c>
      <c r="AC12">
        <f>R12*J12*(1/28316.8)/(529.83*10.73159)</f>
        <v>7.1344718754829772E-4</v>
      </c>
      <c r="AD12">
        <f>AC12*U12</f>
        <v>7.1344718754829769E-5</v>
      </c>
      <c r="AE12">
        <f>AC12*(1-U12)</f>
        <v>6.4210246879346799E-4</v>
      </c>
      <c r="AH12" s="3">
        <f>P12*C12*(1/28316.8)/(529.83*10.73159)</f>
        <v>7.9490778540473894E-4</v>
      </c>
      <c r="AI12" s="4">
        <f>AH12*S12</f>
        <v>1.7090517386201886E-4</v>
      </c>
      <c r="AJ12" s="5">
        <f>AH12*(1-S12)</f>
        <v>6.2400261154272013E-4</v>
      </c>
      <c r="AN12" s="3">
        <f t="shared" si="21"/>
        <v>9.1367372594485592E-4</v>
      </c>
      <c r="AO12" s="4">
        <f t="shared" si="21"/>
        <v>1.3581766411852151E-4</v>
      </c>
      <c r="AP12" s="5">
        <f t="shared" si="21"/>
        <v>7.7785606182633436E-4</v>
      </c>
      <c r="AT12" s="1">
        <f t="shared" si="1"/>
        <v>0.3597865129204188</v>
      </c>
      <c r="AU12" s="6">
        <f t="shared" si="2"/>
        <v>9.0625364811522627E-2</v>
      </c>
      <c r="AV12" s="1">
        <f t="shared" si="3"/>
        <v>0.32291629352980267</v>
      </c>
      <c r="AW12" s="1">
        <f t="shared" si="4"/>
        <v>7.7354100277890039E-2</v>
      </c>
      <c r="AX12" s="6">
        <f t="shared" si="15"/>
        <v>2.9181367469310288E-2</v>
      </c>
      <c r="AY12" s="7">
        <f t="shared" si="16"/>
        <v>3.2291629352980265E-2</v>
      </c>
      <c r="AZ12" s="1">
        <f t="shared" si="17"/>
        <v>0.28243241264252877</v>
      </c>
      <c r="BA12" s="6">
        <f t="shared" si="18"/>
        <v>6.1443997342212335E-2</v>
      </c>
      <c r="BB12" s="7">
        <f t="shared" si="19"/>
        <v>0.29062466417682242</v>
      </c>
      <c r="BC12">
        <f t="shared" si="5"/>
        <v>0.28243241264252877</v>
      </c>
      <c r="BE12" s="1">
        <f>AW6*(1-T6)</f>
        <v>8.9708455149383859E-2</v>
      </c>
    </row>
    <row r="13" spans="1:57" x14ac:dyDescent="0.3">
      <c r="BE13" s="1">
        <f>AW7*(1-T7)</f>
        <v>8.0961318540940172E-2</v>
      </c>
    </row>
    <row r="14" spans="1:57" x14ac:dyDescent="0.3">
      <c r="P14" t="s">
        <v>41</v>
      </c>
      <c r="U14" t="s">
        <v>45</v>
      </c>
      <c r="Z14" t="s">
        <v>46</v>
      </c>
      <c r="AE14" t="s">
        <v>88</v>
      </c>
      <c r="AF14" t="s">
        <v>89</v>
      </c>
      <c r="AG14" t="s">
        <v>90</v>
      </c>
      <c r="AH14" t="s">
        <v>91</v>
      </c>
      <c r="AI14" t="s">
        <v>92</v>
      </c>
      <c r="BE14" s="1">
        <f>AW8*(1-T8)</f>
        <v>8.9483562597881247E-2</v>
      </c>
    </row>
    <row r="15" spans="1:57" x14ac:dyDescent="0.3">
      <c r="A15" t="s">
        <v>4</v>
      </c>
      <c r="B15" t="s">
        <v>6</v>
      </c>
      <c r="C15" t="s">
        <v>5</v>
      </c>
      <c r="D15" t="s">
        <v>7</v>
      </c>
      <c r="E15" t="s">
        <v>9</v>
      </c>
      <c r="F15" t="s">
        <v>11</v>
      </c>
      <c r="G15" t="s">
        <v>1</v>
      </c>
      <c r="H15" t="s">
        <v>8</v>
      </c>
      <c r="I15" t="s">
        <v>3</v>
      </c>
      <c r="J15" t="s">
        <v>10</v>
      </c>
      <c r="K15" t="s">
        <v>2</v>
      </c>
      <c r="P15" t="s">
        <v>40</v>
      </c>
      <c r="Q15" t="s">
        <v>42</v>
      </c>
      <c r="R15" t="s">
        <v>43</v>
      </c>
      <c r="S15" t="s">
        <v>44</v>
      </c>
      <c r="U15" t="s">
        <v>40</v>
      </c>
      <c r="V15" t="s">
        <v>42</v>
      </c>
      <c r="W15" t="s">
        <v>43</v>
      </c>
      <c r="X15" t="s">
        <v>44</v>
      </c>
      <c r="Z15" t="s">
        <v>40</v>
      </c>
      <c r="AA15" t="s">
        <v>42</v>
      </c>
      <c r="AB15" t="s">
        <v>43</v>
      </c>
      <c r="AC15" t="s">
        <v>44</v>
      </c>
      <c r="AE15">
        <f>Q4*T4</f>
        <v>4.851</v>
      </c>
      <c r="AF15">
        <f>Q4*(1-T4)</f>
        <v>9.8489999999999984</v>
      </c>
      <c r="AG15">
        <f>R4*U4</f>
        <v>7.0295000000000005</v>
      </c>
      <c r="AH15">
        <f>R4*(1-U4)</f>
        <v>75.670500000000004</v>
      </c>
      <c r="AI15">
        <f>(AF15-$AH$19)/-($AG$19-AE15)</f>
        <v>4.2493438320209984</v>
      </c>
      <c r="AT15" t="s">
        <v>70</v>
      </c>
      <c r="AU15" t="s">
        <v>71</v>
      </c>
      <c r="AX15" t="s">
        <v>71</v>
      </c>
      <c r="BA15" t="s">
        <v>71</v>
      </c>
    </row>
    <row r="16" spans="1:57" x14ac:dyDescent="0.3">
      <c r="A16" t="s">
        <v>13</v>
      </c>
      <c r="U16" s="7"/>
      <c r="AE16">
        <f>Q5*T5</f>
        <v>5.1155999999999997</v>
      </c>
      <c r="AF16">
        <f>Q5*(1-T5)</f>
        <v>9.5844000000000005</v>
      </c>
      <c r="AI16">
        <f>(AF16-$AH$19)/-($AG$19-AE16)</f>
        <v>4.3571844501898314</v>
      </c>
      <c r="AT16">
        <f>AT4-AU4-AV4</f>
        <v>-0.26216998116326018</v>
      </c>
      <c r="AU16">
        <f>AT16/AT4*100</f>
        <v>-39.684298342190061</v>
      </c>
      <c r="AW16">
        <f>AW4-AX4-AY4</f>
        <v>2.5471899483099733E-2</v>
      </c>
      <c r="AX16">
        <f>AW16/AW4*100</f>
        <v>17.933234002389611</v>
      </c>
      <c r="AZ16">
        <f>AZ4-BA4-BB4</f>
        <v>-0.28764188064635998</v>
      </c>
      <c r="BA16">
        <f>AZ16/AZ4*100</f>
        <v>-55.464896372871131</v>
      </c>
    </row>
    <row r="17" spans="1:53" x14ac:dyDescent="0.3">
      <c r="A17">
        <v>69</v>
      </c>
      <c r="B17">
        <v>12</v>
      </c>
      <c r="C17">
        <f>B17*$U$58</f>
        <v>2807.7307671555368</v>
      </c>
      <c r="D17">
        <v>0</v>
      </c>
      <c r="E17">
        <v>85</v>
      </c>
      <c r="F17">
        <f>E17*$P$44</f>
        <v>3765.8483057445164</v>
      </c>
      <c r="G17">
        <v>33</v>
      </c>
      <c r="H17">
        <v>68</v>
      </c>
      <c r="I17">
        <v>66</v>
      </c>
      <c r="J17">
        <f>I17*50</f>
        <v>3300</v>
      </c>
      <c r="K17">
        <v>8.5</v>
      </c>
      <c r="L17" t="s">
        <v>18</v>
      </c>
      <c r="O17" s="7">
        <f>((P4/14.7)^(1/2))*C17</f>
        <v>6699.7642739099983</v>
      </c>
      <c r="P17">
        <f>O17/22.4*(1/1000)*(1000)*1/60</f>
        <v>4.9849436561830345</v>
      </c>
      <c r="Q17">
        <f>F17/22.4*(1/1000)*(1000)*1/60</f>
        <v>2.8019704655837177</v>
      </c>
      <c r="R17">
        <f>J17/22.4*(1/1000)*(1000)*1/60</f>
        <v>2.4553571428571432</v>
      </c>
      <c r="S17">
        <f>Q17+R17</f>
        <v>5.2573276084408604</v>
      </c>
      <c r="U17" s="7">
        <f>P17*$D$1/100</f>
        <v>1.0717628860793524</v>
      </c>
      <c r="V17">
        <f>Q17*G17/100</f>
        <v>0.92465025364262687</v>
      </c>
      <c r="W17">
        <f>R17*K4/100</f>
        <v>0.20870535714285718</v>
      </c>
      <c r="X17" s="6">
        <f>V17+W17</f>
        <v>1.1333556107854841</v>
      </c>
      <c r="Z17" s="7">
        <f>$G$1*P17/100</f>
        <v>3.9131807701036818</v>
      </c>
      <c r="AA17">
        <f>(100-G17)/100*Q17</f>
        <v>1.877320211941091</v>
      </c>
      <c r="AB17">
        <f>(100-K17)*R17/100</f>
        <v>2.246651785714286</v>
      </c>
      <c r="AC17" s="6">
        <f>AA17+AB17</f>
        <v>4.123971997655377</v>
      </c>
      <c r="AE17">
        <f>Q6*T6</f>
        <v>4.5716999999999999</v>
      </c>
      <c r="AF17">
        <f>Q6*(1-T6)</f>
        <v>10.128300000000001</v>
      </c>
      <c r="AI17">
        <f>(AF17-$AH$19)/-($AG$19-AE17)</f>
        <v>4.1401242569168195</v>
      </c>
      <c r="AT17">
        <f t="shared" ref="AT17:AT23" si="22">AT5-AU5-AV5</f>
        <v>-0.40319533157240106</v>
      </c>
      <c r="AU17">
        <f t="shared" ref="AU17:AU24" si="23">AT17/AT5*100</f>
        <v>-50.508501258092231</v>
      </c>
      <c r="AW17">
        <f>AW5-AX5-AY5</f>
        <v>2.1929612994426334E-2</v>
      </c>
      <c r="AX17">
        <f t="shared" ref="AX17:AX24" si="24">AW17/AW5*100</f>
        <v>12.777370689344561</v>
      </c>
      <c r="AZ17">
        <f t="shared" ref="AZ17:AZ23" si="25">AZ5-BA5-BB5</f>
        <v>-0.42512494456682737</v>
      </c>
      <c r="BA17">
        <f t="shared" ref="BA17:BA24" si="26">AZ17/AZ5*100</f>
        <v>-67.841574466625858</v>
      </c>
    </row>
    <row r="18" spans="1:53" x14ac:dyDescent="0.3">
      <c r="A18">
        <v>69</v>
      </c>
      <c r="B18">
        <v>14.5</v>
      </c>
      <c r="C18">
        <f t="shared" ref="C18:C24" si="27">B18*$U$58</f>
        <v>3392.6746769796073</v>
      </c>
      <c r="D18">
        <v>0</v>
      </c>
      <c r="E18">
        <v>88</v>
      </c>
      <c r="F18">
        <f>E18*$P$44</f>
        <v>3898.7605988884407</v>
      </c>
      <c r="G18">
        <v>34.799999999999997</v>
      </c>
      <c r="H18">
        <v>68</v>
      </c>
      <c r="I18">
        <v>89.5</v>
      </c>
      <c r="J18">
        <f>I18*50</f>
        <v>4475</v>
      </c>
      <c r="K18">
        <v>9</v>
      </c>
      <c r="L18" t="s">
        <v>18</v>
      </c>
      <c r="O18" s="7">
        <f t="shared" ref="O18:O25" si="28">((P5/14.7)^(1/2))*C18</f>
        <v>8095.548497641249</v>
      </c>
      <c r="P18">
        <f>O18/22.4*(1/1000)*(1000)*1/60</f>
        <v>6.0234735845545009</v>
      </c>
      <c r="Q18">
        <f>F18/22.4*(1/1000)*(1000)*1/60</f>
        <v>2.9008635408396137</v>
      </c>
      <c r="R18">
        <f>J18/22.4*(1/1000)*(1000)*1/60</f>
        <v>3.3296130952380953</v>
      </c>
      <c r="S18">
        <f t="shared" ref="S18:S25" si="29">Q18+R18</f>
        <v>6.2304766360777091</v>
      </c>
      <c r="U18" s="7">
        <f t="shared" ref="U18:U25" si="30">P18*$D$1/100</f>
        <v>1.2950468206792178</v>
      </c>
      <c r="V18">
        <f t="shared" ref="V18:V25" si="31">Q18*G18/100</f>
        <v>1.0095005122121854</v>
      </c>
      <c r="W18">
        <f t="shared" ref="W18:W25" si="32">R18*K5/100</f>
        <v>0.2996651785714286</v>
      </c>
      <c r="X18" s="6">
        <f t="shared" ref="X18:X25" si="33">V18+W18</f>
        <v>1.309165690783614</v>
      </c>
      <c r="Z18" s="7">
        <f t="shared" ref="Z18:Z25" si="34">$G$1*P18/100</f>
        <v>4.7284267638752837</v>
      </c>
      <c r="AA18">
        <f t="shared" ref="AA18:AA25" si="35">(100-G18)/100*Q18</f>
        <v>1.8913630286274281</v>
      </c>
      <c r="AB18">
        <f t="shared" ref="AB18:AB25" si="36">(100-K18)*R18/100</f>
        <v>3.029947916666667</v>
      </c>
      <c r="AC18" s="6">
        <f t="shared" ref="AC18:AC25" si="37">AA18+AB18</f>
        <v>4.9213109452940955</v>
      </c>
      <c r="AE18">
        <f>Q7*T7</f>
        <v>4.1160000000000005</v>
      </c>
      <c r="AF18">
        <f>Q7*(1-T7)</f>
        <v>10.584</v>
      </c>
      <c r="AG18" t="s">
        <v>93</v>
      </c>
      <c r="AH18" t="s">
        <v>94</v>
      </c>
      <c r="AI18">
        <f>(AF18-$AH$19)/-($AG$19-AE18)</f>
        <v>3.9713606397925001</v>
      </c>
      <c r="AT18">
        <f t="shared" si="22"/>
        <v>-0.12849162216118015</v>
      </c>
      <c r="AU18">
        <f t="shared" si="23"/>
        <v>-21.217739640205092</v>
      </c>
      <c r="AW18">
        <f t="shared" ref="AW18:AW23" si="38">AW6-AX6-AY6</f>
        <v>3.7904684885579666E-2</v>
      </c>
      <c r="AX18">
        <f t="shared" si="24"/>
        <v>29.112448589907263</v>
      </c>
      <c r="AZ18">
        <f t="shared" si="25"/>
        <v>-0.16639630704675989</v>
      </c>
      <c r="BA18">
        <f t="shared" si="26"/>
        <v>-35.00244087520403</v>
      </c>
    </row>
    <row r="19" spans="1:53" x14ac:dyDescent="0.3">
      <c r="A19">
        <v>69</v>
      </c>
      <c r="B19">
        <v>11</v>
      </c>
      <c r="C19">
        <f t="shared" si="27"/>
        <v>2573.7532032259087</v>
      </c>
      <c r="D19">
        <v>0</v>
      </c>
      <c r="E19">
        <v>83.5</v>
      </c>
      <c r="F19">
        <f t="shared" ref="F18:F25" si="39">E19*$P$44</f>
        <v>3699.3921591725548</v>
      </c>
      <c r="G19">
        <v>31.1</v>
      </c>
      <c r="H19">
        <v>68</v>
      </c>
      <c r="I19">
        <v>50</v>
      </c>
      <c r="J19">
        <f>I19*50</f>
        <v>2500</v>
      </c>
      <c r="K19">
        <v>7.7</v>
      </c>
      <c r="L19" t="s">
        <v>18</v>
      </c>
      <c r="O19" s="7">
        <f t="shared" si="28"/>
        <v>6141.4505844174982</v>
      </c>
      <c r="P19">
        <f t="shared" ref="P18:P25" si="40">O19/22.4*(1/1000)*(1000)*1/60</f>
        <v>4.5695316848344483</v>
      </c>
      <c r="Q19">
        <f t="shared" ref="Q18:Q25" si="41">F19/22.4*(1/1000)*(1000)*1/60</f>
        <v>2.7525239279557701</v>
      </c>
      <c r="R19">
        <f t="shared" ref="R18:R25" si="42">J19/22.4*(1/1000)*(1000)*1/60</f>
        <v>1.8601190476190477</v>
      </c>
      <c r="S19">
        <f t="shared" si="29"/>
        <v>4.6126429755748175</v>
      </c>
      <c r="U19" s="7">
        <f t="shared" si="30"/>
        <v>0.98244931223940635</v>
      </c>
      <c r="V19">
        <f t="shared" si="31"/>
        <v>0.85603494159424454</v>
      </c>
      <c r="W19">
        <f t="shared" si="32"/>
        <v>0.14322916666666669</v>
      </c>
      <c r="X19" s="6">
        <f t="shared" si="33"/>
        <v>0.99926410826091128</v>
      </c>
      <c r="Z19" s="7">
        <f t="shared" si="34"/>
        <v>3.587082372595042</v>
      </c>
      <c r="AA19">
        <f t="shared" si="35"/>
        <v>1.8964889863615257</v>
      </c>
      <c r="AB19">
        <f t="shared" si="36"/>
        <v>1.7168898809523809</v>
      </c>
      <c r="AC19" s="6">
        <f t="shared" si="37"/>
        <v>3.6133788673139069</v>
      </c>
      <c r="AE19">
        <f>Q8*T8</f>
        <v>5.4390000000000001</v>
      </c>
      <c r="AF19">
        <f>Q8*(1-T8)</f>
        <v>9.2609999999999992</v>
      </c>
      <c r="AG19">
        <f>0.215*P5</f>
        <v>17.9955</v>
      </c>
      <c r="AH19">
        <f>(1-0.215)*P5</f>
        <v>65.70450000000001</v>
      </c>
      <c r="AI19">
        <f>(AF19-$AH$19)/-($AG$19-AE19)</f>
        <v>4.4951618683550363</v>
      </c>
      <c r="AT19">
        <f t="shared" si="22"/>
        <v>2.7818087653421364E-2</v>
      </c>
      <c r="AU19">
        <f t="shared" si="23"/>
        <v>5.31888566831093</v>
      </c>
      <c r="AW19">
        <f t="shared" si="38"/>
        <v>5.0163930443890482E-2</v>
      </c>
      <c r="AX19">
        <f t="shared" si="24"/>
        <v>44.611464549378766</v>
      </c>
      <c r="AZ19">
        <f t="shared" si="25"/>
        <v>-2.2345842790469084E-2</v>
      </c>
      <c r="BA19">
        <f t="shared" si="26"/>
        <v>-5.4427760634464937</v>
      </c>
    </row>
    <row r="20" spans="1:53" x14ac:dyDescent="0.3">
      <c r="A20">
        <v>69</v>
      </c>
      <c r="B20">
        <v>9.5</v>
      </c>
      <c r="C20">
        <f t="shared" si="27"/>
        <v>2222.7868573314668</v>
      </c>
      <c r="D20">
        <v>0</v>
      </c>
      <c r="E20">
        <v>80</v>
      </c>
      <c r="F20">
        <f t="shared" si="39"/>
        <v>3544.32781717131</v>
      </c>
      <c r="G20">
        <v>28</v>
      </c>
      <c r="H20">
        <v>68</v>
      </c>
      <c r="I20">
        <v>30</v>
      </c>
      <c r="J20">
        <f>I20*50</f>
        <v>1500</v>
      </c>
      <c r="K20">
        <v>6.1</v>
      </c>
      <c r="L20" t="s">
        <v>18</v>
      </c>
      <c r="O20" s="7">
        <f t="shared" si="28"/>
        <v>5303.9800501787495</v>
      </c>
      <c r="P20">
        <f t="shared" si="40"/>
        <v>3.9464137278115703</v>
      </c>
      <c r="Q20">
        <f t="shared" si="41"/>
        <v>2.6371486734905583</v>
      </c>
      <c r="R20">
        <f t="shared" si="42"/>
        <v>1.1160714285714286</v>
      </c>
      <c r="S20">
        <f t="shared" si="29"/>
        <v>3.7532201020619871</v>
      </c>
      <c r="U20" s="7">
        <f t="shared" si="30"/>
        <v>0.8484789514794876</v>
      </c>
      <c r="V20">
        <f t="shared" si="31"/>
        <v>0.73840162857735636</v>
      </c>
      <c r="W20">
        <f t="shared" si="32"/>
        <v>6.8080357142857151E-2</v>
      </c>
      <c r="X20" s="6">
        <f t="shared" si="33"/>
        <v>0.80648198572021346</v>
      </c>
      <c r="Z20" s="7">
        <f t="shared" si="34"/>
        <v>3.097934776332083</v>
      </c>
      <c r="AA20">
        <f t="shared" si="35"/>
        <v>1.8987470449132018</v>
      </c>
      <c r="AB20">
        <f t="shared" si="36"/>
        <v>1.0479910714285716</v>
      </c>
      <c r="AC20" s="6">
        <f t="shared" si="37"/>
        <v>2.9467381163417734</v>
      </c>
      <c r="AI20">
        <f t="shared" ref="AI20:AI22" si="43">(AF20-AH24)/-($AG$19-$AE$15)</f>
        <v>0</v>
      </c>
      <c r="AT20">
        <f t="shared" si="22"/>
        <v>-0.8874006694426646</v>
      </c>
      <c r="AU20">
        <f t="shared" si="23"/>
        <v>-134.32458117045837</v>
      </c>
      <c r="AW20">
        <f t="shared" si="38"/>
        <v>-5.1722323454094804E-2</v>
      </c>
      <c r="AX20">
        <f t="shared" si="24"/>
        <v>-36.414580320756322</v>
      </c>
      <c r="AZ20">
        <f>AZ8-BA8-BB8</f>
        <v>-0.83567834598856994</v>
      </c>
      <c r="BA20">
        <f>AZ20/AZ8*100</f>
        <v>-161.14069605286085</v>
      </c>
    </row>
    <row r="21" spans="1:53" x14ac:dyDescent="0.3">
      <c r="A21">
        <v>69</v>
      </c>
      <c r="B21">
        <v>12</v>
      </c>
      <c r="C21">
        <f t="shared" si="27"/>
        <v>2807.7307671555368</v>
      </c>
      <c r="D21">
        <v>0</v>
      </c>
      <c r="E21">
        <v>90</v>
      </c>
      <c r="F21">
        <f t="shared" si="39"/>
        <v>3987.3687943177233</v>
      </c>
      <c r="G21">
        <v>37</v>
      </c>
      <c r="H21">
        <v>68</v>
      </c>
      <c r="I21">
        <v>119</v>
      </c>
      <c r="J21">
        <f>I21*50</f>
        <v>5950</v>
      </c>
      <c r="K21">
        <v>9.6</v>
      </c>
      <c r="L21" t="s">
        <v>18</v>
      </c>
      <c r="O21" s="7">
        <f t="shared" si="28"/>
        <v>6699.7642739099983</v>
      </c>
      <c r="P21">
        <f t="shared" si="40"/>
        <v>4.9849436561830345</v>
      </c>
      <c r="Q21">
        <f t="shared" si="41"/>
        <v>2.9667922576768779</v>
      </c>
      <c r="R21">
        <f t="shared" si="42"/>
        <v>4.427083333333333</v>
      </c>
      <c r="S21">
        <f t="shared" si="29"/>
        <v>7.393875591010211</v>
      </c>
      <c r="U21" s="7">
        <f t="shared" si="30"/>
        <v>1.0717628860793524</v>
      </c>
      <c r="V21">
        <f t="shared" si="31"/>
        <v>1.0977131353404448</v>
      </c>
      <c r="W21">
        <f t="shared" si="32"/>
        <v>0.42499999999999993</v>
      </c>
      <c r="X21" s="6">
        <f t="shared" si="33"/>
        <v>1.5227131353404446</v>
      </c>
      <c r="Z21" s="7">
        <f t="shared" si="34"/>
        <v>3.9131807701036818</v>
      </c>
      <c r="AA21">
        <f t="shared" si="35"/>
        <v>1.8690791223364331</v>
      </c>
      <c r="AB21">
        <f t="shared" si="36"/>
        <v>4.0020833333333332</v>
      </c>
      <c r="AC21" s="6">
        <f t="shared" si="37"/>
        <v>5.8711624556697668</v>
      </c>
      <c r="AI21">
        <f t="shared" si="43"/>
        <v>0</v>
      </c>
      <c r="AT21">
        <f t="shared" si="22"/>
        <v>0</v>
      </c>
      <c r="AW21">
        <f t="shared" si="38"/>
        <v>0</v>
      </c>
      <c r="AZ21">
        <f t="shared" si="25"/>
        <v>0</v>
      </c>
    </row>
    <row r="22" spans="1:53" x14ac:dyDescent="0.3">
      <c r="A22" t="s">
        <v>12</v>
      </c>
      <c r="C22">
        <f t="shared" si="27"/>
        <v>0</v>
      </c>
      <c r="F22">
        <f t="shared" si="39"/>
        <v>0</v>
      </c>
      <c r="O22" s="7">
        <f t="shared" si="28"/>
        <v>0</v>
      </c>
      <c r="P22">
        <f t="shared" si="40"/>
        <v>0</v>
      </c>
      <c r="Q22">
        <f t="shared" si="41"/>
        <v>0</v>
      </c>
      <c r="R22">
        <f t="shared" si="42"/>
        <v>0</v>
      </c>
      <c r="S22">
        <f t="shared" si="29"/>
        <v>0</v>
      </c>
      <c r="U22" s="7">
        <f t="shared" si="30"/>
        <v>0</v>
      </c>
      <c r="V22">
        <f t="shared" si="31"/>
        <v>0</v>
      </c>
      <c r="W22">
        <f t="shared" si="32"/>
        <v>0</v>
      </c>
      <c r="X22" s="6">
        <f t="shared" si="33"/>
        <v>0</v>
      </c>
      <c r="Z22" s="7">
        <f t="shared" si="34"/>
        <v>0</v>
      </c>
      <c r="AA22">
        <f t="shared" si="35"/>
        <v>0</v>
      </c>
      <c r="AB22">
        <f t="shared" si="36"/>
        <v>0</v>
      </c>
      <c r="AC22" s="6">
        <f t="shared" si="37"/>
        <v>0</v>
      </c>
      <c r="AI22">
        <f t="shared" si="43"/>
        <v>0</v>
      </c>
      <c r="AT22">
        <f t="shared" si="22"/>
        <v>-0.16808589152783915</v>
      </c>
      <c r="AU22">
        <f t="shared" si="23"/>
        <v>-13.908927202286888</v>
      </c>
      <c r="AW22">
        <f t="shared" si="38"/>
        <v>0.10575273055821134</v>
      </c>
      <c r="AX22">
        <f t="shared" si="24"/>
        <v>40.701976756886253</v>
      </c>
      <c r="AZ22">
        <f t="shared" si="25"/>
        <v>-0.27383862208605048</v>
      </c>
      <c r="BA22">
        <f t="shared" si="26"/>
        <v>-28.866053764353417</v>
      </c>
    </row>
    <row r="23" spans="1:53" x14ac:dyDescent="0.3">
      <c r="A23">
        <v>82</v>
      </c>
      <c r="B23">
        <v>19</v>
      </c>
      <c r="C23">
        <f t="shared" si="27"/>
        <v>4445.5737146629335</v>
      </c>
      <c r="D23">
        <v>0</v>
      </c>
      <c r="E23">
        <v>106</v>
      </c>
      <c r="F23">
        <f t="shared" si="39"/>
        <v>4696.234357751985</v>
      </c>
      <c r="G23">
        <v>34.299999999999997</v>
      </c>
      <c r="H23">
        <v>82</v>
      </c>
      <c r="I23">
        <v>87</v>
      </c>
      <c r="J23">
        <f>I23*50</f>
        <v>4350</v>
      </c>
      <c r="K23">
        <v>7.4</v>
      </c>
      <c r="L23" t="s">
        <v>14</v>
      </c>
      <c r="O23" s="7">
        <f t="shared" si="28"/>
        <v>11402.035415014032</v>
      </c>
      <c r="P23">
        <f t="shared" si="40"/>
        <v>8.4836573028378215</v>
      </c>
      <c r="Q23">
        <f t="shared" si="41"/>
        <v>3.4942219923749889</v>
      </c>
      <c r="R23">
        <f t="shared" si="42"/>
        <v>3.2366071428571432</v>
      </c>
      <c r="S23">
        <f t="shared" si="29"/>
        <v>6.7308291352321321</v>
      </c>
      <c r="U23" s="7">
        <f t="shared" si="30"/>
        <v>1.8239863201101314</v>
      </c>
      <c r="V23">
        <f t="shared" si="31"/>
        <v>1.198518143384621</v>
      </c>
      <c r="W23">
        <f t="shared" si="32"/>
        <v>0.23950892857142861</v>
      </c>
      <c r="X23" s="6">
        <f t="shared" si="33"/>
        <v>1.4380270719560497</v>
      </c>
      <c r="Z23" s="7">
        <f t="shared" si="34"/>
        <v>6.6596709827276905</v>
      </c>
      <c r="AA23">
        <f t="shared" si="35"/>
        <v>2.2957038489903678</v>
      </c>
      <c r="AB23">
        <f t="shared" si="36"/>
        <v>2.9970982142857143</v>
      </c>
      <c r="AC23" s="6">
        <f t="shared" si="37"/>
        <v>5.2928020632760822</v>
      </c>
      <c r="AT23">
        <f t="shared" si="22"/>
        <v>-0.13893702344155412</v>
      </c>
      <c r="AU23">
        <f t="shared" si="23"/>
        <v>-26.736580385473751</v>
      </c>
      <c r="AW23">
        <f t="shared" si="38"/>
        <v>2.3671173180882861E-2</v>
      </c>
      <c r="AX23">
        <f t="shared" si="24"/>
        <v>21.186986632828159</v>
      </c>
      <c r="AZ23">
        <f t="shared" si="25"/>
        <v>-0.16260819662243697</v>
      </c>
      <c r="BA23">
        <f t="shared" si="26"/>
        <v>-39.862143326792108</v>
      </c>
    </row>
    <row r="24" spans="1:53" x14ac:dyDescent="0.3">
      <c r="A24">
        <v>54</v>
      </c>
      <c r="B24">
        <v>11.5</v>
      </c>
      <c r="C24">
        <f t="shared" si="27"/>
        <v>2690.741985190723</v>
      </c>
      <c r="D24">
        <v>0</v>
      </c>
      <c r="E24">
        <v>67</v>
      </c>
      <c r="F24">
        <f t="shared" si="39"/>
        <v>2968.374546880972</v>
      </c>
      <c r="G24">
        <v>32.9</v>
      </c>
      <c r="H24">
        <v>54</v>
      </c>
      <c r="I24">
        <v>55.5</v>
      </c>
      <c r="J24">
        <f>I24*50</f>
        <v>2775</v>
      </c>
      <c r="K24">
        <v>8.9</v>
      </c>
      <c r="L24" t="s">
        <v>16</v>
      </c>
      <c r="O24" s="7">
        <f t="shared" si="28"/>
        <v>5816.9021257177392</v>
      </c>
      <c r="P24">
        <f t="shared" si="40"/>
        <v>4.3280521768733182</v>
      </c>
      <c r="Q24">
        <f t="shared" si="41"/>
        <v>2.2086120140483425</v>
      </c>
      <c r="R24">
        <f t="shared" si="42"/>
        <v>2.0647321428571432</v>
      </c>
      <c r="S24">
        <f t="shared" si="29"/>
        <v>4.2733441569054857</v>
      </c>
      <c r="U24" s="7">
        <f t="shared" si="30"/>
        <v>0.93053121802776351</v>
      </c>
      <c r="V24">
        <f t="shared" si="31"/>
        <v>0.72663335262190476</v>
      </c>
      <c r="W24">
        <f t="shared" si="32"/>
        <v>0.18376116071428578</v>
      </c>
      <c r="X24" s="6">
        <f t="shared" si="33"/>
        <v>0.91039451333619059</v>
      </c>
      <c r="Z24" s="7">
        <f t="shared" si="34"/>
        <v>3.3975209588455551</v>
      </c>
      <c r="AA24">
        <f t="shared" si="35"/>
        <v>1.4819786614264376</v>
      </c>
      <c r="AB24">
        <f t="shared" si="36"/>
        <v>1.8809709821428575</v>
      </c>
      <c r="AC24" s="6">
        <f t="shared" si="37"/>
        <v>3.3629496435692952</v>
      </c>
      <c r="AT24">
        <f>AT12-AU12-AV12</f>
        <v>-5.3755145420906481E-2</v>
      </c>
      <c r="AU24">
        <f t="shared" si="23"/>
        <v>-14.940845054076995</v>
      </c>
      <c r="AW24">
        <f>AW12-AX12-AY12</f>
        <v>1.5881103455599489E-2</v>
      </c>
      <c r="AX24">
        <f t="shared" si="24"/>
        <v>20.530396447696454</v>
      </c>
      <c r="AZ24">
        <f>AZ12-BA12-BB12</f>
        <v>-6.9636248876505991E-2</v>
      </c>
      <c r="BA24">
        <f t="shared" si="26"/>
        <v>-24.655898459021323</v>
      </c>
    </row>
    <row r="25" spans="1:53" x14ac:dyDescent="0.3">
      <c r="A25">
        <v>40</v>
      </c>
      <c r="B25">
        <v>10</v>
      </c>
      <c r="C25">
        <f>B25*$U$58</f>
        <v>2339.7756392962806</v>
      </c>
      <c r="D25">
        <v>0</v>
      </c>
      <c r="E25">
        <v>49.5</v>
      </c>
      <c r="F25">
        <f t="shared" si="39"/>
        <v>2193.0528368747478</v>
      </c>
      <c r="G25">
        <v>32.200000000000003</v>
      </c>
      <c r="H25">
        <v>40</v>
      </c>
      <c r="I25">
        <v>42</v>
      </c>
      <c r="J25">
        <f>I25*50</f>
        <v>2100</v>
      </c>
      <c r="K25">
        <v>10</v>
      </c>
      <c r="L25" t="s">
        <v>15</v>
      </c>
      <c r="O25" s="7">
        <f t="shared" si="28"/>
        <v>4513.4559764190008</v>
      </c>
      <c r="P25">
        <f t="shared" si="40"/>
        <v>3.3582261729308049</v>
      </c>
      <c r="Q25">
        <f t="shared" si="41"/>
        <v>1.6317357417222829</v>
      </c>
      <c r="R25">
        <f t="shared" si="42"/>
        <v>1.5625</v>
      </c>
      <c r="S25">
        <f t="shared" si="29"/>
        <v>3.1942357417222826</v>
      </c>
      <c r="U25" s="7">
        <f t="shared" si="30"/>
        <v>0.72201862718012311</v>
      </c>
      <c r="V25">
        <f t="shared" si="31"/>
        <v>0.52541890883457509</v>
      </c>
      <c r="W25">
        <f t="shared" si="32"/>
        <v>0.15625</v>
      </c>
      <c r="X25" s="6">
        <f t="shared" si="33"/>
        <v>0.68166890883457509</v>
      </c>
      <c r="Z25" s="7">
        <f t="shared" si="34"/>
        <v>2.6362075457506817</v>
      </c>
      <c r="AA25">
        <f t="shared" si="35"/>
        <v>1.1063168328877078</v>
      </c>
      <c r="AB25">
        <f t="shared" si="36"/>
        <v>1.40625</v>
      </c>
      <c r="AC25" s="6">
        <f t="shared" si="37"/>
        <v>2.5125668328877078</v>
      </c>
    </row>
    <row r="29" spans="1:53" x14ac:dyDescent="0.3">
      <c r="A29" t="s">
        <v>47</v>
      </c>
      <c r="P29" t="s">
        <v>45</v>
      </c>
    </row>
    <row r="30" spans="1:53" x14ac:dyDescent="0.3">
      <c r="A30" t="s">
        <v>13</v>
      </c>
      <c r="P30" t="s">
        <v>48</v>
      </c>
      <c r="Q30" t="s">
        <v>49</v>
      </c>
      <c r="R30" t="s">
        <v>51</v>
      </c>
      <c r="S30" t="s">
        <v>50</v>
      </c>
      <c r="U30" t="s">
        <v>54</v>
      </c>
      <c r="V30" t="s">
        <v>55</v>
      </c>
      <c r="W30" t="s">
        <v>56</v>
      </c>
      <c r="X30" t="s">
        <v>57</v>
      </c>
      <c r="Y30" t="s">
        <v>58</v>
      </c>
    </row>
    <row r="31" spans="1:53" x14ac:dyDescent="0.3">
      <c r="A31">
        <v>69</v>
      </c>
      <c r="B31">
        <v>14.5</v>
      </c>
      <c r="C31">
        <f t="shared" ref="C31:C38" si="44">B31*400</f>
        <v>5800</v>
      </c>
      <c r="D31">
        <v>0</v>
      </c>
      <c r="E31">
        <v>88</v>
      </c>
      <c r="F31">
        <f t="shared" ref="F31:F38" si="45">E31*50</f>
        <v>4400</v>
      </c>
      <c r="G31">
        <v>34.799999999999997</v>
      </c>
      <c r="H31">
        <v>68</v>
      </c>
      <c r="I31">
        <v>89.5</v>
      </c>
      <c r="J31">
        <f t="shared" ref="J31:J38" si="46">I31*50</f>
        <v>4475</v>
      </c>
      <c r="K31">
        <v>9</v>
      </c>
      <c r="L31" t="s">
        <v>18</v>
      </c>
      <c r="P31">
        <f t="shared" ref="P31:P38" si="47">$B$1/100-K31/100</f>
        <v>0.125</v>
      </c>
      <c r="Q31">
        <f t="shared" ref="Q31:Q38" si="48">G31/100-$B$1/100</f>
        <v>0.13299999999999998</v>
      </c>
      <c r="R31">
        <f t="shared" ref="R31:R38" si="49">P31/Q31</f>
        <v>0.93984962406015049</v>
      </c>
      <c r="S31">
        <f t="shared" ref="S31:S38" si="50">E31/I31</f>
        <v>0.98324022346368711</v>
      </c>
      <c r="U31">
        <f t="shared" ref="U31:U38" si="51">J31</f>
        <v>4475</v>
      </c>
      <c r="V31">
        <f>E31*$P$44</f>
        <v>3898.7605988884407</v>
      </c>
      <c r="W31">
        <f>U31+V31</f>
        <v>8373.7605988884407</v>
      </c>
      <c r="X31">
        <f>A31+14.7</f>
        <v>83.7</v>
      </c>
      <c r="Y31">
        <f>(X31/14.7)^(1/2)*B31</f>
        <v>34.599678540443712</v>
      </c>
    </row>
    <row r="32" spans="1:53" x14ac:dyDescent="0.3">
      <c r="A32">
        <v>69</v>
      </c>
      <c r="B32">
        <v>12</v>
      </c>
      <c r="C32">
        <f t="shared" si="44"/>
        <v>4800</v>
      </c>
      <c r="D32">
        <v>0</v>
      </c>
      <c r="E32">
        <v>85</v>
      </c>
      <c r="F32">
        <f t="shared" si="45"/>
        <v>4250</v>
      </c>
      <c r="G32">
        <v>33</v>
      </c>
      <c r="H32">
        <v>68</v>
      </c>
      <c r="I32">
        <v>66</v>
      </c>
      <c r="J32">
        <f t="shared" si="46"/>
        <v>3300</v>
      </c>
      <c r="K32">
        <v>8.5</v>
      </c>
      <c r="L32" t="s">
        <v>18</v>
      </c>
      <c r="P32">
        <f t="shared" si="47"/>
        <v>0.13</v>
      </c>
      <c r="Q32">
        <f t="shared" si="48"/>
        <v>0.11500000000000002</v>
      </c>
      <c r="R32">
        <f t="shared" si="49"/>
        <v>1.1304347826086956</v>
      </c>
      <c r="S32">
        <f t="shared" si="50"/>
        <v>1.2878787878787878</v>
      </c>
      <c r="U32">
        <f t="shared" si="51"/>
        <v>3300</v>
      </c>
      <c r="V32">
        <f t="shared" ref="V31:V38" si="52">E32*$P$44</f>
        <v>3765.8483057445164</v>
      </c>
      <c r="W32">
        <f t="shared" ref="W31:W38" si="53">U32+V32</f>
        <v>7065.8483057445164</v>
      </c>
      <c r="X32">
        <f t="shared" ref="X32:X38" si="54">A32+14.7</f>
        <v>83.7</v>
      </c>
      <c r="Y32">
        <f>(X32/14.7)^(1/2)*B32</f>
        <v>28.634216723125828</v>
      </c>
    </row>
    <row r="33" spans="1:25" x14ac:dyDescent="0.3">
      <c r="A33">
        <v>69</v>
      </c>
      <c r="B33">
        <v>11</v>
      </c>
      <c r="C33">
        <f t="shared" si="44"/>
        <v>4400</v>
      </c>
      <c r="D33">
        <v>0</v>
      </c>
      <c r="E33">
        <v>83.5</v>
      </c>
      <c r="F33">
        <f t="shared" si="45"/>
        <v>4175</v>
      </c>
      <c r="G33">
        <v>31.1</v>
      </c>
      <c r="H33">
        <v>68</v>
      </c>
      <c r="I33">
        <v>50</v>
      </c>
      <c r="J33">
        <f t="shared" si="46"/>
        <v>2500</v>
      </c>
      <c r="K33">
        <v>7.7</v>
      </c>
      <c r="L33" t="s">
        <v>18</v>
      </c>
      <c r="P33">
        <f t="shared" si="47"/>
        <v>0.13800000000000001</v>
      </c>
      <c r="Q33">
        <f t="shared" si="48"/>
        <v>9.6000000000000002E-2</v>
      </c>
      <c r="R33">
        <f t="shared" si="49"/>
        <v>1.4375</v>
      </c>
      <c r="S33">
        <f t="shared" si="50"/>
        <v>1.67</v>
      </c>
      <c r="U33">
        <f t="shared" si="51"/>
        <v>2500</v>
      </c>
      <c r="V33">
        <f t="shared" si="52"/>
        <v>3699.3921591725548</v>
      </c>
      <c r="W33">
        <f t="shared" si="53"/>
        <v>6199.3921591725548</v>
      </c>
      <c r="X33">
        <f t="shared" si="54"/>
        <v>83.7</v>
      </c>
      <c r="Y33">
        <f>(X33/14.7)^(1/2)*B33</f>
        <v>26.248031996198677</v>
      </c>
    </row>
    <row r="34" spans="1:25" x14ac:dyDescent="0.3">
      <c r="A34">
        <v>69</v>
      </c>
      <c r="B34">
        <v>9.5</v>
      </c>
      <c r="C34">
        <f t="shared" si="44"/>
        <v>3800</v>
      </c>
      <c r="D34">
        <v>0</v>
      </c>
      <c r="E34">
        <v>80</v>
      </c>
      <c r="F34">
        <f t="shared" si="45"/>
        <v>4000</v>
      </c>
      <c r="G34">
        <v>28</v>
      </c>
      <c r="H34">
        <v>68</v>
      </c>
      <c r="I34">
        <v>30</v>
      </c>
      <c r="J34">
        <f t="shared" si="46"/>
        <v>1500</v>
      </c>
      <c r="K34">
        <v>6.1</v>
      </c>
      <c r="L34" t="s">
        <v>18</v>
      </c>
      <c r="P34">
        <f t="shared" si="47"/>
        <v>0.154</v>
      </c>
      <c r="Q34">
        <f t="shared" si="48"/>
        <v>6.500000000000003E-2</v>
      </c>
      <c r="R34">
        <f t="shared" si="49"/>
        <v>2.3692307692307679</v>
      </c>
      <c r="S34">
        <f t="shared" si="50"/>
        <v>2.6666666666666665</v>
      </c>
      <c r="U34">
        <f t="shared" si="51"/>
        <v>1500</v>
      </c>
      <c r="V34">
        <f t="shared" si="52"/>
        <v>3544.32781717131</v>
      </c>
      <c r="W34">
        <f t="shared" si="53"/>
        <v>5044.32781717131</v>
      </c>
      <c r="X34">
        <f t="shared" si="54"/>
        <v>83.7</v>
      </c>
      <c r="Y34">
        <f>(X34/14.7)^(1/2)*B34</f>
        <v>22.668754905807948</v>
      </c>
    </row>
    <row r="35" spans="1:25" x14ac:dyDescent="0.3">
      <c r="A35">
        <v>69</v>
      </c>
      <c r="B35">
        <v>12</v>
      </c>
      <c r="C35">
        <f t="shared" si="44"/>
        <v>4800</v>
      </c>
      <c r="D35">
        <v>0</v>
      </c>
      <c r="E35">
        <v>90</v>
      </c>
      <c r="F35">
        <f t="shared" si="45"/>
        <v>4500</v>
      </c>
      <c r="G35">
        <v>37</v>
      </c>
      <c r="H35">
        <v>68</v>
      </c>
      <c r="I35">
        <v>119</v>
      </c>
      <c r="J35">
        <f t="shared" si="46"/>
        <v>5950</v>
      </c>
      <c r="K35">
        <v>9.6</v>
      </c>
      <c r="L35" t="s">
        <v>18</v>
      </c>
      <c r="P35">
        <f t="shared" si="47"/>
        <v>0.11899999999999999</v>
      </c>
      <c r="Q35">
        <f t="shared" si="48"/>
        <v>0.155</v>
      </c>
      <c r="R35">
        <f t="shared" si="49"/>
        <v>0.76774193548387093</v>
      </c>
      <c r="S35">
        <f t="shared" si="50"/>
        <v>0.75630252100840334</v>
      </c>
      <c r="U35">
        <f t="shared" si="51"/>
        <v>5950</v>
      </c>
      <c r="V35">
        <f t="shared" si="52"/>
        <v>3987.3687943177233</v>
      </c>
      <c r="W35">
        <f t="shared" si="53"/>
        <v>9937.3687943177229</v>
      </c>
      <c r="X35">
        <f t="shared" si="54"/>
        <v>83.7</v>
      </c>
      <c r="Y35">
        <f>(X35/14.7)^(1/2)*B35</f>
        <v>28.634216723125828</v>
      </c>
    </row>
    <row r="36" spans="1:25" x14ac:dyDescent="0.3">
      <c r="A36">
        <v>82</v>
      </c>
      <c r="B36">
        <v>19</v>
      </c>
      <c r="C36">
        <f t="shared" si="44"/>
        <v>7600</v>
      </c>
      <c r="D36">
        <v>0</v>
      </c>
      <c r="E36">
        <v>106</v>
      </c>
      <c r="F36">
        <f t="shared" si="45"/>
        <v>5300</v>
      </c>
      <c r="G36">
        <v>34.299999999999997</v>
      </c>
      <c r="H36">
        <v>82</v>
      </c>
      <c r="I36">
        <v>87</v>
      </c>
      <c r="J36">
        <f t="shared" si="46"/>
        <v>4350</v>
      </c>
      <c r="K36">
        <v>7.4</v>
      </c>
      <c r="L36" t="s">
        <v>14</v>
      </c>
      <c r="P36">
        <f t="shared" si="47"/>
        <v>0.14099999999999999</v>
      </c>
      <c r="Q36">
        <f t="shared" si="48"/>
        <v>0.12799999999999997</v>
      </c>
      <c r="R36">
        <f t="shared" si="49"/>
        <v>1.1015625</v>
      </c>
      <c r="S36">
        <f t="shared" si="50"/>
        <v>1.2183908045977012</v>
      </c>
      <c r="U36">
        <f t="shared" si="51"/>
        <v>4350</v>
      </c>
      <c r="V36">
        <f t="shared" si="52"/>
        <v>4696.234357751985</v>
      </c>
      <c r="W36">
        <f t="shared" si="53"/>
        <v>9046.234357751986</v>
      </c>
      <c r="X36">
        <f t="shared" si="54"/>
        <v>96.7</v>
      </c>
      <c r="Y36">
        <f>(X36/14.7)^1/2*B36</f>
        <v>62.493197278911573</v>
      </c>
    </row>
    <row r="37" spans="1:25" x14ac:dyDescent="0.3">
      <c r="A37">
        <v>54</v>
      </c>
      <c r="B37">
        <v>11.5</v>
      </c>
      <c r="C37">
        <f t="shared" si="44"/>
        <v>4600</v>
      </c>
      <c r="D37">
        <v>0</v>
      </c>
      <c r="E37">
        <v>67</v>
      </c>
      <c r="F37">
        <f t="shared" si="45"/>
        <v>3350</v>
      </c>
      <c r="G37">
        <v>32.9</v>
      </c>
      <c r="H37">
        <v>54</v>
      </c>
      <c r="I37">
        <v>55.5</v>
      </c>
      <c r="J37">
        <f t="shared" si="46"/>
        <v>2775</v>
      </c>
      <c r="K37">
        <v>8.9</v>
      </c>
      <c r="L37" t="s">
        <v>16</v>
      </c>
      <c r="P37">
        <f t="shared" si="47"/>
        <v>0.126</v>
      </c>
      <c r="Q37">
        <f t="shared" si="48"/>
        <v>0.11399999999999996</v>
      </c>
      <c r="R37">
        <f t="shared" si="49"/>
        <v>1.1052631578947372</v>
      </c>
      <c r="S37">
        <f t="shared" si="50"/>
        <v>1.2072072072072073</v>
      </c>
      <c r="U37">
        <f t="shared" si="51"/>
        <v>2775</v>
      </c>
      <c r="V37">
        <f t="shared" si="52"/>
        <v>2968.374546880972</v>
      </c>
      <c r="W37">
        <f t="shared" si="53"/>
        <v>5743.374546880972</v>
      </c>
      <c r="X37">
        <f t="shared" si="54"/>
        <v>68.7</v>
      </c>
      <c r="Y37">
        <f>(X37/14.7)^1/2*B37</f>
        <v>26.872448979591841</v>
      </c>
    </row>
    <row r="38" spans="1:25" x14ac:dyDescent="0.3">
      <c r="A38">
        <v>40</v>
      </c>
      <c r="B38">
        <v>10</v>
      </c>
      <c r="C38">
        <f t="shared" si="44"/>
        <v>4000</v>
      </c>
      <c r="D38">
        <v>0</v>
      </c>
      <c r="E38">
        <v>49.5</v>
      </c>
      <c r="F38">
        <f t="shared" si="45"/>
        <v>2475</v>
      </c>
      <c r="G38">
        <v>32.200000000000003</v>
      </c>
      <c r="H38">
        <v>40</v>
      </c>
      <c r="I38">
        <v>42</v>
      </c>
      <c r="J38">
        <f t="shared" si="46"/>
        <v>2100</v>
      </c>
      <c r="K38">
        <v>10</v>
      </c>
      <c r="L38" t="s">
        <v>15</v>
      </c>
      <c r="P38">
        <f t="shared" si="47"/>
        <v>0.11499999999999999</v>
      </c>
      <c r="Q38">
        <f t="shared" si="48"/>
        <v>0.10700000000000001</v>
      </c>
      <c r="R38">
        <f t="shared" si="49"/>
        <v>1.0747663551401867</v>
      </c>
      <c r="S38">
        <f t="shared" si="50"/>
        <v>1.1785714285714286</v>
      </c>
      <c r="U38">
        <f t="shared" si="51"/>
        <v>2100</v>
      </c>
      <c r="V38">
        <f t="shared" si="52"/>
        <v>2193.0528368747478</v>
      </c>
      <c r="W38">
        <f t="shared" si="53"/>
        <v>4293.0528368747473</v>
      </c>
      <c r="X38">
        <f t="shared" si="54"/>
        <v>54.7</v>
      </c>
      <c r="Y38">
        <f>(X38/14.7)^1/2*B38</f>
        <v>18.605442176870749</v>
      </c>
    </row>
    <row r="40" spans="1:25" x14ac:dyDescent="0.3">
      <c r="A40" t="s">
        <v>12</v>
      </c>
    </row>
    <row r="42" spans="1:25" x14ac:dyDescent="0.3">
      <c r="P42" t="s">
        <v>52</v>
      </c>
    </row>
    <row r="43" spans="1:25" x14ac:dyDescent="0.3">
      <c r="P43" cm="1">
        <f t="array" ref="P43:Q43">LINEST(R31:R34,S31:S34,FALSE)</f>
        <v>0.88608195429282743</v>
      </c>
      <c r="Q43">
        <v>0</v>
      </c>
      <c r="R43" t="s">
        <v>53</v>
      </c>
      <c r="U43" cm="1">
        <f t="array" ref="U43:V43">LINEST(W31:W38,Y31:Y38)</f>
        <v>94.752712966158043</v>
      </c>
      <c r="V43">
        <v>4016.6318439088523</v>
      </c>
    </row>
    <row r="44" spans="1:25" x14ac:dyDescent="0.3">
      <c r="P44">
        <f>P43*50</f>
        <v>44.304097714641372</v>
      </c>
      <c r="R44" t="s">
        <v>59</v>
      </c>
      <c r="U44" t="s">
        <v>60</v>
      </c>
    </row>
    <row r="47" spans="1:25" x14ac:dyDescent="0.3">
      <c r="U47" cm="1">
        <f t="array" ref="U47:V47">LINEST(W31:W38,Y31:Y38,FALSE)</f>
        <v>205.6043879434493</v>
      </c>
      <c r="V47">
        <v>0</v>
      </c>
    </row>
    <row r="48" spans="1:25" x14ac:dyDescent="0.3">
      <c r="A48">
        <v>69</v>
      </c>
      <c r="B48">
        <v>14.5</v>
      </c>
      <c r="C48">
        <f t="shared" ref="C48:C53" si="55">B48*400</f>
        <v>5800</v>
      </c>
      <c r="D48">
        <v>0</v>
      </c>
      <c r="E48">
        <v>88</v>
      </c>
      <c r="F48">
        <f t="shared" ref="F48:F53" si="56">E48*50</f>
        <v>4400</v>
      </c>
      <c r="G48">
        <v>34.799999999999997</v>
      </c>
      <c r="H48">
        <v>68</v>
      </c>
      <c r="I48">
        <v>89.5</v>
      </c>
      <c r="J48">
        <f t="shared" ref="J48:J53" si="57">I48*50</f>
        <v>4475</v>
      </c>
      <c r="K48">
        <v>9</v>
      </c>
      <c r="L48" t="s">
        <v>18</v>
      </c>
      <c r="P48">
        <f>$B$1/100-K48/100</f>
        <v>0.125</v>
      </c>
      <c r="Q48">
        <f t="shared" ref="Q48:Q53" si="58">G48/100-$B$1/100</f>
        <v>0.13299999999999998</v>
      </c>
      <c r="R48">
        <f t="shared" ref="R48:R53" si="59">P48/Q48</f>
        <v>0.93984962406015049</v>
      </c>
      <c r="S48">
        <f t="shared" ref="S48:S53" si="60">E48/I48</f>
        <v>0.98324022346368711</v>
      </c>
      <c r="U48">
        <f t="shared" ref="U48:U53" si="61">J48</f>
        <v>4475</v>
      </c>
      <c r="V48">
        <f>E48*$P$44</f>
        <v>3898.7605988884407</v>
      </c>
      <c r="W48">
        <f t="shared" ref="W48:W53" si="62">U48+V48</f>
        <v>8373.7605988884407</v>
      </c>
      <c r="X48">
        <f t="shared" ref="X48:X53" si="63">A48+14.7</f>
        <v>83.7</v>
      </c>
      <c r="Y48">
        <f>(X48/14.7)^(1/2)*B48</f>
        <v>34.599678540443712</v>
      </c>
    </row>
    <row r="49" spans="1:25" x14ac:dyDescent="0.3">
      <c r="A49">
        <v>69</v>
      </c>
      <c r="B49">
        <v>12</v>
      </c>
      <c r="C49">
        <f t="shared" si="55"/>
        <v>4800</v>
      </c>
      <c r="D49">
        <v>0</v>
      </c>
      <c r="E49">
        <v>85</v>
      </c>
      <c r="F49">
        <f t="shared" si="56"/>
        <v>4250</v>
      </c>
      <c r="G49">
        <v>33</v>
      </c>
      <c r="H49">
        <v>68</v>
      </c>
      <c r="I49">
        <v>66</v>
      </c>
      <c r="J49">
        <f t="shared" si="57"/>
        <v>3300</v>
      </c>
      <c r="K49">
        <v>8.5</v>
      </c>
      <c r="L49" t="s">
        <v>18</v>
      </c>
      <c r="P49">
        <f t="shared" ref="P48:P53" si="64">$B$1/100-K49/100</f>
        <v>0.13</v>
      </c>
      <c r="Q49">
        <f t="shared" si="58"/>
        <v>0.11500000000000002</v>
      </c>
      <c r="R49">
        <f t="shared" si="59"/>
        <v>1.1304347826086956</v>
      </c>
      <c r="S49">
        <f t="shared" si="60"/>
        <v>1.2878787878787878</v>
      </c>
      <c r="U49">
        <f t="shared" si="61"/>
        <v>3300</v>
      </c>
      <c r="V49">
        <f t="shared" ref="V48:V53" si="65">E49*$P$44</f>
        <v>3765.8483057445164</v>
      </c>
      <c r="W49">
        <f t="shared" si="62"/>
        <v>7065.8483057445164</v>
      </c>
      <c r="X49">
        <f t="shared" si="63"/>
        <v>83.7</v>
      </c>
      <c r="Y49">
        <f>(X49/14.7)^(1/2)*B49</f>
        <v>28.634216723125828</v>
      </c>
    </row>
    <row r="50" spans="1:25" x14ac:dyDescent="0.3">
      <c r="A50">
        <v>69</v>
      </c>
      <c r="B50">
        <v>11</v>
      </c>
      <c r="C50">
        <f t="shared" si="55"/>
        <v>4400</v>
      </c>
      <c r="D50">
        <v>0</v>
      </c>
      <c r="E50">
        <v>83.5</v>
      </c>
      <c r="F50">
        <f t="shared" si="56"/>
        <v>4175</v>
      </c>
      <c r="G50">
        <v>31.1</v>
      </c>
      <c r="H50">
        <v>68</v>
      </c>
      <c r="I50">
        <v>50</v>
      </c>
      <c r="J50">
        <f t="shared" si="57"/>
        <v>2500</v>
      </c>
      <c r="K50">
        <v>7.7</v>
      </c>
      <c r="L50" t="s">
        <v>18</v>
      </c>
      <c r="P50">
        <f t="shared" si="64"/>
        <v>0.13800000000000001</v>
      </c>
      <c r="Q50">
        <f t="shared" si="58"/>
        <v>9.6000000000000002E-2</v>
      </c>
      <c r="R50">
        <f t="shared" si="59"/>
        <v>1.4375</v>
      </c>
      <c r="S50">
        <f t="shared" si="60"/>
        <v>1.67</v>
      </c>
      <c r="U50">
        <f t="shared" si="61"/>
        <v>2500</v>
      </c>
      <c r="V50">
        <f t="shared" si="65"/>
        <v>3699.3921591725548</v>
      </c>
      <c r="W50">
        <f t="shared" si="62"/>
        <v>6199.3921591725548</v>
      </c>
      <c r="X50">
        <f t="shared" si="63"/>
        <v>83.7</v>
      </c>
      <c r="Y50">
        <f>(X50/14.7)^(1/2)*B50</f>
        <v>26.248031996198677</v>
      </c>
    </row>
    <row r="51" spans="1:25" x14ac:dyDescent="0.3">
      <c r="A51">
        <v>69</v>
      </c>
      <c r="B51">
        <v>9.5</v>
      </c>
      <c r="C51">
        <f t="shared" si="55"/>
        <v>3800</v>
      </c>
      <c r="D51">
        <v>0</v>
      </c>
      <c r="E51">
        <v>80</v>
      </c>
      <c r="F51">
        <f t="shared" si="56"/>
        <v>4000</v>
      </c>
      <c r="G51">
        <v>28</v>
      </c>
      <c r="H51">
        <v>68</v>
      </c>
      <c r="I51">
        <v>30</v>
      </c>
      <c r="J51">
        <f t="shared" si="57"/>
        <v>1500</v>
      </c>
      <c r="K51">
        <v>6.1</v>
      </c>
      <c r="L51" t="s">
        <v>18</v>
      </c>
      <c r="P51">
        <f t="shared" si="64"/>
        <v>0.154</v>
      </c>
      <c r="Q51">
        <f t="shared" si="58"/>
        <v>6.500000000000003E-2</v>
      </c>
      <c r="R51">
        <f t="shared" si="59"/>
        <v>2.3692307692307679</v>
      </c>
      <c r="S51">
        <f t="shared" si="60"/>
        <v>2.6666666666666665</v>
      </c>
      <c r="U51">
        <f t="shared" si="61"/>
        <v>1500</v>
      </c>
      <c r="V51">
        <f t="shared" si="65"/>
        <v>3544.32781717131</v>
      </c>
      <c r="W51">
        <f t="shared" si="62"/>
        <v>5044.32781717131</v>
      </c>
      <c r="X51">
        <f t="shared" si="63"/>
        <v>83.7</v>
      </c>
      <c r="Y51">
        <f>(X51/14.7)^(1/2)*B51</f>
        <v>22.668754905807948</v>
      </c>
    </row>
    <row r="52" spans="1:25" x14ac:dyDescent="0.3">
      <c r="A52">
        <v>54</v>
      </c>
      <c r="B52">
        <v>11.5</v>
      </c>
      <c r="C52">
        <f t="shared" si="55"/>
        <v>4600</v>
      </c>
      <c r="D52">
        <v>0</v>
      </c>
      <c r="E52">
        <v>67</v>
      </c>
      <c r="F52">
        <f t="shared" si="56"/>
        <v>3350</v>
      </c>
      <c r="G52">
        <v>32.9</v>
      </c>
      <c r="H52">
        <v>54</v>
      </c>
      <c r="I52">
        <v>55.5</v>
      </c>
      <c r="J52">
        <f t="shared" si="57"/>
        <v>2775</v>
      </c>
      <c r="K52">
        <v>8.9</v>
      </c>
      <c r="L52" t="s">
        <v>16</v>
      </c>
      <c r="P52">
        <f t="shared" si="64"/>
        <v>0.126</v>
      </c>
      <c r="Q52">
        <f t="shared" si="58"/>
        <v>0.11399999999999996</v>
      </c>
      <c r="R52">
        <f t="shared" si="59"/>
        <v>1.1052631578947372</v>
      </c>
      <c r="S52">
        <f t="shared" si="60"/>
        <v>1.2072072072072073</v>
      </c>
      <c r="U52">
        <f t="shared" si="61"/>
        <v>2775</v>
      </c>
      <c r="V52">
        <f t="shared" si="65"/>
        <v>2968.374546880972</v>
      </c>
      <c r="W52">
        <f t="shared" si="62"/>
        <v>5743.374546880972</v>
      </c>
      <c r="X52">
        <f t="shared" si="63"/>
        <v>68.7</v>
      </c>
      <c r="Y52">
        <f>(X52/14.7)^1/2*B52</f>
        <v>26.872448979591841</v>
      </c>
    </row>
    <row r="53" spans="1:25" x14ac:dyDescent="0.3">
      <c r="A53">
        <v>40</v>
      </c>
      <c r="B53">
        <v>10</v>
      </c>
      <c r="C53">
        <f t="shared" si="55"/>
        <v>4000</v>
      </c>
      <c r="D53">
        <v>0</v>
      </c>
      <c r="E53">
        <v>49.5</v>
      </c>
      <c r="F53">
        <f t="shared" si="56"/>
        <v>2475</v>
      </c>
      <c r="G53">
        <v>32.200000000000003</v>
      </c>
      <c r="H53">
        <v>40</v>
      </c>
      <c r="I53">
        <v>42</v>
      </c>
      <c r="J53">
        <f t="shared" si="57"/>
        <v>2100</v>
      </c>
      <c r="K53">
        <v>10</v>
      </c>
      <c r="L53" t="s">
        <v>15</v>
      </c>
      <c r="P53">
        <f t="shared" si="64"/>
        <v>0.11499999999999999</v>
      </c>
      <c r="Q53">
        <f t="shared" si="58"/>
        <v>0.10700000000000001</v>
      </c>
      <c r="R53">
        <f t="shared" si="59"/>
        <v>1.0747663551401867</v>
      </c>
      <c r="S53">
        <f t="shared" si="60"/>
        <v>1.1785714285714286</v>
      </c>
      <c r="U53">
        <f t="shared" si="61"/>
        <v>2100</v>
      </c>
      <c r="V53">
        <f t="shared" si="65"/>
        <v>2193.0528368747478</v>
      </c>
      <c r="W53">
        <f t="shared" si="62"/>
        <v>4293.0528368747473</v>
      </c>
      <c r="X53">
        <f t="shared" si="63"/>
        <v>54.7</v>
      </c>
      <c r="Y53">
        <f>(X53/14.7)^1/2*B53</f>
        <v>18.605442176870749</v>
      </c>
    </row>
    <row r="58" spans="1:25" x14ac:dyDescent="0.3">
      <c r="P58" cm="1">
        <f t="array" ref="P58:Q58">LINEST(R48:R53,S48:S53,FALSE)</f>
        <v>0.89121114067157547</v>
      </c>
      <c r="Q58">
        <v>0</v>
      </c>
      <c r="U58" cm="1">
        <f t="array" ref="U58:V58">LINEST(W48:W53,Y48:Y53,FALSE)</f>
        <v>233.97756392962808</v>
      </c>
      <c r="V58">
        <v>0</v>
      </c>
    </row>
    <row r="59" spans="1:25" x14ac:dyDescent="0.3">
      <c r="P59">
        <f>50*P58</f>
        <v>44.560557033578775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2E2B-95FA-954E-89EE-FCA26715C6EA}">
  <dimension ref="A1:AF63"/>
  <sheetViews>
    <sheetView topLeftCell="A13" zoomScale="54" workbookViewId="0">
      <selection activeCell="E59" sqref="E59"/>
    </sheetView>
  </sheetViews>
  <sheetFormatPr defaultColWidth="11.19921875" defaultRowHeight="15.6" x14ac:dyDescent="0.3"/>
  <cols>
    <col min="1" max="1" width="11.796875" bestFit="1" customWidth="1"/>
    <col min="2" max="2" width="13.796875" bestFit="1" customWidth="1"/>
    <col min="3" max="3" width="23.69921875" customWidth="1"/>
    <col min="4" max="4" width="11.09765625" bestFit="1" customWidth="1"/>
    <col min="5" max="5" width="12.8984375" bestFit="1" customWidth="1"/>
    <col min="6" max="6" width="19.3984375" customWidth="1"/>
    <col min="7" max="7" width="8.796875" bestFit="1" customWidth="1"/>
    <col min="8" max="8" width="10.796875" bestFit="1" customWidth="1"/>
    <col min="9" max="9" width="7.3984375" bestFit="1" customWidth="1"/>
    <col min="10" max="10" width="14.296875" bestFit="1" customWidth="1"/>
    <col min="11" max="11" width="23.19921875" customWidth="1"/>
    <col min="13" max="13" width="11.296875" bestFit="1" customWidth="1"/>
    <col min="15" max="15" width="21.59765625" customWidth="1"/>
    <col min="16" max="18" width="11.296875" bestFit="1" customWidth="1"/>
    <col min="19" max="19" width="27.5" customWidth="1"/>
    <col min="20" max="20" width="11.296875" bestFit="1" customWidth="1"/>
    <col min="21" max="21" width="18.3984375" customWidth="1"/>
    <col min="22" max="22" width="17.296875" customWidth="1"/>
    <col min="23" max="23" width="17.59765625" customWidth="1"/>
    <col min="24" max="24" width="11.296875" bestFit="1" customWidth="1"/>
    <col min="26" max="26" width="22.3984375" customWidth="1"/>
    <col min="27" max="27" width="19.296875" customWidth="1"/>
    <col min="28" max="28" width="18.296875" customWidth="1"/>
    <col min="29" max="29" width="11.296875" bestFit="1" customWidth="1"/>
  </cols>
  <sheetData>
    <row r="1" spans="1:32" x14ac:dyDescent="0.3">
      <c r="A1" s="2" t="s">
        <v>0</v>
      </c>
      <c r="B1" s="2">
        <v>21.5</v>
      </c>
      <c r="C1" s="2" t="s">
        <v>0</v>
      </c>
      <c r="D1" s="2">
        <v>21.5</v>
      </c>
      <c r="E1" s="2"/>
      <c r="F1" s="2" t="s">
        <v>19</v>
      </c>
      <c r="G1" s="2">
        <v>78.5</v>
      </c>
      <c r="H1" s="2"/>
      <c r="I1" s="2"/>
      <c r="J1" s="2"/>
      <c r="K1" s="2"/>
      <c r="L1" s="2"/>
      <c r="P1" t="s">
        <v>41</v>
      </c>
      <c r="U1" t="s">
        <v>45</v>
      </c>
      <c r="Z1" t="s">
        <v>46</v>
      </c>
      <c r="AE1" t="s">
        <v>95</v>
      </c>
    </row>
    <row r="2" spans="1:32" x14ac:dyDescent="0.3">
      <c r="A2" s="2" t="s">
        <v>4</v>
      </c>
      <c r="B2" s="2" t="s">
        <v>6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</v>
      </c>
      <c r="H2" s="2" t="s">
        <v>8</v>
      </c>
      <c r="I2" s="2" t="s">
        <v>3</v>
      </c>
      <c r="J2" s="2" t="s">
        <v>10</v>
      </c>
      <c r="K2" s="2" t="s">
        <v>2</v>
      </c>
      <c r="L2" s="2"/>
      <c r="M2" s="2" t="s">
        <v>38</v>
      </c>
      <c r="O2" t="s">
        <v>75</v>
      </c>
      <c r="P2" t="s">
        <v>40</v>
      </c>
      <c r="Q2" t="s">
        <v>42</v>
      </c>
      <c r="R2" t="s">
        <v>43</v>
      </c>
      <c r="S2" t="s">
        <v>44</v>
      </c>
      <c r="U2" t="s">
        <v>40</v>
      </c>
      <c r="V2" t="s">
        <v>42</v>
      </c>
      <c r="W2" t="s">
        <v>43</v>
      </c>
      <c r="X2" t="s">
        <v>44</v>
      </c>
      <c r="Z2" t="s">
        <v>40</v>
      </c>
      <c r="AA2" t="s">
        <v>42</v>
      </c>
      <c r="AB2" t="s">
        <v>43</v>
      </c>
      <c r="AC2" t="s">
        <v>44</v>
      </c>
      <c r="AE2" t="s">
        <v>97</v>
      </c>
      <c r="AF2" t="s">
        <v>96</v>
      </c>
    </row>
    <row r="3" spans="1:32" x14ac:dyDescent="0.3">
      <c r="A3" t="s">
        <v>31</v>
      </c>
      <c r="D3" t="s">
        <v>78</v>
      </c>
      <c r="H3" t="s">
        <v>80</v>
      </c>
    </row>
    <row r="4" spans="1:32" x14ac:dyDescent="0.3">
      <c r="A4">
        <v>68</v>
      </c>
      <c r="B4">
        <v>19</v>
      </c>
      <c r="C4">
        <f>B4*$G$45</f>
        <v>5396.4613010739049</v>
      </c>
      <c r="D4">
        <v>0</v>
      </c>
      <c r="E4">
        <v>94</v>
      </c>
      <c r="F4">
        <f>E4*$B$46</f>
        <v>4034.5135410075227</v>
      </c>
      <c r="G4">
        <v>37.700000000000003</v>
      </c>
      <c r="H4">
        <v>68</v>
      </c>
      <c r="I4">
        <v>146.5</v>
      </c>
      <c r="J4">
        <f>I4*50</f>
        <v>7325</v>
      </c>
      <c r="K4">
        <v>10</v>
      </c>
      <c r="L4" t="s">
        <v>18</v>
      </c>
      <c r="M4">
        <f>J4/F4</f>
        <v>1.8155844380115174</v>
      </c>
      <c r="O4">
        <f>((14+A4)/14.7)^(1/2)*C4</f>
        <v>12745.513162947709</v>
      </c>
      <c r="P4">
        <f>O4/22.4*(1/1000)*(1000)*1/60</f>
        <v>9.4832687224313315</v>
      </c>
      <c r="Q4">
        <f>F4/22.4*(1/1000)*(1000)*1/60</f>
        <v>3.0018701942020263</v>
      </c>
      <c r="R4">
        <f>J4/22.4*(1/1000)*(1000)*1/60</f>
        <v>5.4501488095238102</v>
      </c>
      <c r="S4">
        <f>Q4+R4</f>
        <v>8.4520190037258374</v>
      </c>
      <c r="U4" s="7">
        <f>P4*$D$1/100</f>
        <v>2.038902775322736</v>
      </c>
      <c r="V4">
        <f>Q4*G4/100</f>
        <v>1.1317050632141639</v>
      </c>
      <c r="W4">
        <f>R4*(K4/100)</f>
        <v>0.54501488095238104</v>
      </c>
      <c r="X4" s="6">
        <f>V4+W4</f>
        <v>1.6767199441665448</v>
      </c>
      <c r="Z4" s="7">
        <f>$G$1*P4/100</f>
        <v>7.4443659471085946</v>
      </c>
      <c r="AA4">
        <f>(100-G4)/100*Q4</f>
        <v>1.8701651309878624</v>
      </c>
      <c r="AB4">
        <f>(100-K4)*R4/100</f>
        <v>4.9051339285714288</v>
      </c>
      <c r="AC4" s="6">
        <f>AA4+AB4</f>
        <v>6.7752990595592912</v>
      </c>
      <c r="AE4" s="8">
        <f>V4/U4</f>
        <v>0.55505592366219003</v>
      </c>
      <c r="AF4" s="8">
        <f>AB4/Z4</f>
        <v>0.65890553519559203</v>
      </c>
    </row>
    <row r="5" spans="1:32" x14ac:dyDescent="0.3">
      <c r="B5" t="s">
        <v>37</v>
      </c>
      <c r="F5">
        <f t="shared" ref="F5:F22" si="0">E5*$B$46</f>
        <v>0</v>
      </c>
      <c r="O5">
        <f t="shared" ref="O5:O22" si="1">((14+A5)/14.7)^(1/2)*C5</f>
        <v>0</v>
      </c>
      <c r="P5">
        <f t="shared" ref="P5:P22" si="2">O5/22.4*(1/1000)*(1000)*1/60</f>
        <v>0</v>
      </c>
      <c r="Q5">
        <f t="shared" ref="Q5:Q13" si="3">F5/22.4*(1/1000)*(1000)*1/60</f>
        <v>0</v>
      </c>
      <c r="R5">
        <f t="shared" ref="R5:R13" si="4">J5/22.4*(1/1000)*(1000)*1/60</f>
        <v>0</v>
      </c>
      <c r="S5">
        <f t="shared" ref="S5:S13" si="5">Q5+R5</f>
        <v>0</v>
      </c>
      <c r="U5" s="7">
        <f t="shared" ref="U5:U22" si="6">P5*$D$1/100</f>
        <v>0</v>
      </c>
      <c r="V5">
        <f t="shared" ref="V5:V22" si="7">Q5*G5/100</f>
        <v>0</v>
      </c>
      <c r="W5">
        <f t="shared" ref="W5:W22" si="8">R5*(K5/100)</f>
        <v>0</v>
      </c>
      <c r="X5" s="6">
        <f t="shared" ref="X5:X22" si="9">V5+W5</f>
        <v>0</v>
      </c>
      <c r="Z5" s="7">
        <f t="shared" ref="Z5:Z22" si="10">$G$1*P5/100</f>
        <v>0</v>
      </c>
      <c r="AA5">
        <f t="shared" ref="AA5:AA22" si="11">(100-G5)/100*Q5</f>
        <v>0</v>
      </c>
      <c r="AB5">
        <f t="shared" ref="AB5:AB22" si="12">(100-K5)*R5/100</f>
        <v>0</v>
      </c>
      <c r="AC5" s="6">
        <f t="shared" ref="AC5:AC22" si="13">AA5+AB5</f>
        <v>0</v>
      </c>
      <c r="AE5" s="8" t="e">
        <f t="shared" ref="AE5:AE22" si="14">V5/U5</f>
        <v>#DIV/0!</v>
      </c>
      <c r="AF5" s="8" t="e">
        <f t="shared" ref="AF5:AF22" si="15">AB5/Z5</f>
        <v>#DIV/0!</v>
      </c>
    </row>
    <row r="6" spans="1:32" x14ac:dyDescent="0.3">
      <c r="A6">
        <v>65</v>
      </c>
      <c r="B6">
        <v>82</v>
      </c>
      <c r="C6">
        <f>B6*$G$45</f>
        <v>23289.990878318957</v>
      </c>
      <c r="D6">
        <v>0</v>
      </c>
      <c r="E6">
        <v>97.5</v>
      </c>
      <c r="F6">
        <f t="shared" si="0"/>
        <v>4184.7347898748239</v>
      </c>
      <c r="G6">
        <v>44.2</v>
      </c>
      <c r="H6">
        <v>63</v>
      </c>
      <c r="I6">
        <v>129</v>
      </c>
      <c r="J6">
        <f>I6*400</f>
        <v>51600</v>
      </c>
      <c r="K6">
        <v>19.600000000000001</v>
      </c>
      <c r="L6" t="s">
        <v>18</v>
      </c>
      <c r="M6">
        <f t="shared" ref="M6:M22" si="16">J6/F6</f>
        <v>12.330530509328522</v>
      </c>
      <c r="O6">
        <f t="shared" si="1"/>
        <v>53991.351243567471</v>
      </c>
      <c r="P6">
        <f t="shared" si="2"/>
        <v>40.172136341940089</v>
      </c>
      <c r="Q6">
        <f t="shared" si="3"/>
        <v>3.1136419567521019</v>
      </c>
      <c r="R6">
        <f t="shared" si="4"/>
        <v>38.392857142857146</v>
      </c>
      <c r="S6">
        <f>Q6+R6</f>
        <v>41.50649909960925</v>
      </c>
      <c r="U6" s="7">
        <f t="shared" si="6"/>
        <v>8.6370093135171189</v>
      </c>
      <c r="V6">
        <f t="shared" si="7"/>
        <v>1.3762297448844292</v>
      </c>
      <c r="W6">
        <f t="shared" si="8"/>
        <v>7.5250000000000012</v>
      </c>
      <c r="X6" s="6">
        <f t="shared" si="9"/>
        <v>8.9012297448844304</v>
      </c>
      <c r="Z6" s="7">
        <f t="shared" si="10"/>
        <v>31.53512702842297</v>
      </c>
      <c r="AA6">
        <f t="shared" si="11"/>
        <v>1.7374122118676727</v>
      </c>
      <c r="AB6">
        <f t="shared" si="12"/>
        <v>30.867857142857147</v>
      </c>
      <c r="AC6" s="6">
        <f t="shared" si="13"/>
        <v>32.605269354724818</v>
      </c>
      <c r="AE6" s="8">
        <f t="shared" si="14"/>
        <v>0.15934100507806537</v>
      </c>
      <c r="AF6" s="8">
        <f t="shared" si="15"/>
        <v>0.9788404249976731</v>
      </c>
    </row>
    <row r="7" spans="1:32" x14ac:dyDescent="0.3">
      <c r="A7">
        <v>50</v>
      </c>
      <c r="B7">
        <v>74</v>
      </c>
      <c r="C7">
        <f t="shared" ref="C7:C22" si="17">B7*$G$45</f>
        <v>21017.796646287839</v>
      </c>
      <c r="D7">
        <v>0</v>
      </c>
      <c r="E7">
        <v>73</v>
      </c>
      <c r="F7">
        <f t="shared" si="0"/>
        <v>3133.1860478037142</v>
      </c>
      <c r="G7">
        <v>42</v>
      </c>
      <c r="H7">
        <v>49</v>
      </c>
      <c r="I7">
        <v>107</v>
      </c>
      <c r="J7">
        <f t="shared" ref="J7:J22" si="18">I7*400</f>
        <v>42800</v>
      </c>
      <c r="K7">
        <v>19.8</v>
      </c>
      <c r="L7" t="s">
        <v>16</v>
      </c>
      <c r="M7">
        <f t="shared" si="16"/>
        <v>13.660216580500139</v>
      </c>
      <c r="O7">
        <f t="shared" si="1"/>
        <v>43854.938408488684</v>
      </c>
      <c r="P7">
        <f t="shared" si="2"/>
        <v>32.63016250631599</v>
      </c>
      <c r="Q7">
        <f t="shared" si="3"/>
        <v>2.3312396189015732</v>
      </c>
      <c r="R7">
        <f t="shared" si="4"/>
        <v>31.845238095238095</v>
      </c>
      <c r="S7">
        <f t="shared" si="5"/>
        <v>34.176477714139665</v>
      </c>
      <c r="U7" s="7">
        <f t="shared" si="6"/>
        <v>7.0154849388579388</v>
      </c>
      <c r="V7">
        <f t="shared" si="7"/>
        <v>0.97912063993866072</v>
      </c>
      <c r="W7">
        <f t="shared" si="8"/>
        <v>6.3053571428571429</v>
      </c>
      <c r="X7" s="6">
        <f t="shared" si="9"/>
        <v>7.284477782795804</v>
      </c>
      <c r="Z7" s="7">
        <f t="shared" si="10"/>
        <v>25.614677567458052</v>
      </c>
      <c r="AA7">
        <f t="shared" si="11"/>
        <v>1.3521189789629124</v>
      </c>
      <c r="AB7">
        <f t="shared" si="12"/>
        <v>25.539880952380955</v>
      </c>
      <c r="AC7" s="6">
        <f t="shared" si="13"/>
        <v>26.891999931343868</v>
      </c>
      <c r="AE7" s="8">
        <f t="shared" si="14"/>
        <v>0.13956563922123583</v>
      </c>
      <c r="AF7" s="8">
        <f t="shared" si="15"/>
        <v>0.99707993142290718</v>
      </c>
    </row>
    <row r="8" spans="1:32" x14ac:dyDescent="0.3">
      <c r="A8">
        <v>37</v>
      </c>
      <c r="B8">
        <v>66</v>
      </c>
      <c r="C8">
        <f t="shared" si="17"/>
        <v>18745.602414256722</v>
      </c>
      <c r="D8">
        <v>0</v>
      </c>
      <c r="E8">
        <v>51</v>
      </c>
      <c r="F8">
        <f t="shared" si="0"/>
        <v>2188.938197780677</v>
      </c>
      <c r="G8">
        <v>39.299999999999997</v>
      </c>
      <c r="H8">
        <v>35</v>
      </c>
      <c r="I8">
        <v>86</v>
      </c>
      <c r="J8">
        <f t="shared" si="18"/>
        <v>34400</v>
      </c>
      <c r="K8">
        <v>20.2</v>
      </c>
      <c r="L8" t="s">
        <v>15</v>
      </c>
      <c r="M8">
        <f t="shared" si="16"/>
        <v>15.715382021693216</v>
      </c>
      <c r="O8">
        <f t="shared" si="1"/>
        <v>34916.107527427142</v>
      </c>
      <c r="P8">
        <f t="shared" si="2"/>
        <v>25.979246672192815</v>
      </c>
      <c r="Q8">
        <f t="shared" si="3"/>
        <v>1.628674254301099</v>
      </c>
      <c r="R8">
        <f t="shared" si="4"/>
        <v>25.595238095238095</v>
      </c>
      <c r="S8">
        <f t="shared" si="5"/>
        <v>27.223912349539194</v>
      </c>
      <c r="U8" s="7">
        <f t="shared" si="6"/>
        <v>5.5855380345214556</v>
      </c>
      <c r="V8">
        <f t="shared" si="7"/>
        <v>0.64006898194033179</v>
      </c>
      <c r="W8">
        <f t="shared" si="8"/>
        <v>5.1702380952380951</v>
      </c>
      <c r="X8" s="6">
        <f t="shared" si="9"/>
        <v>5.8103070771784271</v>
      </c>
      <c r="Z8" s="7">
        <f t="shared" si="10"/>
        <v>20.393708637671359</v>
      </c>
      <c r="AA8">
        <f t="shared" si="11"/>
        <v>0.98860527236076712</v>
      </c>
      <c r="AB8">
        <f t="shared" si="12"/>
        <v>20.425000000000001</v>
      </c>
      <c r="AC8" s="6">
        <f t="shared" si="13"/>
        <v>21.413605272360769</v>
      </c>
      <c r="AE8" s="8">
        <f t="shared" si="14"/>
        <v>0.11459397071228969</v>
      </c>
      <c r="AF8" s="8">
        <f t="shared" si="15"/>
        <v>1.0015343635081086</v>
      </c>
    </row>
    <row r="9" spans="1:32" x14ac:dyDescent="0.3">
      <c r="A9">
        <v>23</v>
      </c>
      <c r="B9">
        <v>57</v>
      </c>
      <c r="C9">
        <f t="shared" si="17"/>
        <v>16189.383903221715</v>
      </c>
      <c r="D9">
        <v>0</v>
      </c>
      <c r="E9">
        <v>31</v>
      </c>
      <c r="F9">
        <f t="shared" si="0"/>
        <v>1330.5310613960978</v>
      </c>
      <c r="G9">
        <v>35.6</v>
      </c>
      <c r="H9">
        <v>22</v>
      </c>
      <c r="I9">
        <v>63</v>
      </c>
      <c r="J9">
        <f t="shared" si="18"/>
        <v>25200</v>
      </c>
      <c r="K9">
        <v>20.9</v>
      </c>
      <c r="L9" t="s">
        <v>32</v>
      </c>
      <c r="M9">
        <f t="shared" si="16"/>
        <v>18.939805864853827</v>
      </c>
      <c r="O9">
        <f t="shared" si="1"/>
        <v>25684.582835848647</v>
      </c>
      <c r="P9">
        <f t="shared" si="2"/>
        <v>19.11055270524453</v>
      </c>
      <c r="Q9">
        <f t="shared" si="3"/>
        <v>0.98997846830066805</v>
      </c>
      <c r="R9">
        <f t="shared" si="4"/>
        <v>18.75</v>
      </c>
      <c r="S9">
        <f t="shared" si="5"/>
        <v>19.739978468300666</v>
      </c>
      <c r="U9" s="7">
        <f t="shared" si="6"/>
        <v>4.1087688316275743</v>
      </c>
      <c r="V9">
        <f t="shared" si="7"/>
        <v>0.35243233471503788</v>
      </c>
      <c r="W9">
        <f t="shared" si="8"/>
        <v>3.9187499999999997</v>
      </c>
      <c r="X9" s="6">
        <f t="shared" si="9"/>
        <v>4.2711823347150375</v>
      </c>
      <c r="Z9" s="7">
        <f t="shared" si="10"/>
        <v>15.001783873616954</v>
      </c>
      <c r="AA9">
        <f t="shared" si="11"/>
        <v>0.63754613358563028</v>
      </c>
      <c r="AB9">
        <f t="shared" si="12"/>
        <v>14.831250000000001</v>
      </c>
      <c r="AC9" s="6">
        <f t="shared" si="13"/>
        <v>15.468796133585631</v>
      </c>
      <c r="AE9" s="8">
        <f t="shared" si="14"/>
        <v>8.5775654254910128E-2</v>
      </c>
      <c r="AF9" s="8">
        <f t="shared" si="15"/>
        <v>0.98863242697977638</v>
      </c>
    </row>
    <row r="10" spans="1:32" x14ac:dyDescent="0.3">
      <c r="A10">
        <v>83</v>
      </c>
      <c r="B10">
        <v>85</v>
      </c>
      <c r="C10">
        <f t="shared" si="17"/>
        <v>24142.063715330627</v>
      </c>
      <c r="D10">
        <v>0</v>
      </c>
      <c r="E10">
        <v>130</v>
      </c>
      <c r="F10">
        <f t="shared" si="0"/>
        <v>5579.646386499765</v>
      </c>
      <c r="G10">
        <v>47.3</v>
      </c>
      <c r="H10">
        <v>81</v>
      </c>
      <c r="I10">
        <v>140</v>
      </c>
      <c r="J10">
        <f t="shared" si="18"/>
        <v>56000</v>
      </c>
      <c r="K10">
        <v>19.2</v>
      </c>
      <c r="L10" t="s">
        <v>33</v>
      </c>
      <c r="M10">
        <f t="shared" si="16"/>
        <v>10.036478321546472</v>
      </c>
      <c r="O10">
        <f t="shared" si="1"/>
        <v>62015.691629724948</v>
      </c>
      <c r="P10">
        <f t="shared" si="2"/>
        <v>46.142627700688216</v>
      </c>
      <c r="Q10">
        <f t="shared" si="3"/>
        <v>4.1515226090028019</v>
      </c>
      <c r="R10">
        <f t="shared" si="4"/>
        <v>41.666666666666664</v>
      </c>
      <c r="S10">
        <f t="shared" si="5"/>
        <v>45.818189275669468</v>
      </c>
      <c r="U10" s="7">
        <f t="shared" si="6"/>
        <v>9.9206649556479665</v>
      </c>
      <c r="V10">
        <f t="shared" si="7"/>
        <v>1.963670194058325</v>
      </c>
      <c r="W10">
        <f t="shared" si="8"/>
        <v>8</v>
      </c>
      <c r="X10" s="6">
        <f t="shared" si="9"/>
        <v>9.9636701940583254</v>
      </c>
      <c r="Z10" s="7">
        <f t="shared" si="10"/>
        <v>36.221962745040251</v>
      </c>
      <c r="AA10">
        <f t="shared" si="11"/>
        <v>2.1878524149444769</v>
      </c>
      <c r="AB10">
        <f t="shared" si="12"/>
        <v>33.666666666666664</v>
      </c>
      <c r="AC10" s="6">
        <f t="shared" si="13"/>
        <v>35.854519081611144</v>
      </c>
      <c r="AE10" s="8">
        <f t="shared" si="14"/>
        <v>0.19793735629993042</v>
      </c>
      <c r="AF10" s="8">
        <f t="shared" si="15"/>
        <v>0.92945451088998554</v>
      </c>
    </row>
    <row r="11" spans="1:32" x14ac:dyDescent="0.3">
      <c r="B11" t="s">
        <v>36</v>
      </c>
      <c r="F11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U11" s="7">
        <f t="shared" si="6"/>
        <v>0</v>
      </c>
      <c r="V11">
        <f t="shared" si="7"/>
        <v>0</v>
      </c>
      <c r="W11">
        <f t="shared" si="8"/>
        <v>0</v>
      </c>
      <c r="X11" s="6">
        <f t="shared" si="9"/>
        <v>0</v>
      </c>
      <c r="Z11" s="7">
        <f t="shared" si="10"/>
        <v>0</v>
      </c>
      <c r="AA11">
        <f t="shared" si="11"/>
        <v>0</v>
      </c>
      <c r="AB11">
        <f t="shared" si="12"/>
        <v>0</v>
      </c>
      <c r="AC11" s="6">
        <f t="shared" si="13"/>
        <v>0</v>
      </c>
      <c r="AE11" s="8" t="e">
        <f t="shared" si="14"/>
        <v>#DIV/0!</v>
      </c>
      <c r="AF11" s="8" t="e">
        <f t="shared" si="15"/>
        <v>#DIV/0!</v>
      </c>
    </row>
    <row r="12" spans="1:32" x14ac:dyDescent="0.3">
      <c r="A12">
        <v>64</v>
      </c>
      <c r="B12">
        <v>94</v>
      </c>
      <c r="C12">
        <f t="shared" si="17"/>
        <v>26698.282226365634</v>
      </c>
      <c r="D12">
        <v>0</v>
      </c>
      <c r="E12">
        <v>95</v>
      </c>
      <c r="F12">
        <f t="shared" si="0"/>
        <v>4077.4338978267515</v>
      </c>
      <c r="G12">
        <v>44.6</v>
      </c>
      <c r="H12">
        <v>61.5</v>
      </c>
      <c r="I12">
        <v>145</v>
      </c>
      <c r="J12">
        <f t="shared" si="18"/>
        <v>58000</v>
      </c>
      <c r="K12">
        <v>20</v>
      </c>
      <c r="L12" t="s">
        <v>18</v>
      </c>
      <c r="M12">
        <f t="shared" si="16"/>
        <v>14.224632809109098</v>
      </c>
      <c r="O12">
        <f t="shared" si="1"/>
        <v>61499.552213079369</v>
      </c>
      <c r="P12">
        <f t="shared" si="2"/>
        <v>45.758595396636444</v>
      </c>
      <c r="Q12">
        <f t="shared" si="3"/>
        <v>3.0338049835020473</v>
      </c>
      <c r="R12">
        <f t="shared" si="4"/>
        <v>43.154761904761912</v>
      </c>
      <c r="S12">
        <f t="shared" si="5"/>
        <v>46.188566888263956</v>
      </c>
      <c r="U12" s="7">
        <f t="shared" si="6"/>
        <v>9.8380980102768358</v>
      </c>
      <c r="V12">
        <f t="shared" si="7"/>
        <v>1.3530770226419131</v>
      </c>
      <c r="W12">
        <f t="shared" si="8"/>
        <v>8.6309523809523832</v>
      </c>
      <c r="X12" s="6">
        <f t="shared" si="9"/>
        <v>9.9840294035942954</v>
      </c>
      <c r="Z12" s="7">
        <f t="shared" si="10"/>
        <v>35.920497386359607</v>
      </c>
      <c r="AA12">
        <f t="shared" si="11"/>
        <v>1.680727960860134</v>
      </c>
      <c r="AB12">
        <f t="shared" si="12"/>
        <v>34.523809523809533</v>
      </c>
      <c r="AC12" s="6">
        <f t="shared" si="13"/>
        <v>36.204537484669665</v>
      </c>
      <c r="AE12" s="8">
        <f t="shared" si="14"/>
        <v>0.13753441175606246</v>
      </c>
      <c r="AF12" s="8">
        <f t="shared" si="15"/>
        <v>0.96111724602453719</v>
      </c>
    </row>
    <row r="13" spans="1:32" x14ac:dyDescent="0.3">
      <c r="A13">
        <v>50</v>
      </c>
      <c r="B13">
        <v>89</v>
      </c>
      <c r="C13">
        <f t="shared" si="17"/>
        <v>25278.160831346184</v>
      </c>
      <c r="D13">
        <v>0</v>
      </c>
      <c r="E13">
        <v>72</v>
      </c>
      <c r="F13">
        <f t="shared" si="0"/>
        <v>3090.2656909844854</v>
      </c>
      <c r="G13">
        <v>42.5</v>
      </c>
      <c r="H13">
        <v>48</v>
      </c>
      <c r="I13">
        <v>122</v>
      </c>
      <c r="J13">
        <f t="shared" si="18"/>
        <v>48800</v>
      </c>
      <c r="K13">
        <v>20.2</v>
      </c>
      <c r="L13" t="s">
        <v>16</v>
      </c>
      <c r="M13">
        <f t="shared" si="16"/>
        <v>15.791522438464984</v>
      </c>
      <c r="O13">
        <f t="shared" si="1"/>
        <v>52744.452950749903</v>
      </c>
      <c r="P13">
        <f t="shared" si="2"/>
        <v>39.244384635974633</v>
      </c>
      <c r="Q13">
        <f t="shared" si="3"/>
        <v>2.2993048296015517</v>
      </c>
      <c r="R13">
        <f t="shared" si="4"/>
        <v>36.309523809523817</v>
      </c>
      <c r="S13">
        <f t="shared" si="5"/>
        <v>38.60882863912537</v>
      </c>
      <c r="U13" s="7">
        <f t="shared" si="6"/>
        <v>8.4375426967345462</v>
      </c>
      <c r="V13">
        <f t="shared" si="7"/>
        <v>0.97720455258065952</v>
      </c>
      <c r="W13">
        <f t="shared" si="8"/>
        <v>7.3345238095238106</v>
      </c>
      <c r="X13" s="6">
        <f t="shared" si="9"/>
        <v>8.3117283621044695</v>
      </c>
      <c r="Z13" s="7">
        <f t="shared" si="10"/>
        <v>30.806841939240091</v>
      </c>
      <c r="AA13">
        <f t="shared" si="11"/>
        <v>1.3221002770208921</v>
      </c>
      <c r="AB13">
        <f t="shared" si="12"/>
        <v>28.975000000000005</v>
      </c>
      <c r="AC13" s="6">
        <f t="shared" si="13"/>
        <v>30.297100277020895</v>
      </c>
      <c r="AE13" s="8">
        <f t="shared" si="14"/>
        <v>0.11581624979022058</v>
      </c>
      <c r="AF13" s="8">
        <f t="shared" si="15"/>
        <v>0.94053782134329111</v>
      </c>
    </row>
    <row r="14" spans="1:32" x14ac:dyDescent="0.3">
      <c r="A14">
        <v>36</v>
      </c>
      <c r="B14">
        <v>78</v>
      </c>
      <c r="C14">
        <f t="shared" si="17"/>
        <v>22153.893762303396</v>
      </c>
      <c r="D14">
        <v>0</v>
      </c>
      <c r="E14">
        <v>50.5</v>
      </c>
      <c r="F14">
        <f t="shared" si="0"/>
        <v>2167.4780193710626</v>
      </c>
      <c r="G14">
        <v>39.700000000000003</v>
      </c>
      <c r="H14">
        <v>35</v>
      </c>
      <c r="I14">
        <v>99</v>
      </c>
      <c r="J14">
        <f t="shared" si="18"/>
        <v>39600</v>
      </c>
      <c r="K14">
        <v>20.5</v>
      </c>
      <c r="L14" t="s">
        <v>15</v>
      </c>
      <c r="M14">
        <f t="shared" si="16"/>
        <v>18.270081470764229</v>
      </c>
      <c r="O14">
        <f t="shared" si="1"/>
        <v>40857.934092880678</v>
      </c>
      <c r="P14">
        <f t="shared" si="2"/>
        <v>30.400248581012413</v>
      </c>
      <c r="Q14">
        <f t="shared" ref="Q14:Q22" si="19">F14/22.4*(1/1000)*(1000)*1/60</f>
        <v>1.6127068596510883</v>
      </c>
      <c r="R14">
        <f t="shared" ref="R14:R22" si="20">J14/22.4*(1/1000)*(1000)*1/60</f>
        <v>29.464285714285719</v>
      </c>
      <c r="S14">
        <f t="shared" ref="S14:S22" si="21">Q14+R14</f>
        <v>31.076992573936806</v>
      </c>
      <c r="U14" s="7">
        <f t="shared" si="6"/>
        <v>6.5360534449176688</v>
      </c>
      <c r="V14">
        <f t="shared" si="7"/>
        <v>0.64024462328148202</v>
      </c>
      <c r="W14">
        <f t="shared" si="8"/>
        <v>6.0401785714285721</v>
      </c>
      <c r="X14" s="6">
        <f t="shared" si="9"/>
        <v>6.6804231947100536</v>
      </c>
      <c r="Z14" s="7">
        <f t="shared" si="10"/>
        <v>23.864195136094747</v>
      </c>
      <c r="AA14">
        <f t="shared" si="11"/>
        <v>0.97246223636960616</v>
      </c>
      <c r="AB14">
        <f t="shared" si="12"/>
        <v>23.424107142857146</v>
      </c>
      <c r="AC14" s="6">
        <f t="shared" si="13"/>
        <v>24.396569379226751</v>
      </c>
      <c r="AE14" s="8">
        <f t="shared" si="14"/>
        <v>9.795584272330668E-2</v>
      </c>
      <c r="AF14" s="8">
        <f t="shared" si="15"/>
        <v>0.98155864923464509</v>
      </c>
    </row>
    <row r="15" spans="1:32" x14ac:dyDescent="0.3">
      <c r="A15">
        <v>22</v>
      </c>
      <c r="B15">
        <v>60.5</v>
      </c>
      <c r="C15">
        <f t="shared" si="17"/>
        <v>17183.468879735326</v>
      </c>
      <c r="D15">
        <v>0</v>
      </c>
      <c r="E15">
        <v>29.5</v>
      </c>
      <c r="F15">
        <f t="shared" si="0"/>
        <v>1266.1505261672544</v>
      </c>
      <c r="G15">
        <v>35.5</v>
      </c>
      <c r="H15">
        <v>20</v>
      </c>
      <c r="I15">
        <v>71</v>
      </c>
      <c r="J15">
        <f t="shared" si="18"/>
        <v>28400</v>
      </c>
      <c r="K15">
        <v>21</v>
      </c>
      <c r="L15" t="s">
        <v>32</v>
      </c>
      <c r="M15">
        <f t="shared" si="16"/>
        <v>22.430192471640179</v>
      </c>
      <c r="O15">
        <f t="shared" si="1"/>
        <v>26890.781490340185</v>
      </c>
      <c r="P15">
        <f t="shared" si="2"/>
        <v>20.0080219422174</v>
      </c>
      <c r="Q15">
        <f t="shared" si="19"/>
        <v>0.94207628435063573</v>
      </c>
      <c r="R15">
        <f t="shared" si="20"/>
        <v>21.130952380952387</v>
      </c>
      <c r="S15">
        <f t="shared" si="21"/>
        <v>22.073028665303024</v>
      </c>
      <c r="U15" s="7">
        <f t="shared" si="6"/>
        <v>4.3017247175767412</v>
      </c>
      <c r="V15">
        <f t="shared" si="7"/>
        <v>0.33443708094447566</v>
      </c>
      <c r="W15">
        <f t="shared" si="8"/>
        <v>4.4375000000000009</v>
      </c>
      <c r="X15" s="6">
        <f t="shared" si="9"/>
        <v>4.7719370809444763</v>
      </c>
      <c r="Z15" s="7">
        <f t="shared" si="10"/>
        <v>15.706297224640659</v>
      </c>
      <c r="AA15">
        <f t="shared" si="11"/>
        <v>0.60763920340616007</v>
      </c>
      <c r="AB15">
        <f t="shared" si="12"/>
        <v>16.693452380952387</v>
      </c>
      <c r="AC15" s="6">
        <f t="shared" si="13"/>
        <v>17.301091584358545</v>
      </c>
      <c r="AE15" s="8">
        <f t="shared" si="14"/>
        <v>7.7744882088334008E-2</v>
      </c>
      <c r="AF15" s="8">
        <f t="shared" si="15"/>
        <v>1.0628509152853061</v>
      </c>
    </row>
    <row r="16" spans="1:32" x14ac:dyDescent="0.3">
      <c r="A16">
        <v>81</v>
      </c>
      <c r="B16">
        <v>90</v>
      </c>
      <c r="C16">
        <f t="shared" si="17"/>
        <v>25562.185110350074</v>
      </c>
      <c r="E16">
        <v>129</v>
      </c>
      <c r="F16">
        <f t="shared" si="0"/>
        <v>5536.7260296805362</v>
      </c>
      <c r="G16">
        <v>47</v>
      </c>
      <c r="H16">
        <v>80</v>
      </c>
      <c r="I16">
        <v>144</v>
      </c>
      <c r="J16">
        <f t="shared" si="18"/>
        <v>57600</v>
      </c>
      <c r="K16">
        <v>19.2</v>
      </c>
      <c r="L16" t="s">
        <v>33</v>
      </c>
      <c r="M16">
        <f t="shared" si="16"/>
        <v>10.403259921337208</v>
      </c>
      <c r="O16">
        <f t="shared" si="1"/>
        <v>64983.202551456518</v>
      </c>
      <c r="P16">
        <f t="shared" si="2"/>
        <v>48.35059713650039</v>
      </c>
      <c r="Q16">
        <f t="shared" si="19"/>
        <v>4.1195878197027804</v>
      </c>
      <c r="R16">
        <f t="shared" si="20"/>
        <v>42.857142857142861</v>
      </c>
      <c r="S16">
        <f t="shared" si="21"/>
        <v>46.976730676845641</v>
      </c>
      <c r="U16" s="7">
        <f t="shared" si="6"/>
        <v>10.395378384347584</v>
      </c>
      <c r="V16">
        <f t="shared" si="7"/>
        <v>1.9362062752603069</v>
      </c>
      <c r="W16">
        <f t="shared" si="8"/>
        <v>8.2285714285714295</v>
      </c>
      <c r="X16" s="6">
        <f t="shared" si="9"/>
        <v>10.164777703831737</v>
      </c>
      <c r="Z16" s="7">
        <f t="shared" si="10"/>
        <v>37.955218752152803</v>
      </c>
      <c r="AA16">
        <f t="shared" si="11"/>
        <v>2.1833815444424736</v>
      </c>
      <c r="AB16">
        <f t="shared" si="12"/>
        <v>34.628571428571433</v>
      </c>
      <c r="AC16" s="6">
        <f t="shared" si="13"/>
        <v>36.811952973013909</v>
      </c>
      <c r="AE16" s="8">
        <f t="shared" si="14"/>
        <v>0.18625645009475272</v>
      </c>
      <c r="AF16" s="8">
        <f t="shared" si="15"/>
        <v>0.91235336185771077</v>
      </c>
    </row>
    <row r="17" spans="1:32" x14ac:dyDescent="0.3">
      <c r="B17" t="s">
        <v>36</v>
      </c>
      <c r="F17">
        <f t="shared" si="0"/>
        <v>0</v>
      </c>
      <c r="O17">
        <f t="shared" si="1"/>
        <v>0</v>
      </c>
      <c r="P17">
        <f t="shared" si="2"/>
        <v>0</v>
      </c>
      <c r="Q17">
        <f t="shared" si="19"/>
        <v>0</v>
      </c>
      <c r="R17">
        <f t="shared" si="20"/>
        <v>0</v>
      </c>
      <c r="S17">
        <f t="shared" si="21"/>
        <v>0</v>
      </c>
      <c r="U17" s="7">
        <f t="shared" si="6"/>
        <v>0</v>
      </c>
      <c r="V17">
        <f t="shared" si="7"/>
        <v>0</v>
      </c>
      <c r="W17">
        <f t="shared" si="8"/>
        <v>0</v>
      </c>
      <c r="X17" s="6">
        <f t="shared" si="9"/>
        <v>0</v>
      </c>
      <c r="Z17" s="7">
        <f t="shared" si="10"/>
        <v>0</v>
      </c>
      <c r="AA17">
        <f t="shared" si="11"/>
        <v>0</v>
      </c>
      <c r="AB17">
        <f t="shared" si="12"/>
        <v>0</v>
      </c>
      <c r="AC17" s="6">
        <f t="shared" si="13"/>
        <v>0</v>
      </c>
      <c r="AE17" s="8" t="e">
        <f t="shared" si="14"/>
        <v>#DIV/0!</v>
      </c>
      <c r="AF17" s="8" t="e">
        <f t="shared" si="15"/>
        <v>#DIV/0!</v>
      </c>
    </row>
    <row r="18" spans="1:32" x14ac:dyDescent="0.3">
      <c r="A18">
        <v>65</v>
      </c>
      <c r="B18">
        <v>82.5</v>
      </c>
      <c r="C18">
        <f t="shared" si="17"/>
        <v>23432.003017820902</v>
      </c>
      <c r="D18">
        <v>0</v>
      </c>
      <c r="E18">
        <v>96</v>
      </c>
      <c r="F18">
        <f t="shared" si="0"/>
        <v>4120.3542546459803</v>
      </c>
      <c r="G18">
        <v>44.3</v>
      </c>
      <c r="H18">
        <v>63</v>
      </c>
      <c r="I18">
        <v>122</v>
      </c>
      <c r="J18">
        <f t="shared" si="18"/>
        <v>48800</v>
      </c>
      <c r="K18">
        <v>19.3</v>
      </c>
      <c r="L18" t="s">
        <v>18</v>
      </c>
      <c r="M18">
        <f t="shared" si="16"/>
        <v>11.843641828848739</v>
      </c>
      <c r="O18">
        <f t="shared" si="1"/>
        <v>54320.56679993069</v>
      </c>
      <c r="P18">
        <f t="shared" si="2"/>
        <v>40.417088392805574</v>
      </c>
      <c r="Q18">
        <f t="shared" si="19"/>
        <v>3.0657397728020688</v>
      </c>
      <c r="R18">
        <f t="shared" si="20"/>
        <v>36.309523809523817</v>
      </c>
      <c r="S18">
        <f t="shared" si="21"/>
        <v>39.375263582325886</v>
      </c>
      <c r="U18" s="7">
        <f t="shared" si="6"/>
        <v>8.6896740044531988</v>
      </c>
      <c r="V18">
        <f t="shared" si="7"/>
        <v>1.3581227193513163</v>
      </c>
      <c r="W18">
        <f t="shared" si="8"/>
        <v>7.0077380952380972</v>
      </c>
      <c r="X18" s="6">
        <f t="shared" si="9"/>
        <v>8.3658608145894142</v>
      </c>
      <c r="Z18" s="7">
        <f t="shared" si="10"/>
        <v>31.727414388352376</v>
      </c>
      <c r="AA18">
        <f t="shared" si="11"/>
        <v>1.7076170534507524</v>
      </c>
      <c r="AB18">
        <f t="shared" si="12"/>
        <v>29.301785714285721</v>
      </c>
      <c r="AC18" s="6">
        <f t="shared" si="13"/>
        <v>31.009402767736475</v>
      </c>
      <c r="AE18" s="8">
        <f t="shared" si="14"/>
        <v>0.15629156153099863</v>
      </c>
      <c r="AF18" s="8">
        <f t="shared" si="15"/>
        <v>0.92354786165754688</v>
      </c>
    </row>
    <row r="19" spans="1:32" x14ac:dyDescent="0.3">
      <c r="A19">
        <v>52</v>
      </c>
      <c r="B19">
        <v>76</v>
      </c>
      <c r="C19">
        <f t="shared" si="17"/>
        <v>21585.84520429562</v>
      </c>
      <c r="D19">
        <v>0</v>
      </c>
      <c r="E19">
        <v>77</v>
      </c>
      <c r="F19">
        <f t="shared" si="0"/>
        <v>3304.8674750806304</v>
      </c>
      <c r="G19">
        <v>42.4</v>
      </c>
      <c r="H19">
        <v>50</v>
      </c>
      <c r="I19">
        <v>105</v>
      </c>
      <c r="J19">
        <f t="shared" si="18"/>
        <v>42000</v>
      </c>
      <c r="K19">
        <v>19.7</v>
      </c>
      <c r="L19" t="s">
        <v>16</v>
      </c>
      <c r="M19">
        <f t="shared" si="16"/>
        <v>12.708527744815337</v>
      </c>
      <c r="O19">
        <f t="shared" si="1"/>
        <v>45738.546441936669</v>
      </c>
      <c r="P19">
        <f t="shared" si="2"/>
        <v>34.031656578821931</v>
      </c>
      <c r="Q19">
        <f t="shared" si="19"/>
        <v>2.4589787761016595</v>
      </c>
      <c r="R19">
        <f t="shared" si="20"/>
        <v>31.250000000000004</v>
      </c>
      <c r="S19">
        <f t="shared" si="21"/>
        <v>33.708978776101659</v>
      </c>
      <c r="U19" s="7">
        <f t="shared" si="6"/>
        <v>7.3168061644467146</v>
      </c>
      <c r="V19">
        <f t="shared" si="7"/>
        <v>1.0426070010671036</v>
      </c>
      <c r="W19">
        <f t="shared" si="8"/>
        <v>6.15625</v>
      </c>
      <c r="X19" s="6">
        <f t="shared" si="9"/>
        <v>7.198857001067104</v>
      </c>
      <c r="Z19" s="7">
        <f t="shared" si="10"/>
        <v>26.714850414375213</v>
      </c>
      <c r="AA19">
        <f t="shared" si="11"/>
        <v>1.4163717750345561</v>
      </c>
      <c r="AB19">
        <f t="shared" si="12"/>
        <v>25.09375</v>
      </c>
      <c r="AC19" s="6">
        <f t="shared" si="13"/>
        <v>26.510121775034555</v>
      </c>
      <c r="AE19" s="8">
        <f t="shared" si="14"/>
        <v>0.14249482323766655</v>
      </c>
      <c r="AF19" s="8">
        <f t="shared" si="15"/>
        <v>0.93931837950689401</v>
      </c>
    </row>
    <row r="20" spans="1:32" x14ac:dyDescent="0.3">
      <c r="A20">
        <v>37</v>
      </c>
      <c r="B20">
        <v>66</v>
      </c>
      <c r="C20">
        <f t="shared" si="17"/>
        <v>18745.602414256722</v>
      </c>
      <c r="D20">
        <v>0</v>
      </c>
      <c r="E20">
        <v>51</v>
      </c>
      <c r="F20">
        <f t="shared" si="0"/>
        <v>2188.938197780677</v>
      </c>
      <c r="G20">
        <v>39.5</v>
      </c>
      <c r="H20">
        <v>35</v>
      </c>
      <c r="I20">
        <v>82</v>
      </c>
      <c r="J20">
        <f t="shared" si="18"/>
        <v>32800</v>
      </c>
      <c r="K20">
        <v>20.2</v>
      </c>
      <c r="L20" t="s">
        <v>15</v>
      </c>
      <c r="M20">
        <f t="shared" si="16"/>
        <v>14.98443402068423</v>
      </c>
      <c r="O20">
        <f t="shared" si="1"/>
        <v>34916.107527427142</v>
      </c>
      <c r="P20">
        <f t="shared" si="2"/>
        <v>25.979246672192815</v>
      </c>
      <c r="Q20">
        <f t="shared" si="19"/>
        <v>1.628674254301099</v>
      </c>
      <c r="R20">
        <f t="shared" si="20"/>
        <v>24.404761904761909</v>
      </c>
      <c r="S20">
        <f t="shared" si="21"/>
        <v>26.033436159063008</v>
      </c>
      <c r="U20" s="7">
        <f t="shared" si="6"/>
        <v>5.5855380345214556</v>
      </c>
      <c r="V20">
        <f t="shared" si="7"/>
        <v>0.64332633044893417</v>
      </c>
      <c r="W20">
        <f t="shared" si="8"/>
        <v>4.9297619047619055</v>
      </c>
      <c r="X20" s="6">
        <f t="shared" si="9"/>
        <v>5.5730882352108395</v>
      </c>
      <c r="Z20" s="7">
        <f t="shared" si="10"/>
        <v>20.393708637671359</v>
      </c>
      <c r="AA20">
        <f t="shared" si="11"/>
        <v>0.98534792385216485</v>
      </c>
      <c r="AB20">
        <f t="shared" si="12"/>
        <v>19.475000000000001</v>
      </c>
      <c r="AC20" s="6">
        <f t="shared" si="13"/>
        <v>20.460347923852165</v>
      </c>
      <c r="AE20" s="8">
        <f t="shared" si="14"/>
        <v>0.11517714613576194</v>
      </c>
      <c r="AF20" s="8">
        <f t="shared" si="15"/>
        <v>0.9549513698565687</v>
      </c>
    </row>
    <row r="21" spans="1:32" x14ac:dyDescent="0.3">
      <c r="A21">
        <v>22</v>
      </c>
      <c r="B21">
        <v>54</v>
      </c>
      <c r="C21">
        <f t="shared" si="17"/>
        <v>15337.311066210044</v>
      </c>
      <c r="D21">
        <v>0</v>
      </c>
      <c r="E21">
        <v>29.2</v>
      </c>
      <c r="F21">
        <f t="shared" si="0"/>
        <v>1253.2744191214856</v>
      </c>
      <c r="G21">
        <v>35.299999999999997</v>
      </c>
      <c r="H21">
        <v>20</v>
      </c>
      <c r="I21">
        <v>59.5</v>
      </c>
      <c r="J21">
        <f t="shared" si="18"/>
        <v>23800</v>
      </c>
      <c r="K21">
        <v>20.9</v>
      </c>
      <c r="L21" t="s">
        <v>32</v>
      </c>
      <c r="M21">
        <f t="shared" si="16"/>
        <v>18.990254358405569</v>
      </c>
      <c r="O21">
        <f t="shared" si="1"/>
        <v>24001.689264105291</v>
      </c>
      <c r="P21">
        <f t="shared" si="2"/>
        <v>17.858399750078341</v>
      </c>
      <c r="Q21">
        <f t="shared" si="19"/>
        <v>0.9324958475606292</v>
      </c>
      <c r="R21">
        <f t="shared" si="20"/>
        <v>17.708333333333332</v>
      </c>
      <c r="S21">
        <f t="shared" si="21"/>
        <v>18.640829180893963</v>
      </c>
      <c r="U21" s="7">
        <f t="shared" si="6"/>
        <v>3.8395559462668434</v>
      </c>
      <c r="V21">
        <f t="shared" si="7"/>
        <v>0.32917103418890209</v>
      </c>
      <c r="W21">
        <f t="shared" si="8"/>
        <v>3.7010416666666663</v>
      </c>
      <c r="X21" s="6">
        <f t="shared" si="9"/>
        <v>4.0302127008555688</v>
      </c>
      <c r="Z21" s="7">
        <f t="shared" si="10"/>
        <v>14.0188438038115</v>
      </c>
      <c r="AA21">
        <f t="shared" si="11"/>
        <v>0.60332481337172716</v>
      </c>
      <c r="AB21">
        <f t="shared" si="12"/>
        <v>14.007291666666665</v>
      </c>
      <c r="AC21" s="6">
        <f t="shared" si="13"/>
        <v>14.610616480038393</v>
      </c>
      <c r="AE21" s="8">
        <f t="shared" si="14"/>
        <v>8.5731537395346807E-2</v>
      </c>
      <c r="AF21" s="8">
        <f t="shared" si="15"/>
        <v>0.99917595649780377</v>
      </c>
    </row>
    <row r="22" spans="1:32" x14ac:dyDescent="0.3">
      <c r="A22">
        <v>82</v>
      </c>
      <c r="B22">
        <v>92</v>
      </c>
      <c r="C22">
        <f t="shared" si="17"/>
        <v>26130.233668357854</v>
      </c>
      <c r="D22">
        <v>0</v>
      </c>
      <c r="E22">
        <v>128</v>
      </c>
      <c r="F22">
        <f t="shared" si="0"/>
        <v>5493.8056728613074</v>
      </c>
      <c r="G22">
        <v>47</v>
      </c>
      <c r="H22">
        <v>80</v>
      </c>
      <c r="I22">
        <v>145</v>
      </c>
      <c r="J22">
        <f t="shared" si="18"/>
        <v>58000</v>
      </c>
      <c r="K22">
        <v>19.2</v>
      </c>
      <c r="L22" t="s">
        <v>33</v>
      </c>
      <c r="M22">
        <f t="shared" si="16"/>
        <v>10.557344663010658</v>
      </c>
      <c r="O22">
        <f t="shared" si="1"/>
        <v>66775.975714744985</v>
      </c>
      <c r="P22">
        <f t="shared" si="2"/>
        <v>49.684505740137638</v>
      </c>
      <c r="Q22">
        <f t="shared" si="19"/>
        <v>4.087653030402759</v>
      </c>
      <c r="R22">
        <f t="shared" si="20"/>
        <v>43.154761904761912</v>
      </c>
      <c r="S22">
        <f t="shared" si="21"/>
        <v>47.242414935164675</v>
      </c>
      <c r="U22" s="7">
        <f t="shared" si="6"/>
        <v>10.682168734129592</v>
      </c>
      <c r="V22">
        <f t="shared" si="7"/>
        <v>1.9211969242892968</v>
      </c>
      <c r="W22">
        <f t="shared" si="8"/>
        <v>8.2857142857142865</v>
      </c>
      <c r="X22" s="6">
        <f t="shared" si="9"/>
        <v>10.206911210003582</v>
      </c>
      <c r="Z22" s="7">
        <f t="shared" si="10"/>
        <v>39.002337006008048</v>
      </c>
      <c r="AA22">
        <f t="shared" si="11"/>
        <v>2.1664561061134622</v>
      </c>
      <c r="AB22">
        <f t="shared" si="12"/>
        <v>34.86904761904762</v>
      </c>
      <c r="AC22" s="6">
        <f t="shared" si="13"/>
        <v>37.035503725161085</v>
      </c>
      <c r="AE22" s="8">
        <f t="shared" si="14"/>
        <v>0.1798508310537224</v>
      </c>
      <c r="AF22" s="8">
        <f t="shared" si="15"/>
        <v>0.89402457123726398</v>
      </c>
    </row>
    <row r="24" spans="1:32" x14ac:dyDescent="0.3">
      <c r="A24" t="s">
        <v>48</v>
      </c>
      <c r="B24" t="s">
        <v>49</v>
      </c>
      <c r="C24" t="s">
        <v>51</v>
      </c>
      <c r="D24" t="s">
        <v>50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</row>
    <row r="25" spans="1:32" x14ac:dyDescent="0.3">
      <c r="A25">
        <f>$B$1/100-K4/100</f>
        <v>0.11499999999999999</v>
      </c>
      <c r="B25">
        <f>G4/100-$B$1/100</f>
        <v>0.16200000000000001</v>
      </c>
      <c r="C25">
        <f>A25/B25</f>
        <v>0.70987654320987648</v>
      </c>
      <c r="D25">
        <f>E4/I4</f>
        <v>0.64163822525597269</v>
      </c>
      <c r="F25">
        <f t="shared" ref="F25:F42" si="22">J4</f>
        <v>7325</v>
      </c>
      <c r="G25">
        <f t="shared" ref="G25:G42" si="23">E4*$B$46</f>
        <v>4034.5135410075227</v>
      </c>
      <c r="H25">
        <f t="shared" ref="H25:H32" si="24">F25+G25</f>
        <v>11359.513541007524</v>
      </c>
      <c r="I25">
        <f t="shared" ref="I25:I42" si="25">A4+14.7</f>
        <v>82.7</v>
      </c>
      <c r="J25">
        <f>(I25/14.7)^(1/2)*B4</f>
        <v>45.065862610063462</v>
      </c>
    </row>
    <row r="26" spans="1:32" x14ac:dyDescent="0.3">
      <c r="F26">
        <f t="shared" si="22"/>
        <v>0</v>
      </c>
      <c r="G26">
        <f t="shared" si="23"/>
        <v>0</v>
      </c>
      <c r="H26">
        <f t="shared" si="24"/>
        <v>0</v>
      </c>
      <c r="I26">
        <f t="shared" si="25"/>
        <v>14.7</v>
      </c>
      <c r="P26" t="s">
        <v>77</v>
      </c>
      <c r="Q26">
        <v>4.7594567221719828</v>
      </c>
    </row>
    <row r="27" spans="1:32" x14ac:dyDescent="0.3">
      <c r="A27">
        <f>$B$1/100-K6/100</f>
        <v>1.8999999999999989E-2</v>
      </c>
      <c r="B27">
        <f>G6/100-$B$1/100</f>
        <v>0.22700000000000001</v>
      </c>
      <c r="C27">
        <f t="shared" ref="C27:C42" si="26">A27/B27</f>
        <v>8.3700440528634304E-2</v>
      </c>
      <c r="D27">
        <f>E6/I6</f>
        <v>0.7558139534883721</v>
      </c>
      <c r="F27">
        <f t="shared" si="22"/>
        <v>51600</v>
      </c>
      <c r="G27">
        <f t="shared" si="23"/>
        <v>4184.7347898748239</v>
      </c>
      <c r="H27">
        <f t="shared" si="24"/>
        <v>55784.734789874827</v>
      </c>
      <c r="I27">
        <f t="shared" si="25"/>
        <v>79.7</v>
      </c>
      <c r="J27">
        <f>(I27/14.7)^(1/2)*B6</f>
        <v>190.93447250068712</v>
      </c>
    </row>
    <row r="28" spans="1:32" x14ac:dyDescent="0.3">
      <c r="A28">
        <f>$B$1/100-K7/100</f>
        <v>1.6999999999999987E-2</v>
      </c>
      <c r="B28">
        <f>G7/100-$B$1/100</f>
        <v>0.20499999999999999</v>
      </c>
      <c r="C28">
        <f t="shared" si="26"/>
        <v>8.2926829268292632E-2</v>
      </c>
      <c r="D28">
        <f>E7/I7</f>
        <v>0.68224299065420557</v>
      </c>
      <c r="F28">
        <f t="shared" si="22"/>
        <v>42800</v>
      </c>
      <c r="G28">
        <f t="shared" si="23"/>
        <v>3133.1860478037142</v>
      </c>
      <c r="H28">
        <f t="shared" si="24"/>
        <v>45933.186047803712</v>
      </c>
      <c r="I28">
        <f t="shared" si="25"/>
        <v>64.7</v>
      </c>
      <c r="J28">
        <f>(I28/14.7)^(1/2)*B7</f>
        <v>155.24770639251344</v>
      </c>
    </row>
    <row r="29" spans="1:32" x14ac:dyDescent="0.3">
      <c r="A29">
        <f>$B$1/100-K8/100</f>
        <v>1.3000000000000012E-2</v>
      </c>
      <c r="B29">
        <f>G8/100-$B$1/100</f>
        <v>0.17799999999999996</v>
      </c>
      <c r="C29">
        <f t="shared" si="26"/>
        <v>7.3033707865168621E-2</v>
      </c>
      <c r="D29">
        <f>E8/I8</f>
        <v>0.59302325581395354</v>
      </c>
      <c r="F29">
        <f t="shared" si="22"/>
        <v>34400</v>
      </c>
      <c r="G29">
        <f t="shared" si="23"/>
        <v>2188.938197780677</v>
      </c>
      <c r="H29">
        <f t="shared" si="24"/>
        <v>36588.938197780677</v>
      </c>
      <c r="I29">
        <f t="shared" si="25"/>
        <v>51.7</v>
      </c>
      <c r="J29">
        <f>(I29/14.7)^(1/2)*B8</f>
        <v>123.77431733866709</v>
      </c>
      <c r="P29" t="s">
        <v>81</v>
      </c>
      <c r="Q29" t="s">
        <v>79</v>
      </c>
      <c r="R29" t="s">
        <v>82</v>
      </c>
      <c r="S29" t="s">
        <v>83</v>
      </c>
      <c r="T29" t="s">
        <v>84</v>
      </c>
      <c r="U29" t="s">
        <v>85</v>
      </c>
      <c r="V29" t="s">
        <v>86</v>
      </c>
    </row>
    <row r="30" spans="1:32" x14ac:dyDescent="0.3">
      <c r="A30">
        <f>$B$1/100-K9/100</f>
        <v>6.0000000000000053E-3</v>
      </c>
      <c r="B30">
        <f>G9/100-$B$1/100</f>
        <v>0.14100000000000004</v>
      </c>
      <c r="C30">
        <f t="shared" si="26"/>
        <v>4.2553191489361729E-2</v>
      </c>
      <c r="D30">
        <f>E9/I9</f>
        <v>0.49206349206349204</v>
      </c>
      <c r="F30">
        <f t="shared" si="22"/>
        <v>25200</v>
      </c>
      <c r="G30">
        <f t="shared" si="23"/>
        <v>1330.5310613960978</v>
      </c>
      <c r="H30">
        <f t="shared" si="24"/>
        <v>26530.531061396097</v>
      </c>
      <c r="I30">
        <f t="shared" si="25"/>
        <v>37.700000000000003</v>
      </c>
      <c r="J30">
        <f>(I30/14.7)^(1/2)*B9</f>
        <v>91.282360770058432</v>
      </c>
      <c r="P30">
        <f>G4/100</f>
        <v>0.377</v>
      </c>
      <c r="Q30">
        <f>K4/100</f>
        <v>0.1</v>
      </c>
      <c r="R30">
        <f>(A4+14.7)/(14.7)</f>
        <v>5.6258503401360551</v>
      </c>
      <c r="S30">
        <f>$Q$26*((R30*Q30)-P30)</f>
        <v>0.88328393767057067</v>
      </c>
      <c r="T30">
        <f>(R30*(1-Q30)-(1-P30))+S30</f>
        <v>5.3235492437930203</v>
      </c>
      <c r="U30">
        <f>S30/T30</f>
        <v>0.16592012156183839</v>
      </c>
      <c r="V30">
        <f>P30-U30</f>
        <v>0.21107987843816162</v>
      </c>
    </row>
    <row r="31" spans="1:32" x14ac:dyDescent="0.3">
      <c r="A31">
        <f>$B$1/100-K10/100</f>
        <v>2.2999999999999993E-2</v>
      </c>
      <c r="B31">
        <f>G10/100-$B$1/100</f>
        <v>0.25800000000000001</v>
      </c>
      <c r="C31">
        <f t="shared" si="26"/>
        <v>8.914728682170539E-2</v>
      </c>
      <c r="D31">
        <f>E10/I10</f>
        <v>0.9285714285714286</v>
      </c>
      <c r="F31">
        <f t="shared" si="22"/>
        <v>56000</v>
      </c>
      <c r="G31">
        <f t="shared" si="23"/>
        <v>5579.646386499765</v>
      </c>
      <c r="H31">
        <f t="shared" si="24"/>
        <v>61579.646386499764</v>
      </c>
      <c r="I31">
        <f t="shared" si="25"/>
        <v>97.7</v>
      </c>
      <c r="J31">
        <f>(I31/14.7)^(1/2)*B10</f>
        <v>219.13287678272934</v>
      </c>
      <c r="P31">
        <f t="shared" ref="P31:P48" si="27">G5/100</f>
        <v>0</v>
      </c>
      <c r="Q31">
        <f t="shared" ref="Q31:Q48" si="28">K5/100</f>
        <v>0</v>
      </c>
      <c r="R31">
        <f t="shared" ref="R31:R48" si="29">(A5+14.7)/(14.7)</f>
        <v>1</v>
      </c>
      <c r="S31">
        <f t="shared" ref="S31:S48" si="30">$Q$26*((R31*Q31)-P31)</f>
        <v>0</v>
      </c>
      <c r="T31">
        <f t="shared" ref="T31:T48" si="31">(R31*(1-Q31)-(1-P31))+S31</f>
        <v>0</v>
      </c>
      <c r="U31" t="e">
        <f t="shared" ref="U31:U48" si="32">S31/T31</f>
        <v>#DIV/0!</v>
      </c>
    </row>
    <row r="32" spans="1:32" x14ac:dyDescent="0.3">
      <c r="F32">
        <f t="shared" si="22"/>
        <v>0</v>
      </c>
      <c r="G32">
        <f t="shared" si="23"/>
        <v>0</v>
      </c>
      <c r="H32">
        <f t="shared" si="24"/>
        <v>0</v>
      </c>
      <c r="I32">
        <f t="shared" si="25"/>
        <v>14.7</v>
      </c>
      <c r="P32">
        <f t="shared" si="27"/>
        <v>0.442</v>
      </c>
      <c r="Q32">
        <f t="shared" si="28"/>
        <v>0.19600000000000001</v>
      </c>
      <c r="R32">
        <f t="shared" si="29"/>
        <v>5.4217687074829932</v>
      </c>
      <c r="S32">
        <f>$Q$26*((R32*Q32)-P32)</f>
        <v>2.954036138894744</v>
      </c>
      <c r="T32">
        <f t="shared" si="31"/>
        <v>6.7551381797110714</v>
      </c>
      <c r="U32">
        <f>S32/T32</f>
        <v>0.43730210401426506</v>
      </c>
      <c r="V32">
        <f>P32-U32</f>
        <v>4.6978959857349456E-3</v>
      </c>
    </row>
    <row r="33" spans="1:22" x14ac:dyDescent="0.3">
      <c r="A33">
        <f>$B$1/100-K12/100</f>
        <v>1.4999999999999986E-2</v>
      </c>
      <c r="B33">
        <f>G12/100-$B$1/100</f>
        <v>0.23100000000000001</v>
      </c>
      <c r="C33">
        <f t="shared" si="26"/>
        <v>6.4935064935064873E-2</v>
      </c>
      <c r="D33">
        <f>E12/I12</f>
        <v>0.65517241379310343</v>
      </c>
      <c r="F33">
        <f t="shared" si="22"/>
        <v>58000</v>
      </c>
      <c r="G33">
        <f t="shared" si="23"/>
        <v>4077.4338978267515</v>
      </c>
      <c r="H33">
        <f t="shared" ref="H33:H42" si="33">F33+G33</f>
        <v>62077.433897826748</v>
      </c>
      <c r="I33">
        <f t="shared" si="25"/>
        <v>78.7</v>
      </c>
      <c r="J33">
        <f>(I33/14.7)^(1/2)*B12</f>
        <v>217.49864336116116</v>
      </c>
      <c r="P33">
        <f t="shared" si="27"/>
        <v>0.42</v>
      </c>
      <c r="Q33">
        <f t="shared" si="28"/>
        <v>0.19800000000000001</v>
      </c>
      <c r="R33">
        <f t="shared" si="29"/>
        <v>4.4013605442176873</v>
      </c>
      <c r="S33">
        <f t="shared" si="30"/>
        <v>2.1487490124058901</v>
      </c>
      <c r="T33">
        <f t="shared" si="31"/>
        <v>5.0986401688684753</v>
      </c>
      <c r="U33">
        <f t="shared" si="32"/>
        <v>0.42143570466608454</v>
      </c>
      <c r="V33">
        <f t="shared" ref="V33:V48" si="34">P33-U33</f>
        <v>-1.4357046660845585E-3</v>
      </c>
    </row>
    <row r="34" spans="1:22" x14ac:dyDescent="0.3">
      <c r="A34">
        <f>$B$1/100-K13/100</f>
        <v>1.3000000000000012E-2</v>
      </c>
      <c r="B34">
        <f>G13/100-$B$1/100</f>
        <v>0.21</v>
      </c>
      <c r="C34">
        <f t="shared" si="26"/>
        <v>6.1904761904761962E-2</v>
      </c>
      <c r="D34">
        <f>E13/I13</f>
        <v>0.5901639344262295</v>
      </c>
      <c r="F34">
        <f t="shared" si="22"/>
        <v>48800</v>
      </c>
      <c r="G34">
        <f t="shared" si="23"/>
        <v>3090.2656909844854</v>
      </c>
      <c r="H34">
        <f t="shared" si="33"/>
        <v>51890.265690984488</v>
      </c>
      <c r="I34">
        <f t="shared" si="25"/>
        <v>64.7</v>
      </c>
      <c r="J34">
        <f>(I34/14.7)^(1/2)*B13</f>
        <v>186.71683606667156</v>
      </c>
      <c r="P34">
        <f t="shared" si="27"/>
        <v>0.39299999999999996</v>
      </c>
      <c r="Q34">
        <f t="shared" si="28"/>
        <v>0.20199999999999999</v>
      </c>
      <c r="R34">
        <f t="shared" si="29"/>
        <v>3.517006802721089</v>
      </c>
      <c r="S34">
        <f t="shared" si="30"/>
        <v>1.5108199253517778</v>
      </c>
      <c r="T34">
        <f t="shared" si="31"/>
        <v>3.7103913539232076</v>
      </c>
      <c r="U34">
        <f t="shared" si="32"/>
        <v>0.40718613785963631</v>
      </c>
      <c r="V34">
        <f t="shared" si="34"/>
        <v>-1.418613785963635E-2</v>
      </c>
    </row>
    <row r="35" spans="1:22" x14ac:dyDescent="0.3">
      <c r="A35">
        <f>$B$1/100-K14/100</f>
        <v>1.0000000000000009E-2</v>
      </c>
      <c r="B35">
        <f>G14/100-$B$1/100</f>
        <v>0.18200000000000002</v>
      </c>
      <c r="C35">
        <f t="shared" si="26"/>
        <v>5.4945054945054986E-2</v>
      </c>
      <c r="D35">
        <f>E14/I14</f>
        <v>0.51010101010101006</v>
      </c>
      <c r="F35">
        <f t="shared" si="22"/>
        <v>39600</v>
      </c>
      <c r="G35">
        <f t="shared" si="23"/>
        <v>2167.4780193710626</v>
      </c>
      <c r="H35">
        <f t="shared" si="33"/>
        <v>41767.478019371061</v>
      </c>
      <c r="I35">
        <f t="shared" si="25"/>
        <v>50.7</v>
      </c>
      <c r="J35">
        <f>(I35/14.7)^(1/2)*B14</f>
        <v>144.85714285714286</v>
      </c>
      <c r="P35">
        <f t="shared" si="27"/>
        <v>0.35600000000000004</v>
      </c>
      <c r="Q35">
        <f t="shared" si="28"/>
        <v>0.20899999999999999</v>
      </c>
      <c r="R35">
        <f t="shared" si="29"/>
        <v>2.5646258503401365</v>
      </c>
      <c r="S35">
        <f t="shared" si="30"/>
        <v>0.85673458724757034</v>
      </c>
      <c r="T35">
        <f t="shared" si="31"/>
        <v>2.2413536348666185</v>
      </c>
      <c r="U35">
        <f t="shared" si="32"/>
        <v>0.38223980987210615</v>
      </c>
      <c r="V35">
        <f t="shared" si="34"/>
        <v>-2.6239809872106112E-2</v>
      </c>
    </row>
    <row r="36" spans="1:22" x14ac:dyDescent="0.3">
      <c r="A36">
        <f>$B$1/100-K15/100</f>
        <v>5.0000000000000044E-3</v>
      </c>
      <c r="B36">
        <f>G15/100-$B$1/100</f>
        <v>0.13999999999999999</v>
      </c>
      <c r="C36">
        <f t="shared" si="26"/>
        <v>3.5714285714285747E-2</v>
      </c>
      <c r="D36">
        <f>E15/I15</f>
        <v>0.41549295774647887</v>
      </c>
      <c r="F36">
        <f t="shared" si="22"/>
        <v>28400</v>
      </c>
      <c r="G36">
        <f t="shared" si="23"/>
        <v>1266.1505261672544</v>
      </c>
      <c r="H36">
        <f t="shared" si="33"/>
        <v>29666.150526167254</v>
      </c>
      <c r="I36">
        <f t="shared" si="25"/>
        <v>36.700000000000003</v>
      </c>
      <c r="J36">
        <f>(I36/14.7)^(1/2)*B15</f>
        <v>95.593802989880203</v>
      </c>
      <c r="P36">
        <f t="shared" si="27"/>
        <v>0.47299999999999998</v>
      </c>
      <c r="Q36">
        <f t="shared" si="28"/>
        <v>0.192</v>
      </c>
      <c r="R36">
        <f t="shared" si="29"/>
        <v>6.646258503401361</v>
      </c>
      <c r="S36">
        <f t="shared" si="30"/>
        <v>3.8222322749834636</v>
      </c>
      <c r="T36">
        <f t="shared" si="31"/>
        <v>8.665409145731763</v>
      </c>
      <c r="U36">
        <f t="shared" si="32"/>
        <v>0.44109080260406902</v>
      </c>
      <c r="V36">
        <f t="shared" si="34"/>
        <v>3.1909197395930955E-2</v>
      </c>
    </row>
    <row r="37" spans="1:22" x14ac:dyDescent="0.3">
      <c r="A37">
        <f>$B$1/100-K16/100</f>
        <v>2.2999999999999993E-2</v>
      </c>
      <c r="B37">
        <f>G16/100-$B$1/100</f>
        <v>0.255</v>
      </c>
      <c r="C37">
        <f t="shared" si="26"/>
        <v>9.019607843137252E-2</v>
      </c>
      <c r="D37">
        <f>E16/I16</f>
        <v>0.89583333333333337</v>
      </c>
      <c r="F37">
        <f t="shared" si="22"/>
        <v>57600</v>
      </c>
      <c r="G37">
        <f t="shared" si="23"/>
        <v>5536.7260296805362</v>
      </c>
      <c r="H37">
        <f t="shared" si="33"/>
        <v>63136.726029680533</v>
      </c>
      <c r="I37">
        <f t="shared" si="25"/>
        <v>95.7</v>
      </c>
      <c r="J37">
        <f>(I37/14.7)^(1/2)*B16</f>
        <v>229.63591413632255</v>
      </c>
      <c r="P37">
        <f t="shared" si="27"/>
        <v>0</v>
      </c>
      <c r="Q37">
        <f t="shared" si="28"/>
        <v>0</v>
      </c>
      <c r="R37">
        <f t="shared" si="29"/>
        <v>1</v>
      </c>
      <c r="S37">
        <f t="shared" si="30"/>
        <v>0</v>
      </c>
      <c r="T37">
        <f t="shared" si="31"/>
        <v>0</v>
      </c>
      <c r="U37" t="e">
        <f t="shared" si="32"/>
        <v>#DIV/0!</v>
      </c>
    </row>
    <row r="38" spans="1:22" x14ac:dyDescent="0.3">
      <c r="F38">
        <f t="shared" si="22"/>
        <v>0</v>
      </c>
      <c r="G38">
        <f t="shared" si="23"/>
        <v>0</v>
      </c>
      <c r="H38">
        <f t="shared" si="33"/>
        <v>0</v>
      </c>
      <c r="I38">
        <f t="shared" si="25"/>
        <v>14.7</v>
      </c>
      <c r="P38">
        <f t="shared" si="27"/>
        <v>0.44600000000000001</v>
      </c>
      <c r="Q38">
        <f t="shared" si="28"/>
        <v>0.2</v>
      </c>
      <c r="R38">
        <f t="shared" si="29"/>
        <v>5.3537414965986398</v>
      </c>
      <c r="S38">
        <f t="shared" si="30"/>
        <v>2.9734624928627933</v>
      </c>
      <c r="T38">
        <f t="shared" si="31"/>
        <v>6.7024556901417043</v>
      </c>
      <c r="U38">
        <f t="shared" si="32"/>
        <v>0.44363776954710876</v>
      </c>
      <c r="V38">
        <f t="shared" si="34"/>
        <v>2.3622304528912452E-3</v>
      </c>
    </row>
    <row r="39" spans="1:22" x14ac:dyDescent="0.3">
      <c r="A39">
        <f>$B$1/100-K18/100</f>
        <v>2.1999999999999992E-2</v>
      </c>
      <c r="B39">
        <f>G18/100-$B$1/100</f>
        <v>0.22799999999999995</v>
      </c>
      <c r="C39">
        <f t="shared" si="26"/>
        <v>9.6491228070175419E-2</v>
      </c>
      <c r="D39">
        <f>E18/I18</f>
        <v>0.78688524590163933</v>
      </c>
      <c r="F39">
        <f t="shared" si="22"/>
        <v>48800</v>
      </c>
      <c r="G39">
        <f t="shared" si="23"/>
        <v>4120.3542546459803</v>
      </c>
      <c r="H39">
        <f t="shared" si="33"/>
        <v>52920.354254645979</v>
      </c>
      <c r="I39">
        <f t="shared" si="25"/>
        <v>79.7</v>
      </c>
      <c r="J39">
        <f>(I39/14.7)^(1/2)*B18</f>
        <v>192.09870708910594</v>
      </c>
      <c r="P39">
        <f t="shared" si="27"/>
        <v>0.42499999999999999</v>
      </c>
      <c r="Q39">
        <f t="shared" si="28"/>
        <v>0.20199999999999999</v>
      </c>
      <c r="R39">
        <f t="shared" si="29"/>
        <v>4.4013605442176873</v>
      </c>
      <c r="S39">
        <f t="shared" si="30"/>
        <v>2.2087440689105473</v>
      </c>
      <c r="T39">
        <f t="shared" si="31"/>
        <v>5.146029783196262</v>
      </c>
      <c r="U39">
        <f t="shared" si="32"/>
        <v>0.42921323077509849</v>
      </c>
      <c r="V39">
        <f t="shared" si="34"/>
        <v>-4.2132307750984976E-3</v>
      </c>
    </row>
    <row r="40" spans="1:22" x14ac:dyDescent="0.3">
      <c r="A40">
        <f>$B$1/100-K19/100</f>
        <v>1.8000000000000016E-2</v>
      </c>
      <c r="B40">
        <f>G19/100-$B$1/100</f>
        <v>0.20899999999999999</v>
      </c>
      <c r="C40">
        <f t="shared" si="26"/>
        <v>8.6124401913875673E-2</v>
      </c>
      <c r="D40">
        <f>E19/I19</f>
        <v>0.73333333333333328</v>
      </c>
      <c r="F40">
        <f t="shared" si="22"/>
        <v>42000</v>
      </c>
      <c r="G40">
        <f t="shared" si="23"/>
        <v>3304.8674750806304</v>
      </c>
      <c r="H40">
        <f t="shared" si="33"/>
        <v>45304.867475080631</v>
      </c>
      <c r="I40">
        <f t="shared" si="25"/>
        <v>66.7</v>
      </c>
      <c r="J40">
        <f>(I40/14.7)^(1/2)*B19</f>
        <v>161.88918692592603</v>
      </c>
      <c r="P40">
        <f t="shared" si="27"/>
        <v>0.39700000000000002</v>
      </c>
      <c r="Q40">
        <f t="shared" si="28"/>
        <v>0.20499999999999999</v>
      </c>
      <c r="R40">
        <f t="shared" si="29"/>
        <v>3.4489795918367352</v>
      </c>
      <c r="S40">
        <f t="shared" si="30"/>
        <v>1.4756258474129955</v>
      </c>
      <c r="T40">
        <f t="shared" si="31"/>
        <v>3.6145646229232007</v>
      </c>
      <c r="U40">
        <f t="shared" si="32"/>
        <v>0.40824442259372723</v>
      </c>
      <c r="V40">
        <f t="shared" si="34"/>
        <v>-1.124442259372721E-2</v>
      </c>
    </row>
    <row r="41" spans="1:22" x14ac:dyDescent="0.3">
      <c r="A41">
        <f>$B$1/100-K20/100</f>
        <v>1.3000000000000012E-2</v>
      </c>
      <c r="B41">
        <f>G20/100-$B$1/100</f>
        <v>0.18000000000000002</v>
      </c>
      <c r="C41">
        <f t="shared" si="26"/>
        <v>7.2222222222222285E-2</v>
      </c>
      <c r="D41">
        <f>E20/I20</f>
        <v>0.62195121951219512</v>
      </c>
      <c r="F41">
        <f t="shared" si="22"/>
        <v>32800</v>
      </c>
      <c r="G41">
        <f t="shared" si="23"/>
        <v>2188.938197780677</v>
      </c>
      <c r="H41">
        <f t="shared" si="33"/>
        <v>34988.938197780677</v>
      </c>
      <c r="I41">
        <f t="shared" si="25"/>
        <v>51.7</v>
      </c>
      <c r="J41">
        <f>(I41/14.7)^(1/2)*B20</f>
        <v>123.77431733866709</v>
      </c>
      <c r="P41">
        <f t="shared" si="27"/>
        <v>0.35499999999999998</v>
      </c>
      <c r="Q41">
        <f t="shared" si="28"/>
        <v>0.21</v>
      </c>
      <c r="R41">
        <f t="shared" si="29"/>
        <v>2.4965986394557826</v>
      </c>
      <c r="S41">
        <f t="shared" si="30"/>
        <v>0.80570803082482889</v>
      </c>
      <c r="T41">
        <f t="shared" si="31"/>
        <v>2.1330209559948972</v>
      </c>
      <c r="U41">
        <f t="shared" si="32"/>
        <v>0.37773094941255531</v>
      </c>
      <c r="V41">
        <f t="shared" si="34"/>
        <v>-2.2730949412555324E-2</v>
      </c>
    </row>
    <row r="42" spans="1:22" x14ac:dyDescent="0.3">
      <c r="A42">
        <f>$B$1/100-K21/100</f>
        <v>6.0000000000000053E-3</v>
      </c>
      <c r="B42">
        <f>G21/100-$B$1/100</f>
        <v>0.13799999999999998</v>
      </c>
      <c r="C42">
        <f t="shared" si="26"/>
        <v>4.3478260869565258E-2</v>
      </c>
      <c r="D42">
        <f>E21/I21</f>
        <v>0.49075630252100838</v>
      </c>
      <c r="F42">
        <f t="shared" si="22"/>
        <v>23800</v>
      </c>
      <c r="G42">
        <f t="shared" si="23"/>
        <v>1253.2744191214856</v>
      </c>
      <c r="H42">
        <f t="shared" si="33"/>
        <v>25053.274419121484</v>
      </c>
      <c r="I42">
        <f t="shared" si="25"/>
        <v>36.700000000000003</v>
      </c>
      <c r="J42">
        <f>(I42/14.7)^(1/2)*B21</f>
        <v>85.323394404190594</v>
      </c>
      <c r="P42">
        <f t="shared" si="27"/>
        <v>0.47</v>
      </c>
      <c r="Q42">
        <f t="shared" si="28"/>
        <v>0.192</v>
      </c>
      <c r="R42">
        <f t="shared" si="29"/>
        <v>6.5102040816326534</v>
      </c>
      <c r="S42">
        <f t="shared" si="30"/>
        <v>3.7121819797544671</v>
      </c>
      <c r="T42">
        <f t="shared" si="31"/>
        <v>8.4424268777136504</v>
      </c>
      <c r="U42">
        <f t="shared" si="32"/>
        <v>0.43970555309799586</v>
      </c>
      <c r="V42">
        <f t="shared" si="34"/>
        <v>3.0294446902004113E-2</v>
      </c>
    </row>
    <row r="43" spans="1:22" x14ac:dyDescent="0.3">
      <c r="P43">
        <f t="shared" si="27"/>
        <v>0</v>
      </c>
      <c r="Q43">
        <f t="shared" si="28"/>
        <v>0</v>
      </c>
      <c r="R43">
        <f t="shared" si="29"/>
        <v>1</v>
      </c>
      <c r="S43">
        <f t="shared" si="30"/>
        <v>0</v>
      </c>
      <c r="T43">
        <f t="shared" si="31"/>
        <v>0</v>
      </c>
      <c r="U43" t="e">
        <f t="shared" si="32"/>
        <v>#DIV/0!</v>
      </c>
    </row>
    <row r="44" spans="1:22" x14ac:dyDescent="0.3">
      <c r="A44" t="s">
        <v>72</v>
      </c>
      <c r="P44">
        <f t="shared" si="27"/>
        <v>0.44299999999999995</v>
      </c>
      <c r="Q44">
        <f t="shared" si="28"/>
        <v>0.193</v>
      </c>
      <c r="R44">
        <f t="shared" si="29"/>
        <v>5.4217687074829932</v>
      </c>
      <c r="S44">
        <f t="shared" si="30"/>
        <v>2.8718626616098977</v>
      </c>
      <c r="T44">
        <f t="shared" si="31"/>
        <v>6.6902300085486726</v>
      </c>
      <c r="U44">
        <f t="shared" si="32"/>
        <v>0.42926217154571306</v>
      </c>
      <c r="V44">
        <f t="shared" si="34"/>
        <v>1.3737828454286893E-2</v>
      </c>
    </row>
    <row r="45" spans="1:22" x14ac:dyDescent="0.3">
      <c r="A45" cm="1">
        <f t="array" ref="A45:B45">LINEST(C50:C63,D50:D63,FALSE)</f>
        <v>0.10730089204807242</v>
      </c>
      <c r="B45">
        <v>0</v>
      </c>
      <c r="F45" t="s">
        <v>74</v>
      </c>
      <c r="G45" cm="1">
        <f t="array" ref="G45:H45">LINEST(H50:H63,J50:J63,FALSE)</f>
        <v>284.02427900388972</v>
      </c>
      <c r="H45">
        <v>0</v>
      </c>
      <c r="P45">
        <f t="shared" si="27"/>
        <v>0.42399999999999999</v>
      </c>
      <c r="Q45">
        <f t="shared" si="28"/>
        <v>0.19699999999999998</v>
      </c>
      <c r="R45">
        <f t="shared" si="29"/>
        <v>4.5374149659863949</v>
      </c>
      <c r="S45">
        <f t="shared" si="30"/>
        <v>2.236329491545177</v>
      </c>
      <c r="T45">
        <f t="shared" si="31"/>
        <v>5.3038737092322528</v>
      </c>
      <c r="U45">
        <f t="shared" si="32"/>
        <v>0.42164078825113854</v>
      </c>
      <c r="V45">
        <f t="shared" si="34"/>
        <v>2.359211748861445E-3</v>
      </c>
    </row>
    <row r="46" spans="1:22" x14ac:dyDescent="0.3">
      <c r="A46" t="s">
        <v>73</v>
      </c>
      <c r="B46">
        <f>A45*400</f>
        <v>42.920356819228964</v>
      </c>
      <c r="P46">
        <f t="shared" si="27"/>
        <v>0.39500000000000002</v>
      </c>
      <c r="Q46">
        <f t="shared" si="28"/>
        <v>0.20199999999999999</v>
      </c>
      <c r="R46">
        <f t="shared" si="29"/>
        <v>3.517006802721089</v>
      </c>
      <c r="S46">
        <f t="shared" si="30"/>
        <v>1.5013010119074335</v>
      </c>
      <c r="T46">
        <f t="shared" si="31"/>
        <v>3.7028724404788629</v>
      </c>
      <c r="U46">
        <f t="shared" si="32"/>
        <v>0.40544227111244541</v>
      </c>
      <c r="V46">
        <f t="shared" si="34"/>
        <v>-1.0442271112445389E-2</v>
      </c>
    </row>
    <row r="47" spans="1:22" x14ac:dyDescent="0.3">
      <c r="P47">
        <f t="shared" si="27"/>
        <v>0.35299999999999998</v>
      </c>
      <c r="Q47">
        <f t="shared" si="28"/>
        <v>0.20899999999999999</v>
      </c>
      <c r="R47">
        <f t="shared" si="29"/>
        <v>2.4965986394557826</v>
      </c>
      <c r="S47">
        <f t="shared" si="30"/>
        <v>0.80334449109204942</v>
      </c>
      <c r="T47">
        <f t="shared" si="31"/>
        <v>2.1311540149015737</v>
      </c>
      <c r="U47">
        <f t="shared" si="32"/>
        <v>0.37695280841969153</v>
      </c>
      <c r="V47">
        <f t="shared" si="34"/>
        <v>-2.3952808419691551E-2</v>
      </c>
    </row>
    <row r="48" spans="1:22" x14ac:dyDescent="0.3">
      <c r="A48" t="s">
        <v>48</v>
      </c>
      <c r="B48" t="s">
        <v>49</v>
      </c>
      <c r="C48" t="s">
        <v>76</v>
      </c>
      <c r="D48" t="s">
        <v>50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P48">
        <f t="shared" si="27"/>
        <v>0.47</v>
      </c>
      <c r="Q48">
        <f t="shared" si="28"/>
        <v>0.192</v>
      </c>
      <c r="R48">
        <f t="shared" si="29"/>
        <v>6.5782312925170077</v>
      </c>
      <c r="S48">
        <f t="shared" si="30"/>
        <v>3.7743463124522232</v>
      </c>
      <c r="T48">
        <f t="shared" si="31"/>
        <v>8.5595571968059652</v>
      </c>
      <c r="U48">
        <f t="shared" si="32"/>
        <v>0.44095111764200096</v>
      </c>
      <c r="V48">
        <f t="shared" si="34"/>
        <v>2.9048882357999017E-2</v>
      </c>
    </row>
    <row r="49" spans="1:22" x14ac:dyDescent="0.3">
      <c r="F49">
        <v>7325</v>
      </c>
      <c r="G49">
        <v>4034.5135410075227</v>
      </c>
      <c r="H49">
        <v>11359.513541007524</v>
      </c>
      <c r="I49">
        <v>82.7</v>
      </c>
      <c r="J49">
        <v>45.065862610063462</v>
      </c>
    </row>
    <row r="50" spans="1:22" x14ac:dyDescent="0.3">
      <c r="A50">
        <v>1.9E-2</v>
      </c>
      <c r="B50">
        <v>0.22700000000000001</v>
      </c>
      <c r="C50">
        <v>8.3700440528634304E-2</v>
      </c>
      <c r="D50">
        <v>0.7558139534883721</v>
      </c>
      <c r="E50">
        <f>1/C50</f>
        <v>11.947368421052639</v>
      </c>
      <c r="F50">
        <v>51600</v>
      </c>
      <c r="G50">
        <v>4184.7347898748239</v>
      </c>
      <c r="H50">
        <v>55784.734789874827</v>
      </c>
      <c r="I50">
        <v>79.7</v>
      </c>
      <c r="J50">
        <v>190.93447250068712</v>
      </c>
      <c r="U50" t="s">
        <v>87</v>
      </c>
      <c r="V50">
        <f>SUM(V32:V48)</f>
        <v>-3.5641413636378072E-5</v>
      </c>
    </row>
    <row r="51" spans="1:22" x14ac:dyDescent="0.3">
      <c r="A51">
        <v>1.6999999999999987E-2</v>
      </c>
      <c r="B51">
        <v>0.20499999999999999</v>
      </c>
      <c r="C51">
        <v>8.2926829268292632E-2</v>
      </c>
      <c r="D51">
        <v>0.68224299065420557</v>
      </c>
      <c r="E51">
        <f t="shared" ref="E51:E63" si="35">1/C51</f>
        <v>12.058823529411772</v>
      </c>
      <c r="F51">
        <v>42800</v>
      </c>
      <c r="G51">
        <v>3133.1860478037142</v>
      </c>
      <c r="H51">
        <v>45933.186047803712</v>
      </c>
      <c r="I51">
        <v>64.7</v>
      </c>
      <c r="J51">
        <v>155.24770639251344</v>
      </c>
    </row>
    <row r="52" spans="1:22" x14ac:dyDescent="0.3">
      <c r="A52">
        <v>1.3000000000000012E-2</v>
      </c>
      <c r="B52">
        <v>0.17799999999999996</v>
      </c>
      <c r="C52">
        <v>7.3033707865168621E-2</v>
      </c>
      <c r="D52">
        <v>0.59302325581395354</v>
      </c>
      <c r="E52">
        <f t="shared" si="35"/>
        <v>13.692307692307677</v>
      </c>
      <c r="F52">
        <v>34400</v>
      </c>
      <c r="G52">
        <v>2188.938197780677</v>
      </c>
      <c r="H52">
        <v>36588.938197780677</v>
      </c>
      <c r="I52">
        <v>51.7</v>
      </c>
      <c r="J52">
        <v>123.77431733866709</v>
      </c>
    </row>
    <row r="53" spans="1:22" x14ac:dyDescent="0.3">
      <c r="A53">
        <v>6.0000000000000053E-3</v>
      </c>
      <c r="B53">
        <v>0.14100000000000004</v>
      </c>
      <c r="C53">
        <v>4.2553191489361729E-2</v>
      </c>
      <c r="D53">
        <v>0.49206349206349204</v>
      </c>
      <c r="E53">
        <f t="shared" si="35"/>
        <v>23.499999999999986</v>
      </c>
      <c r="F53">
        <v>25200</v>
      </c>
      <c r="G53">
        <v>1330.5310613960978</v>
      </c>
      <c r="H53">
        <v>26530.531061396097</v>
      </c>
      <c r="I53">
        <v>37.700000000000003</v>
      </c>
      <c r="J53">
        <v>91.282360770058432</v>
      </c>
    </row>
    <row r="54" spans="1:22" x14ac:dyDescent="0.3">
      <c r="A54">
        <v>2.2999999999999993E-2</v>
      </c>
      <c r="B54">
        <v>0.25800000000000001</v>
      </c>
      <c r="C54">
        <v>8.914728682170539E-2</v>
      </c>
      <c r="D54">
        <v>0.9285714285714286</v>
      </c>
      <c r="E54">
        <f t="shared" si="35"/>
        <v>11.217391304347831</v>
      </c>
      <c r="F54">
        <v>56000</v>
      </c>
      <c r="G54">
        <v>5579.646386499765</v>
      </c>
      <c r="H54">
        <v>61579.646386499764</v>
      </c>
      <c r="I54">
        <v>97.7</v>
      </c>
      <c r="J54">
        <v>219.13287678272934</v>
      </c>
    </row>
    <row r="55" spans="1:22" x14ac:dyDescent="0.3">
      <c r="A55">
        <v>1.4999999999999986E-2</v>
      </c>
      <c r="B55">
        <v>0.23100000000000001</v>
      </c>
      <c r="C55">
        <v>6.4935064935064873E-2</v>
      </c>
      <c r="D55">
        <v>0.65517241379310343</v>
      </c>
      <c r="E55">
        <f t="shared" si="35"/>
        <v>15.400000000000015</v>
      </c>
      <c r="F55">
        <v>58000</v>
      </c>
      <c r="G55">
        <v>4077.4338978267515</v>
      </c>
      <c r="H55">
        <v>62077.433897826748</v>
      </c>
      <c r="I55">
        <v>78.7</v>
      </c>
      <c r="J55">
        <v>217.49864336116116</v>
      </c>
    </row>
    <row r="56" spans="1:22" x14ac:dyDescent="0.3">
      <c r="A56">
        <v>1.3000000000000012E-2</v>
      </c>
      <c r="B56">
        <v>0.21</v>
      </c>
      <c r="C56">
        <v>6.1904761904761962E-2</v>
      </c>
      <c r="D56">
        <v>0.5901639344262295</v>
      </c>
      <c r="E56">
        <f t="shared" si="35"/>
        <v>16.153846153846139</v>
      </c>
      <c r="F56">
        <v>48800</v>
      </c>
      <c r="G56">
        <v>3090.2656909844854</v>
      </c>
      <c r="H56">
        <v>51890.265690984488</v>
      </c>
      <c r="I56">
        <v>64.7</v>
      </c>
      <c r="J56">
        <v>186.71683606667156</v>
      </c>
    </row>
    <row r="57" spans="1:22" x14ac:dyDescent="0.3">
      <c r="A57">
        <v>1.0000000000000009E-2</v>
      </c>
      <c r="B57">
        <v>0.18200000000000002</v>
      </c>
      <c r="C57">
        <v>5.4945054945054986E-2</v>
      </c>
      <c r="D57">
        <v>0.51010101010101006</v>
      </c>
      <c r="E57">
        <f t="shared" si="35"/>
        <v>18.199999999999985</v>
      </c>
      <c r="F57">
        <v>39600</v>
      </c>
      <c r="G57">
        <v>2167.4780193710626</v>
      </c>
      <c r="H57">
        <v>41767.478019371061</v>
      </c>
      <c r="I57">
        <v>50.7</v>
      </c>
      <c r="J57">
        <v>144.85714285714286</v>
      </c>
    </row>
    <row r="58" spans="1:22" x14ac:dyDescent="0.3">
      <c r="A58">
        <v>5.0000000000000044E-3</v>
      </c>
      <c r="B58">
        <v>0.13999999999999999</v>
      </c>
      <c r="C58">
        <v>3.5714285714285747E-2</v>
      </c>
      <c r="D58">
        <v>0.41549295774647887</v>
      </c>
      <c r="E58">
        <f t="shared" si="35"/>
        <v>27.999999999999975</v>
      </c>
      <c r="F58">
        <v>28400</v>
      </c>
      <c r="G58">
        <v>1266.1505261672544</v>
      </c>
      <c r="H58">
        <v>29666.150526167254</v>
      </c>
      <c r="I58">
        <v>36.700000000000003</v>
      </c>
      <c r="J58">
        <v>95.593802989880203</v>
      </c>
    </row>
    <row r="59" spans="1:22" x14ac:dyDescent="0.3">
      <c r="A59">
        <v>2.2999999999999993E-2</v>
      </c>
      <c r="B59">
        <v>0.255</v>
      </c>
      <c r="C59">
        <v>9.019607843137252E-2</v>
      </c>
      <c r="D59">
        <v>0.89583333333333337</v>
      </c>
      <c r="E59">
        <f t="shared" si="35"/>
        <v>11.086956521739134</v>
      </c>
      <c r="F59">
        <v>57600</v>
      </c>
      <c r="G59">
        <v>5536.7260296805362</v>
      </c>
      <c r="H59">
        <v>63136.726029680533</v>
      </c>
      <c r="I59">
        <v>95.7</v>
      </c>
      <c r="J59">
        <v>229.63591413632255</v>
      </c>
    </row>
    <row r="60" spans="1:22" x14ac:dyDescent="0.3">
      <c r="A60">
        <v>2.1999999999999992E-2</v>
      </c>
      <c r="B60">
        <v>0.22799999999999995</v>
      </c>
      <c r="C60">
        <v>9.6491228070175419E-2</v>
      </c>
      <c r="D60">
        <v>0.78688524590163933</v>
      </c>
      <c r="E60">
        <f t="shared" si="35"/>
        <v>10.363636363636365</v>
      </c>
      <c r="F60">
        <v>48800</v>
      </c>
      <c r="G60">
        <v>4120.3542546459803</v>
      </c>
      <c r="H60">
        <v>52920.354254645979</v>
      </c>
      <c r="I60">
        <v>79.7</v>
      </c>
      <c r="J60">
        <v>192.09870708910594</v>
      </c>
    </row>
    <row r="61" spans="1:22" x14ac:dyDescent="0.3">
      <c r="A61">
        <v>1.8000000000000016E-2</v>
      </c>
      <c r="B61">
        <v>0.20899999999999999</v>
      </c>
      <c r="C61">
        <v>8.6124401913875673E-2</v>
      </c>
      <c r="D61">
        <v>0.73333333333333328</v>
      </c>
      <c r="E61">
        <f t="shared" si="35"/>
        <v>11.611111111111102</v>
      </c>
      <c r="F61">
        <v>42000</v>
      </c>
      <c r="G61">
        <v>3304.8674750806304</v>
      </c>
      <c r="H61">
        <v>45304.867475080631</v>
      </c>
      <c r="I61">
        <v>66.7</v>
      </c>
      <c r="J61">
        <v>161.88918692592603</v>
      </c>
    </row>
    <row r="62" spans="1:22" x14ac:dyDescent="0.3">
      <c r="A62">
        <v>1.3000000000000012E-2</v>
      </c>
      <c r="B62">
        <v>0.18000000000000002</v>
      </c>
      <c r="C62">
        <v>7.2222222222222285E-2</v>
      </c>
      <c r="D62">
        <v>0.62195121951219512</v>
      </c>
      <c r="E62">
        <f t="shared" si="35"/>
        <v>13.846153846153834</v>
      </c>
      <c r="F62">
        <v>32800</v>
      </c>
      <c r="G62">
        <v>2188.938197780677</v>
      </c>
      <c r="H62">
        <v>34988.938197780677</v>
      </c>
      <c r="I62">
        <v>51.7</v>
      </c>
      <c r="J62">
        <v>123.77431733866709</v>
      </c>
    </row>
    <row r="63" spans="1:22" x14ac:dyDescent="0.3">
      <c r="A63">
        <v>6.0000000000000053E-3</v>
      </c>
      <c r="B63">
        <v>0.13799999999999998</v>
      </c>
      <c r="C63">
        <v>4.3478260869565258E-2</v>
      </c>
      <c r="D63">
        <v>0.49075630252100838</v>
      </c>
      <c r="E63">
        <f t="shared" si="35"/>
        <v>22.999999999999979</v>
      </c>
      <c r="F63">
        <v>23800</v>
      </c>
      <c r="G63">
        <v>1253.2744191214856</v>
      </c>
      <c r="H63">
        <v>25053.274419121484</v>
      </c>
      <c r="I63">
        <v>36.700000000000003</v>
      </c>
      <c r="J63">
        <v>85.323394404190594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4B4A-D3DF-0946-9D5E-6700D826FDAB}">
  <dimension ref="A1:AQ30"/>
  <sheetViews>
    <sheetView zoomScale="70" workbookViewId="0">
      <selection activeCell="AP13" sqref="AP13"/>
    </sheetView>
  </sheetViews>
  <sheetFormatPr defaultColWidth="11.19921875" defaultRowHeight="15.6" x14ac:dyDescent="0.3"/>
  <cols>
    <col min="10" max="10" width="16.296875" customWidth="1"/>
  </cols>
  <sheetData>
    <row r="1" spans="1:43" x14ac:dyDescent="0.3">
      <c r="A1" s="2" t="s">
        <v>0</v>
      </c>
      <c r="B1" s="2">
        <v>21.5</v>
      </c>
      <c r="C1" s="2" t="s">
        <v>0</v>
      </c>
      <c r="D1" s="2">
        <v>21.5</v>
      </c>
      <c r="E1" s="2"/>
      <c r="F1" s="2" t="s">
        <v>19</v>
      </c>
      <c r="G1" s="2">
        <v>78.5</v>
      </c>
      <c r="H1" s="2"/>
      <c r="I1" s="2"/>
      <c r="J1" s="2"/>
      <c r="K1" s="2"/>
      <c r="W1" t="s">
        <v>41</v>
      </c>
      <c r="AB1" t="s">
        <v>45</v>
      </c>
      <c r="AG1" t="s">
        <v>46</v>
      </c>
    </row>
    <row r="2" spans="1:43" x14ac:dyDescent="0.3">
      <c r="A2" s="2" t="s">
        <v>4</v>
      </c>
      <c r="B2" s="2" t="s">
        <v>6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</v>
      </c>
      <c r="H2" s="2" t="s">
        <v>8</v>
      </c>
      <c r="I2" s="2" t="s">
        <v>3</v>
      </c>
      <c r="J2" s="2" t="s">
        <v>10</v>
      </c>
      <c r="K2" s="2" t="s">
        <v>2</v>
      </c>
      <c r="M2" s="2" t="s">
        <v>39</v>
      </c>
      <c r="N2" t="s">
        <v>24</v>
      </c>
      <c r="O2" t="s">
        <v>26</v>
      </c>
      <c r="P2" t="s">
        <v>25</v>
      </c>
      <c r="Q2" t="s">
        <v>22</v>
      </c>
      <c r="R2" t="s">
        <v>21</v>
      </c>
      <c r="S2" t="s">
        <v>23</v>
      </c>
      <c r="T2" t="s">
        <v>17</v>
      </c>
      <c r="V2" t="s">
        <v>75</v>
      </c>
      <c r="W2" t="s">
        <v>40</v>
      </c>
      <c r="X2" t="s">
        <v>42</v>
      </c>
      <c r="Y2" t="s">
        <v>43</v>
      </c>
      <c r="Z2" t="s">
        <v>44</v>
      </c>
      <c r="AB2" t="s">
        <v>40</v>
      </c>
      <c r="AC2" t="s">
        <v>42</v>
      </c>
      <c r="AD2" t="s">
        <v>43</v>
      </c>
      <c r="AE2" t="s">
        <v>44</v>
      </c>
      <c r="AG2" t="s">
        <v>40</v>
      </c>
      <c r="AH2" t="s">
        <v>42</v>
      </c>
      <c r="AI2" t="s">
        <v>43</v>
      </c>
      <c r="AJ2" t="s">
        <v>44</v>
      </c>
    </row>
    <row r="3" spans="1:43" x14ac:dyDescent="0.3">
      <c r="A3" t="s">
        <v>31</v>
      </c>
    </row>
    <row r="4" spans="1:43" x14ac:dyDescent="0.3">
      <c r="A4">
        <v>68</v>
      </c>
      <c r="B4">
        <v>7.5</v>
      </c>
      <c r="C4">
        <f>B4*$G$29</f>
        <v>2128.9176367495575</v>
      </c>
      <c r="D4">
        <v>0</v>
      </c>
      <c r="E4">
        <v>77.5</v>
      </c>
      <c r="F4">
        <f>E4*$B$30</f>
        <v>3326.3276534902448</v>
      </c>
      <c r="G4">
        <v>24.9</v>
      </c>
      <c r="H4">
        <v>69</v>
      </c>
      <c r="I4">
        <v>15</v>
      </c>
      <c r="J4">
        <f>I4*50</f>
        <v>750</v>
      </c>
      <c r="K4">
        <v>8.8000000000000007</v>
      </c>
      <c r="L4" t="s">
        <v>18</v>
      </c>
      <c r="M4">
        <f>100-K4</f>
        <v>91.2</v>
      </c>
      <c r="N4">
        <f>A4+14.7</f>
        <v>82.7</v>
      </c>
      <c r="O4">
        <f>D4+14.7</f>
        <v>14.7</v>
      </c>
      <c r="P4">
        <f>H4+14.7</f>
        <v>83.7</v>
      </c>
      <c r="Q4">
        <f>$B$1/100</f>
        <v>0.215</v>
      </c>
      <c r="R4">
        <f>G4/100</f>
        <v>0.249</v>
      </c>
      <c r="S4">
        <f>K4/100</f>
        <v>8.8000000000000009E-2</v>
      </c>
      <c r="T4">
        <f>((Q4*N4+P4*S4)/2)-O4*R4</f>
        <v>8.9127500000000008</v>
      </c>
      <c r="V4">
        <f>((14+A4)/14.7)^(1/2)*C4</f>
        <v>5028.1371899439491</v>
      </c>
      <c r="W4">
        <f>V4/22.4*(1/1000)*(1000)*1/60</f>
        <v>3.7411735044225818</v>
      </c>
      <c r="X4">
        <f>F4/22.4*(1/1000)*(1000)*1/60</f>
        <v>2.4749461707516702</v>
      </c>
      <c r="Y4">
        <f>J4/22.4*(1/1000)*(1000)*1/60</f>
        <v>0.5580357142857143</v>
      </c>
      <c r="Z4">
        <f>X4+Y4</f>
        <v>3.0329818850373846</v>
      </c>
      <c r="AB4" s="7">
        <f>W4*$D$1/100</f>
        <v>0.80435230345085518</v>
      </c>
      <c r="AC4">
        <f>X4*G4/100</f>
        <v>0.61626159651716583</v>
      </c>
      <c r="AD4">
        <f>Y4*(S4)</f>
        <v>4.9107142857142863E-2</v>
      </c>
      <c r="AE4" s="6">
        <f>AC4+AD4</f>
        <v>0.66536873937430874</v>
      </c>
      <c r="AG4" s="7">
        <f>$G$1*W4/100</f>
        <v>2.9368212009717269</v>
      </c>
      <c r="AH4">
        <f>(100-G4)/100*X4</f>
        <v>1.8586845742345042</v>
      </c>
      <c r="AI4">
        <f>(100-K4)*Y4/100</f>
        <v>0.50892857142857151</v>
      </c>
      <c r="AJ4" s="6">
        <f>AH4+AI4</f>
        <v>2.3676131456630758</v>
      </c>
      <c r="AL4" s="3">
        <f>W4-X4-Y4</f>
        <v>0.70819161938519726</v>
      </c>
      <c r="AM4" s="4">
        <f>AB4-AE4</f>
        <v>0.13898356407654644</v>
      </c>
      <c r="AN4" s="5">
        <f>AG4-AJ4</f>
        <v>0.56920805530865115</v>
      </c>
      <c r="AO4">
        <f>AL4/W4</f>
        <v>0.18929665211945326</v>
      </c>
      <c r="AP4">
        <f>AM4/AB4</f>
        <v>0.17278941513597362</v>
      </c>
      <c r="AQ4">
        <f>AN4/AG4</f>
        <v>0.19381774250346367</v>
      </c>
    </row>
    <row r="5" spans="1:43" x14ac:dyDescent="0.3">
      <c r="A5">
        <v>69</v>
      </c>
      <c r="B5">
        <v>7</v>
      </c>
      <c r="C5">
        <f t="shared" ref="C5:C10" si="0">B5*$G$29</f>
        <v>1986.9897942995867</v>
      </c>
      <c r="D5">
        <v>0</v>
      </c>
      <c r="E5">
        <v>77</v>
      </c>
      <c r="F5">
        <f t="shared" ref="F5:F10" si="1">E5*$B$30</f>
        <v>3304.8674750806304</v>
      </c>
      <c r="G5">
        <v>23.8</v>
      </c>
      <c r="H5">
        <v>69</v>
      </c>
      <c r="I5">
        <v>10</v>
      </c>
      <c r="J5">
        <f t="shared" ref="J5:J10" si="2">I5*50</f>
        <v>500</v>
      </c>
      <c r="K5">
        <v>10.199999999999999</v>
      </c>
      <c r="L5" t="s">
        <v>18</v>
      </c>
      <c r="M5">
        <f t="shared" ref="M5:M10" si="3">100-K5</f>
        <v>89.8</v>
      </c>
      <c r="N5">
        <f t="shared" ref="N5:N10" si="4">A5+14.7</f>
        <v>83.7</v>
      </c>
      <c r="O5">
        <f t="shared" ref="O5:O10" si="5">D5+14.7</f>
        <v>14.7</v>
      </c>
      <c r="P5">
        <f t="shared" ref="P5:P10" si="6">H5+14.7</f>
        <v>83.7</v>
      </c>
      <c r="Q5">
        <f t="shared" ref="Q5:Q10" si="7">$B$1/100</f>
        <v>0.215</v>
      </c>
      <c r="R5">
        <f t="shared" ref="R5:R10" si="8">G5/100</f>
        <v>0.23800000000000002</v>
      </c>
      <c r="S5">
        <f t="shared" ref="S5:S10" si="9">K5/100</f>
        <v>0.10199999999999999</v>
      </c>
      <c r="T5">
        <f t="shared" ref="T5:T10" si="10">((Q5*N5+P5*S5)/2)-O5*R5</f>
        <v>9.7678499999999993</v>
      </c>
      <c r="V5">
        <f t="shared" ref="V5:V10" si="11">((14+A5)/14.7)^(1/2)*C5</f>
        <v>4721.4567446750334</v>
      </c>
      <c r="W5">
        <f t="shared" ref="W5:W10" si="12">V5/22.4*(1/1000)*(1000)*1/60</f>
        <v>3.5129886493117808</v>
      </c>
      <c r="X5">
        <f t="shared" ref="X5:X10" si="13">F5/22.4*(1/1000)*(1000)*1/60</f>
        <v>2.4589787761016595</v>
      </c>
      <c r="Y5">
        <f t="shared" ref="Y5:Y10" si="14">J5/22.4*(1/1000)*(1000)*1/60</f>
        <v>0.37202380952380953</v>
      </c>
      <c r="Z5">
        <f t="shared" ref="Z5:Z10" si="15">X5+Y5</f>
        <v>2.8310025856254688</v>
      </c>
      <c r="AB5" s="7">
        <f t="shared" ref="AB5:AB10" si="16">W5*$D$1/100</f>
        <v>0.7552925596020329</v>
      </c>
      <c r="AC5">
        <f t="shared" ref="AC5:AC10" si="17">X5*G5/100</f>
        <v>0.585236948712195</v>
      </c>
      <c r="AD5">
        <f t="shared" ref="AD5:AD10" si="18">Y5*(S5)</f>
        <v>3.7946428571428568E-2</v>
      </c>
      <c r="AE5" s="6">
        <f t="shared" ref="AE5:AE10" si="19">AC5+AD5</f>
        <v>0.62318337728362361</v>
      </c>
      <c r="AG5" s="7">
        <f t="shared" ref="AG5:AG10" si="20">$G$1*W5/100</f>
        <v>2.7576960897097478</v>
      </c>
      <c r="AH5">
        <f t="shared" ref="AH5:AH10" si="21">(100-G5)/100*X5</f>
        <v>1.8737418273894646</v>
      </c>
      <c r="AI5">
        <f t="shared" ref="AI5:AI10" si="22">(100-K5)*Y5/100</f>
        <v>0.33407738095238093</v>
      </c>
      <c r="AJ5" s="6">
        <f t="shared" ref="AJ5:AJ10" si="23">AH5+AI5</f>
        <v>2.2078192083418458</v>
      </c>
      <c r="AL5" s="3">
        <f t="shared" ref="AL5:AL10" si="24">W5-X5-Y5</f>
        <v>0.68198606368631176</v>
      </c>
      <c r="AM5" s="4">
        <f t="shared" ref="AM5:AM10" si="25">AB5-AE5</f>
        <v>0.13210918231840929</v>
      </c>
      <c r="AN5" s="5">
        <f t="shared" ref="AN5:AN10" si="26">AG5-AJ5</f>
        <v>0.54987688136790203</v>
      </c>
      <c r="AO5">
        <f t="shared" ref="AO5:AO10" si="27">AL5/W5</f>
        <v>0.19413272622441227</v>
      </c>
      <c r="AP5">
        <f t="shared" ref="AP5:AP10" si="28">AM5/AB5</f>
        <v>0.17491127198183737</v>
      </c>
      <c r="AQ5">
        <f t="shared" ref="AQ5:AQ10" si="29">AN5/AG5</f>
        <v>0.19939720095327021</v>
      </c>
    </row>
    <row r="6" spans="1:43" x14ac:dyDescent="0.3">
      <c r="A6">
        <v>69.5</v>
      </c>
      <c r="B6">
        <v>6</v>
      </c>
      <c r="C6">
        <f t="shared" si="0"/>
        <v>1703.1341093996457</v>
      </c>
      <c r="D6">
        <v>0</v>
      </c>
      <c r="E6">
        <v>76.5</v>
      </c>
      <c r="F6">
        <f t="shared" si="1"/>
        <v>3283.4072966710155</v>
      </c>
      <c r="G6">
        <v>22.2</v>
      </c>
      <c r="H6">
        <v>69.5</v>
      </c>
      <c r="I6">
        <v>2</v>
      </c>
      <c r="J6">
        <f t="shared" si="2"/>
        <v>100</v>
      </c>
      <c r="K6">
        <v>12.7</v>
      </c>
      <c r="L6" t="s">
        <v>18</v>
      </c>
      <c r="M6">
        <f t="shared" si="3"/>
        <v>87.3</v>
      </c>
      <c r="N6">
        <f t="shared" si="4"/>
        <v>84.2</v>
      </c>
      <c r="O6">
        <f t="shared" si="5"/>
        <v>14.7</v>
      </c>
      <c r="P6">
        <f t="shared" si="6"/>
        <v>84.2</v>
      </c>
      <c r="Q6">
        <f t="shared" si="7"/>
        <v>0.215</v>
      </c>
      <c r="R6">
        <f t="shared" si="8"/>
        <v>0.222</v>
      </c>
      <c r="S6">
        <f t="shared" si="9"/>
        <v>0.127</v>
      </c>
      <c r="T6">
        <f t="shared" si="10"/>
        <v>11.134800000000002</v>
      </c>
      <c r="V6">
        <f t="shared" si="11"/>
        <v>4059.1342685535587</v>
      </c>
      <c r="W6">
        <f t="shared" si="12"/>
        <v>3.0201891879118743</v>
      </c>
      <c r="X6">
        <f t="shared" si="13"/>
        <v>2.4430113814516483</v>
      </c>
      <c r="Y6">
        <f t="shared" si="14"/>
        <v>7.4404761904761918E-2</v>
      </c>
      <c r="Z6">
        <f t="shared" si="15"/>
        <v>2.5174161433564102</v>
      </c>
      <c r="AB6" s="7">
        <f t="shared" si="16"/>
        <v>0.649340675401053</v>
      </c>
      <c r="AC6">
        <f t="shared" si="17"/>
        <v>0.54234852668226596</v>
      </c>
      <c r="AD6">
        <f t="shared" si="18"/>
        <v>9.449404761904763E-3</v>
      </c>
      <c r="AE6" s="6">
        <f t="shared" si="19"/>
        <v>0.55179793144417077</v>
      </c>
      <c r="AG6" s="7">
        <f t="shared" si="20"/>
        <v>2.3708485125108214</v>
      </c>
      <c r="AH6">
        <f t="shared" si="21"/>
        <v>1.9006628547693825</v>
      </c>
      <c r="AI6">
        <f t="shared" si="22"/>
        <v>6.4955357142857148E-2</v>
      </c>
      <c r="AJ6" s="6">
        <f t="shared" si="23"/>
        <v>1.9656182119122396</v>
      </c>
      <c r="AL6" s="3">
        <f t="shared" si="24"/>
        <v>0.50277304455546412</v>
      </c>
      <c r="AM6" s="4">
        <f t="shared" si="25"/>
        <v>9.7542743956882227E-2</v>
      </c>
      <c r="AN6" s="5">
        <f t="shared" si="26"/>
        <v>0.40523030059858178</v>
      </c>
      <c r="AO6">
        <f t="shared" si="27"/>
        <v>0.16647071202287028</v>
      </c>
      <c r="AP6">
        <f t="shared" si="28"/>
        <v>0.15021813302645301</v>
      </c>
      <c r="AQ6">
        <f t="shared" si="29"/>
        <v>0.17092205531488261</v>
      </c>
    </row>
    <row r="7" spans="1:43" x14ac:dyDescent="0.3">
      <c r="C7">
        <f t="shared" si="0"/>
        <v>0</v>
      </c>
      <c r="F7">
        <f t="shared" si="1"/>
        <v>0</v>
      </c>
      <c r="V7">
        <f t="shared" si="11"/>
        <v>0</v>
      </c>
      <c r="W7">
        <f t="shared" si="12"/>
        <v>0</v>
      </c>
      <c r="X7">
        <f t="shared" si="13"/>
        <v>0</v>
      </c>
      <c r="Y7">
        <f t="shared" si="14"/>
        <v>0</v>
      </c>
      <c r="Z7">
        <f t="shared" si="15"/>
        <v>0</v>
      </c>
      <c r="AB7" s="7">
        <f t="shared" si="16"/>
        <v>0</v>
      </c>
      <c r="AC7">
        <f t="shared" si="17"/>
        <v>0</v>
      </c>
      <c r="AD7">
        <f t="shared" si="18"/>
        <v>0</v>
      </c>
      <c r="AE7" s="6">
        <f t="shared" si="19"/>
        <v>0</v>
      </c>
      <c r="AG7" s="7">
        <f t="shared" si="20"/>
        <v>0</v>
      </c>
      <c r="AH7">
        <f t="shared" si="21"/>
        <v>0</v>
      </c>
      <c r="AI7">
        <f t="shared" si="22"/>
        <v>0</v>
      </c>
      <c r="AJ7" s="6">
        <f t="shared" si="23"/>
        <v>0</v>
      </c>
      <c r="AL7" s="3">
        <f t="shared" si="24"/>
        <v>0</v>
      </c>
      <c r="AM7" s="4">
        <f t="shared" si="25"/>
        <v>0</v>
      </c>
      <c r="AN7" s="5">
        <f t="shared" si="26"/>
        <v>0</v>
      </c>
    </row>
    <row r="8" spans="1:43" x14ac:dyDescent="0.3">
      <c r="A8">
        <v>82</v>
      </c>
      <c r="B8">
        <v>7.5</v>
      </c>
      <c r="C8">
        <f t="shared" si="0"/>
        <v>2128.9176367495575</v>
      </c>
      <c r="D8">
        <v>0</v>
      </c>
      <c r="E8">
        <v>92.5</v>
      </c>
      <c r="F8">
        <f t="shared" si="1"/>
        <v>3970.133005778679</v>
      </c>
      <c r="G8">
        <v>25.2</v>
      </c>
      <c r="H8">
        <v>82</v>
      </c>
      <c r="I8">
        <v>18.5</v>
      </c>
      <c r="J8">
        <f t="shared" si="2"/>
        <v>925</v>
      </c>
      <c r="K8">
        <v>7.3</v>
      </c>
      <c r="L8" t="s">
        <v>14</v>
      </c>
      <c r="M8">
        <f t="shared" si="3"/>
        <v>92.7</v>
      </c>
      <c r="N8">
        <f t="shared" si="4"/>
        <v>96.7</v>
      </c>
      <c r="O8">
        <f t="shared" si="5"/>
        <v>14.7</v>
      </c>
      <c r="P8">
        <f t="shared" si="6"/>
        <v>96.7</v>
      </c>
      <c r="Q8">
        <f t="shared" si="7"/>
        <v>0.215</v>
      </c>
      <c r="R8">
        <f t="shared" si="8"/>
        <v>0.252</v>
      </c>
      <c r="S8">
        <f t="shared" si="9"/>
        <v>7.2999999999999995E-2</v>
      </c>
      <c r="T8">
        <f t="shared" si="10"/>
        <v>10.220400000000001</v>
      </c>
      <c r="V8">
        <f t="shared" si="11"/>
        <v>5440.4623477373889</v>
      </c>
      <c r="W8">
        <f t="shared" si="12"/>
        <v>4.0479630563522244</v>
      </c>
      <c r="X8">
        <f t="shared" si="13"/>
        <v>2.9539680102519936</v>
      </c>
      <c r="Y8">
        <f t="shared" si="14"/>
        <v>0.68824404761904767</v>
      </c>
      <c r="Z8">
        <f t="shared" si="15"/>
        <v>3.6422120578710411</v>
      </c>
      <c r="AB8" s="7">
        <f t="shared" si="16"/>
        <v>0.87031205711572823</v>
      </c>
      <c r="AC8">
        <f t="shared" si="17"/>
        <v>0.7443999385835024</v>
      </c>
      <c r="AD8">
        <f t="shared" si="18"/>
        <v>5.0241815476190478E-2</v>
      </c>
      <c r="AE8" s="6">
        <f t="shared" si="19"/>
        <v>0.79464175405969284</v>
      </c>
      <c r="AG8" s="7">
        <f t="shared" si="20"/>
        <v>3.1776509992364965</v>
      </c>
      <c r="AH8">
        <f t="shared" si="21"/>
        <v>2.2095680716684911</v>
      </c>
      <c r="AI8">
        <f t="shared" si="22"/>
        <v>0.63800223214285723</v>
      </c>
      <c r="AJ8" s="6">
        <f t="shared" si="23"/>
        <v>2.8475703038113482</v>
      </c>
      <c r="AL8" s="3">
        <f t="shared" si="24"/>
        <v>0.40575099848118312</v>
      </c>
      <c r="AM8" s="4">
        <f t="shared" si="25"/>
        <v>7.5670303056035393E-2</v>
      </c>
      <c r="AN8" s="5">
        <f t="shared" si="26"/>
        <v>0.33008069542514828</v>
      </c>
      <c r="AO8">
        <f t="shared" si="27"/>
        <v>0.1002358452467748</v>
      </c>
      <c r="AP8">
        <f t="shared" si="28"/>
        <v>8.6946173429806067E-2</v>
      </c>
      <c r="AQ8">
        <f t="shared" si="29"/>
        <v>0.10387569166798297</v>
      </c>
    </row>
    <row r="9" spans="1:43" x14ac:dyDescent="0.3">
      <c r="A9">
        <v>83</v>
      </c>
      <c r="B9">
        <v>7.2</v>
      </c>
      <c r="C9">
        <f t="shared" si="0"/>
        <v>2043.7609312795751</v>
      </c>
      <c r="D9">
        <v>0</v>
      </c>
      <c r="E9">
        <v>91</v>
      </c>
      <c r="F9">
        <f t="shared" si="1"/>
        <v>3905.7524705498358</v>
      </c>
      <c r="G9">
        <v>23.6</v>
      </c>
      <c r="H9">
        <v>82</v>
      </c>
      <c r="I9">
        <v>10</v>
      </c>
      <c r="J9">
        <f t="shared" si="2"/>
        <v>500</v>
      </c>
      <c r="K9">
        <v>10.5</v>
      </c>
      <c r="L9" t="s">
        <v>14</v>
      </c>
      <c r="M9">
        <f t="shared" si="3"/>
        <v>89.5</v>
      </c>
      <c r="N9">
        <f t="shared" si="4"/>
        <v>97.7</v>
      </c>
      <c r="O9">
        <f t="shared" si="5"/>
        <v>14.7</v>
      </c>
      <c r="P9">
        <f t="shared" si="6"/>
        <v>96.7</v>
      </c>
      <c r="Q9">
        <f t="shared" si="7"/>
        <v>0.215</v>
      </c>
      <c r="R9">
        <f t="shared" si="8"/>
        <v>0.23600000000000002</v>
      </c>
      <c r="S9">
        <f t="shared" si="9"/>
        <v>0.105</v>
      </c>
      <c r="T9">
        <f t="shared" si="10"/>
        <v>12.110299999999999</v>
      </c>
      <c r="V9">
        <f t="shared" si="11"/>
        <v>5249.9756927833887</v>
      </c>
      <c r="W9">
        <f t="shared" si="12"/>
        <v>3.9062319142733553</v>
      </c>
      <c r="X9">
        <f t="shared" si="13"/>
        <v>2.9060658263019614</v>
      </c>
      <c r="Y9">
        <f t="shared" si="14"/>
        <v>0.37202380952380953</v>
      </c>
      <c r="Z9">
        <f t="shared" si="15"/>
        <v>3.2780896358257712</v>
      </c>
      <c r="AB9" s="7">
        <f t="shared" si="16"/>
        <v>0.83983986156877133</v>
      </c>
      <c r="AC9">
        <f t="shared" si="17"/>
        <v>0.68583153500726302</v>
      </c>
      <c r="AD9">
        <f t="shared" si="18"/>
        <v>3.90625E-2</v>
      </c>
      <c r="AE9" s="6">
        <f t="shared" si="19"/>
        <v>0.72489403500726302</v>
      </c>
      <c r="AG9" s="7">
        <f t="shared" si="20"/>
        <v>3.0663920527045838</v>
      </c>
      <c r="AH9">
        <f t="shared" si="21"/>
        <v>2.2202342912946986</v>
      </c>
      <c r="AI9">
        <f t="shared" si="22"/>
        <v>0.33296130952380953</v>
      </c>
      <c r="AJ9" s="6">
        <f t="shared" si="23"/>
        <v>2.5531956008185084</v>
      </c>
      <c r="AL9" s="3">
        <f t="shared" si="24"/>
        <v>0.6281422784475843</v>
      </c>
      <c r="AM9" s="4">
        <f t="shared" si="25"/>
        <v>0.11494582656150831</v>
      </c>
      <c r="AN9" s="5">
        <f t="shared" si="26"/>
        <v>0.51319645188607543</v>
      </c>
      <c r="AO9">
        <f t="shared" si="27"/>
        <v>0.16080516780182841</v>
      </c>
      <c r="AP9">
        <f t="shared" si="28"/>
        <v>0.13686636205478064</v>
      </c>
      <c r="AQ9">
        <f t="shared" si="29"/>
        <v>0.16736165600006425</v>
      </c>
    </row>
    <row r="10" spans="1:43" x14ac:dyDescent="0.3">
      <c r="A10">
        <v>83</v>
      </c>
      <c r="B10">
        <v>7</v>
      </c>
      <c r="C10">
        <f t="shared" si="0"/>
        <v>1986.9897942995867</v>
      </c>
      <c r="D10">
        <v>0</v>
      </c>
      <c r="E10">
        <v>89.5</v>
      </c>
      <c r="F10">
        <f t="shared" si="1"/>
        <v>3841.3719353209922</v>
      </c>
      <c r="G10">
        <v>22.3</v>
      </c>
      <c r="H10">
        <v>82</v>
      </c>
      <c r="I10">
        <v>2.5</v>
      </c>
      <c r="J10">
        <f t="shared" si="2"/>
        <v>125</v>
      </c>
      <c r="K10">
        <v>13.6</v>
      </c>
      <c r="L10" t="s">
        <v>14</v>
      </c>
      <c r="M10">
        <f t="shared" si="3"/>
        <v>86.4</v>
      </c>
      <c r="N10">
        <f t="shared" si="4"/>
        <v>97.7</v>
      </c>
      <c r="O10">
        <f t="shared" si="5"/>
        <v>14.7</v>
      </c>
      <c r="P10">
        <f t="shared" si="6"/>
        <v>96.7</v>
      </c>
      <c r="Q10">
        <f t="shared" si="7"/>
        <v>0.215</v>
      </c>
      <c r="R10">
        <f t="shared" si="8"/>
        <v>0.223</v>
      </c>
      <c r="S10">
        <f t="shared" si="9"/>
        <v>0.13600000000000001</v>
      </c>
      <c r="T10">
        <f t="shared" si="10"/>
        <v>13.80025</v>
      </c>
      <c r="V10">
        <f t="shared" si="11"/>
        <v>5104.1430346505158</v>
      </c>
      <c r="W10">
        <f t="shared" si="12"/>
        <v>3.7977254722102054</v>
      </c>
      <c r="X10">
        <f t="shared" si="13"/>
        <v>2.8581636423519288</v>
      </c>
      <c r="Y10">
        <f t="shared" si="14"/>
        <v>9.3005952380952384E-2</v>
      </c>
      <c r="Z10">
        <f t="shared" si="15"/>
        <v>2.9511695947328813</v>
      </c>
      <c r="AB10" s="7">
        <f t="shared" si="16"/>
        <v>0.81651097652519411</v>
      </c>
      <c r="AC10">
        <f t="shared" si="17"/>
        <v>0.63737049224448017</v>
      </c>
      <c r="AD10">
        <f t="shared" si="18"/>
        <v>1.2648809523809526E-2</v>
      </c>
      <c r="AE10" s="6">
        <f t="shared" si="19"/>
        <v>0.6500193017682897</v>
      </c>
      <c r="AG10" s="7">
        <f t="shared" si="20"/>
        <v>2.9812144956850113</v>
      </c>
      <c r="AH10">
        <f t="shared" si="21"/>
        <v>2.2207931501074487</v>
      </c>
      <c r="AI10">
        <f t="shared" si="22"/>
        <v>8.0357142857142863E-2</v>
      </c>
      <c r="AJ10" s="6">
        <f t="shared" si="23"/>
        <v>2.3011502929645915</v>
      </c>
      <c r="AL10" s="3">
        <f t="shared" si="24"/>
        <v>0.8465558774773243</v>
      </c>
      <c r="AM10" s="4">
        <f t="shared" si="25"/>
        <v>0.16649167475690441</v>
      </c>
      <c r="AN10" s="5">
        <f t="shared" si="26"/>
        <v>0.68006420272041979</v>
      </c>
      <c r="AO10">
        <f t="shared" si="27"/>
        <v>0.22291128826240422</v>
      </c>
      <c r="AP10">
        <f t="shared" si="28"/>
        <v>0.20390622973060199</v>
      </c>
      <c r="AQ10">
        <f t="shared" si="29"/>
        <v>0.2281164953762099</v>
      </c>
    </row>
    <row r="11" spans="1:43" x14ac:dyDescent="0.3">
      <c r="AO11">
        <f>AVERAGE(AO4:AO10)</f>
        <v>0.17230873194629051</v>
      </c>
      <c r="AP11">
        <f t="shared" ref="AP11:AQ11" si="30">AVERAGE(AP4:AP10)</f>
        <v>0.15427293089324212</v>
      </c>
      <c r="AQ11">
        <f t="shared" si="30"/>
        <v>0.17724847363597893</v>
      </c>
    </row>
    <row r="28" spans="1:7" x14ac:dyDescent="0.3">
      <c r="A28" t="s">
        <v>72</v>
      </c>
    </row>
    <row r="29" spans="1:7" x14ac:dyDescent="0.3">
      <c r="A29">
        <v>0.10730089204807242</v>
      </c>
      <c r="B29">
        <v>0</v>
      </c>
      <c r="F29" t="s">
        <v>74</v>
      </c>
      <c r="G29">
        <v>283.85568489994097</v>
      </c>
    </row>
    <row r="30" spans="1:7" x14ac:dyDescent="0.3">
      <c r="A30" t="s">
        <v>73</v>
      </c>
      <c r="B30">
        <v>42.920356819228964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DE67-507F-5F46-8F96-D370CAEC953F}">
  <dimension ref="A1:AC24"/>
  <sheetViews>
    <sheetView zoomScale="85" zoomScaleNormal="85" workbookViewId="0">
      <selection activeCell="G16" sqref="G16"/>
    </sheetView>
  </sheetViews>
  <sheetFormatPr defaultColWidth="11.19921875" defaultRowHeight="15.6" x14ac:dyDescent="0.3"/>
  <sheetData>
    <row r="1" spans="1:29" x14ac:dyDescent="0.3">
      <c r="A1" s="2" t="s">
        <v>0</v>
      </c>
      <c r="B1" s="2">
        <v>21.5</v>
      </c>
      <c r="C1" s="2" t="s">
        <v>0</v>
      </c>
      <c r="D1" s="2">
        <v>21.5</v>
      </c>
      <c r="E1" s="2"/>
      <c r="F1" s="2" t="s">
        <v>19</v>
      </c>
      <c r="G1" s="2">
        <v>78.5</v>
      </c>
      <c r="H1" s="2"/>
      <c r="I1" s="2"/>
      <c r="J1" s="2"/>
      <c r="K1" s="2"/>
      <c r="P1" t="s">
        <v>41</v>
      </c>
      <c r="U1" t="s">
        <v>45</v>
      </c>
      <c r="Z1" t="s">
        <v>46</v>
      </c>
    </row>
    <row r="2" spans="1:29" x14ac:dyDescent="0.3">
      <c r="A2" s="2" t="s">
        <v>4</v>
      </c>
      <c r="B2" s="2" t="s">
        <v>6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</v>
      </c>
      <c r="H2" s="2" t="s">
        <v>8</v>
      </c>
      <c r="I2" s="2" t="s">
        <v>3</v>
      </c>
      <c r="J2" s="2" t="s">
        <v>10</v>
      </c>
      <c r="K2" s="2" t="s">
        <v>2</v>
      </c>
      <c r="M2" s="2" t="s">
        <v>38</v>
      </c>
      <c r="O2" t="s">
        <v>75</v>
      </c>
      <c r="P2" t="s">
        <v>40</v>
      </c>
      <c r="Q2" t="s">
        <v>42</v>
      </c>
      <c r="R2" t="s">
        <v>43</v>
      </c>
      <c r="S2" t="s">
        <v>44</v>
      </c>
      <c r="U2" t="s">
        <v>40</v>
      </c>
      <c r="V2" t="s">
        <v>42</v>
      </c>
      <c r="W2" t="s">
        <v>43</v>
      </c>
      <c r="X2" t="s">
        <v>44</v>
      </c>
      <c r="Z2" t="s">
        <v>40</v>
      </c>
      <c r="AA2" t="s">
        <v>42</v>
      </c>
      <c r="AB2" t="s">
        <v>43</v>
      </c>
      <c r="AC2" t="s">
        <v>44</v>
      </c>
    </row>
    <row r="3" spans="1:29" x14ac:dyDescent="0.3">
      <c r="A3" t="s">
        <v>31</v>
      </c>
    </row>
    <row r="4" spans="1:29" x14ac:dyDescent="0.3">
      <c r="A4">
        <v>64</v>
      </c>
      <c r="B4">
        <v>94</v>
      </c>
      <c r="C4">
        <f>B4*$G$23</f>
        <v>26682.434380594452</v>
      </c>
      <c r="D4">
        <v>0</v>
      </c>
      <c r="E4">
        <v>94.5</v>
      </c>
      <c r="F4" s="5">
        <f>E4*$B$24</f>
        <v>4055.9737194171371</v>
      </c>
      <c r="G4">
        <v>44.1</v>
      </c>
      <c r="H4">
        <v>62</v>
      </c>
      <c r="I4">
        <v>140</v>
      </c>
      <c r="J4">
        <f>I4*400</f>
        <v>56000</v>
      </c>
      <c r="K4">
        <v>20</v>
      </c>
      <c r="L4" t="s">
        <v>18</v>
      </c>
      <c r="M4">
        <f>J4/F4</f>
        <v>13.806795574614194</v>
      </c>
      <c r="O4">
        <f>((14+A4)/14.7)^(1/2)*C4</f>
        <v>61463.046665261492</v>
      </c>
      <c r="P4">
        <f>O4/22.4*(1/1000)*(1000)*1/60</f>
        <v>45.731433530700521</v>
      </c>
      <c r="Q4">
        <f>F4/22.4*(1/1000)*(1000)*1/60</f>
        <v>3.0178375888520375</v>
      </c>
      <c r="R4">
        <f>J4/22.4*(1/1000)*(1000)*1/60</f>
        <v>41.666666666666664</v>
      </c>
      <c r="S4">
        <f t="shared" ref="S4:S13" si="0">Q4+R4</f>
        <v>44.684504255518704</v>
      </c>
      <c r="U4" s="7">
        <f>P4*$D$1/100</f>
        <v>9.8322582091006119</v>
      </c>
      <c r="V4">
        <f>Q4*G4/100</f>
        <v>1.3308663766837485</v>
      </c>
      <c r="W4">
        <f>R4*(K4/100)</f>
        <v>8.3333333333333339</v>
      </c>
      <c r="X4" s="6">
        <f>V4+W4</f>
        <v>9.6641997100170833</v>
      </c>
      <c r="Z4" s="7">
        <f>$G$1*P4/100</f>
        <v>35.899175321599913</v>
      </c>
      <c r="AA4">
        <f>(100-G4)/100*Q4</f>
        <v>1.6869712121682887</v>
      </c>
      <c r="AB4">
        <f>(100-K4)*R4/100</f>
        <v>33.333333333333329</v>
      </c>
      <c r="AC4" s="6">
        <f>AA4+AB4</f>
        <v>35.020304545501617</v>
      </c>
    </row>
    <row r="5" spans="1:29" x14ac:dyDescent="0.3">
      <c r="A5">
        <v>66</v>
      </c>
      <c r="B5">
        <v>74.5</v>
      </c>
      <c r="C5">
        <f t="shared" ref="C5:C13" si="1">B5*$G$23</f>
        <v>21147.248525045601</v>
      </c>
      <c r="D5">
        <v>0</v>
      </c>
      <c r="E5">
        <v>96</v>
      </c>
      <c r="F5" s="5">
        <f t="shared" ref="F5:F13" si="2">E5*$B$24</f>
        <v>4120.3542546459803</v>
      </c>
      <c r="G5">
        <v>43.8</v>
      </c>
      <c r="H5">
        <v>64</v>
      </c>
      <c r="I5">
        <v>110</v>
      </c>
      <c r="J5">
        <f>I5*400</f>
        <v>44000</v>
      </c>
      <c r="K5">
        <v>19.2</v>
      </c>
      <c r="L5" t="s">
        <v>18</v>
      </c>
      <c r="M5">
        <f t="shared" ref="M5:M13" si="3">J5/F5</f>
        <v>10.678693452240665</v>
      </c>
      <c r="O5">
        <f t="shared" ref="O5:O13" si="4">((14+A5)/14.7)^(1/2)*C5</f>
        <v>49333.303190653227</v>
      </c>
      <c r="P5">
        <f t="shared" ref="P5:P13" si="5">O5/22.4*(1/1000)*(1000)*1/60</f>
        <v>36.706326778759845</v>
      </c>
      <c r="Q5">
        <f t="shared" ref="Q5:Q13" si="6">F5/22.4*(1/1000)*(1000)*1/60</f>
        <v>3.0657397728020688</v>
      </c>
      <c r="R5">
        <f t="shared" ref="R5:R13" si="7">J5/22.4*(1/1000)*(1000)*1/60</f>
        <v>32.738095238095241</v>
      </c>
      <c r="S5">
        <f t="shared" si="0"/>
        <v>35.803835010897309</v>
      </c>
      <c r="U5" s="7">
        <f t="shared" ref="U5:U13" si="8">P5*$D$1/100</f>
        <v>7.8918602574333674</v>
      </c>
      <c r="V5">
        <f t="shared" ref="V5:V13" si="9">Q5*G5/100</f>
        <v>1.3427940204873061</v>
      </c>
      <c r="W5">
        <f t="shared" ref="W5:W13" si="10">R5*(K5/100)</f>
        <v>6.2857142857142865</v>
      </c>
      <c r="X5" s="6">
        <f t="shared" ref="X5:X13" si="11">V5+W5</f>
        <v>7.6285083062015921</v>
      </c>
      <c r="Z5" s="7">
        <f t="shared" ref="Z5:Z13" si="12">$G$1*P5/100</f>
        <v>28.814466521326477</v>
      </c>
      <c r="AA5">
        <f t="shared" ref="AA5:AA13" si="13">(100-G5)/100*Q5</f>
        <v>1.7229457523147629</v>
      </c>
      <c r="AB5">
        <f t="shared" ref="AB5:AB13" si="14">(100-K5)*R5/100</f>
        <v>26.452380952380953</v>
      </c>
      <c r="AC5" s="6">
        <f t="shared" ref="AC5:AC13" si="15">AA5+AB5</f>
        <v>28.175326704695717</v>
      </c>
    </row>
    <row r="6" spans="1:29" x14ac:dyDescent="0.3">
      <c r="A6">
        <v>67</v>
      </c>
      <c r="B6">
        <v>54.5</v>
      </c>
      <c r="C6">
        <f t="shared" si="1"/>
        <v>15470.134827046782</v>
      </c>
      <c r="D6">
        <v>0</v>
      </c>
      <c r="E6">
        <v>97.5</v>
      </c>
      <c r="F6" s="5">
        <f t="shared" si="2"/>
        <v>4184.7347898748239</v>
      </c>
      <c r="G6">
        <v>43.4</v>
      </c>
      <c r="H6">
        <v>65</v>
      </c>
      <c r="I6">
        <v>80</v>
      </c>
      <c r="J6">
        <f>I6*400</f>
        <v>32000</v>
      </c>
      <c r="K6">
        <v>18</v>
      </c>
      <c r="L6" t="s">
        <v>18</v>
      </c>
      <c r="M6">
        <f t="shared" si="3"/>
        <v>7.6468406259401691</v>
      </c>
      <c r="O6">
        <f t="shared" si="4"/>
        <v>36314.322053227734</v>
      </c>
      <c r="P6">
        <f t="shared" si="5"/>
        <v>27.019584861032548</v>
      </c>
      <c r="Q6">
        <f t="shared" si="6"/>
        <v>3.1136419567521019</v>
      </c>
      <c r="R6">
        <f t="shared" si="7"/>
        <v>23.80952380952381</v>
      </c>
      <c r="S6">
        <f t="shared" si="0"/>
        <v>26.923165766275911</v>
      </c>
      <c r="U6" s="7">
        <f t="shared" si="8"/>
        <v>5.8092107451219981</v>
      </c>
      <c r="V6">
        <f t="shared" si="9"/>
        <v>1.3513206092304122</v>
      </c>
      <c r="W6">
        <f t="shared" si="10"/>
        <v>4.2857142857142856</v>
      </c>
      <c r="X6" s="6">
        <f t="shared" si="11"/>
        <v>5.6370348949446978</v>
      </c>
      <c r="Z6" s="7">
        <f t="shared" si="12"/>
        <v>21.21037411591055</v>
      </c>
      <c r="AA6">
        <f t="shared" si="13"/>
        <v>1.7623213475216899</v>
      </c>
      <c r="AB6">
        <f t="shared" si="14"/>
        <v>19.523809523809526</v>
      </c>
      <c r="AC6" s="6">
        <f t="shared" si="15"/>
        <v>21.286130871331217</v>
      </c>
    </row>
    <row r="7" spans="1:29" x14ac:dyDescent="0.3">
      <c r="A7">
        <v>68</v>
      </c>
      <c r="B7">
        <v>37</v>
      </c>
      <c r="C7">
        <f t="shared" si="1"/>
        <v>10502.660341297817</v>
      </c>
      <c r="D7">
        <v>0</v>
      </c>
      <c r="E7">
        <v>97</v>
      </c>
      <c r="F7" s="5">
        <f t="shared" si="2"/>
        <v>4163.2746114652091</v>
      </c>
      <c r="G7">
        <v>42</v>
      </c>
      <c r="H7">
        <v>66</v>
      </c>
      <c r="I7">
        <v>50</v>
      </c>
      <c r="J7">
        <f>I7*400</f>
        <v>20000</v>
      </c>
      <c r="K7">
        <v>15.7</v>
      </c>
      <c r="L7" t="s">
        <v>18</v>
      </c>
      <c r="M7">
        <f t="shared" si="3"/>
        <v>4.8039108313734955</v>
      </c>
      <c r="O7">
        <f t="shared" si="4"/>
        <v>24805.476803723483</v>
      </c>
      <c r="P7">
        <f t="shared" si="5"/>
        <v>18.456455955151402</v>
      </c>
      <c r="Q7">
        <f t="shared" si="6"/>
        <v>3.0976745621020902</v>
      </c>
      <c r="R7">
        <f t="shared" si="7"/>
        <v>14.880952380952381</v>
      </c>
      <c r="S7">
        <f t="shared" si="0"/>
        <v>17.978626943054472</v>
      </c>
      <c r="U7" s="7">
        <f t="shared" si="8"/>
        <v>3.9681380303575513</v>
      </c>
      <c r="V7">
        <f t="shared" si="9"/>
        <v>1.3010233160828779</v>
      </c>
      <c r="W7">
        <f t="shared" si="10"/>
        <v>2.3363095238095237</v>
      </c>
      <c r="X7" s="6">
        <f t="shared" si="11"/>
        <v>3.6373328398924016</v>
      </c>
      <c r="Z7" s="7">
        <f t="shared" si="12"/>
        <v>14.488317924793851</v>
      </c>
      <c r="AA7">
        <f t="shared" si="13"/>
        <v>1.7966512460192121</v>
      </c>
      <c r="AB7">
        <f t="shared" si="14"/>
        <v>12.544642857142858</v>
      </c>
      <c r="AC7" s="6">
        <f t="shared" si="15"/>
        <v>14.34129410316207</v>
      </c>
    </row>
    <row r="8" spans="1:29" x14ac:dyDescent="0.3">
      <c r="A8">
        <v>69</v>
      </c>
      <c r="B8">
        <v>18</v>
      </c>
      <c r="C8">
        <f t="shared" si="1"/>
        <v>5109.4023281989375</v>
      </c>
      <c r="D8">
        <v>0</v>
      </c>
      <c r="E8">
        <v>91</v>
      </c>
      <c r="F8" s="5">
        <f t="shared" si="2"/>
        <v>3905.7524705498358</v>
      </c>
      <c r="G8">
        <v>37.4</v>
      </c>
      <c r="H8">
        <v>67</v>
      </c>
      <c r="I8">
        <v>20</v>
      </c>
      <c r="J8">
        <f>I8*400</f>
        <v>8000</v>
      </c>
      <c r="K8">
        <v>10.199999999999999</v>
      </c>
      <c r="L8" t="s">
        <v>18</v>
      </c>
      <c r="M8">
        <f t="shared" si="3"/>
        <v>2.0482608819482593</v>
      </c>
      <c r="O8">
        <f t="shared" si="4"/>
        <v>12140.888772021515</v>
      </c>
      <c r="P8">
        <f t="shared" si="5"/>
        <v>9.0333993839445821</v>
      </c>
      <c r="Q8">
        <f t="shared" si="6"/>
        <v>2.9060658263019614</v>
      </c>
      <c r="R8">
        <f t="shared" si="7"/>
        <v>5.9523809523809526</v>
      </c>
      <c r="S8">
        <f t="shared" si="0"/>
        <v>8.8584467786829144</v>
      </c>
      <c r="U8" s="7">
        <f t="shared" si="8"/>
        <v>1.9421808675480852</v>
      </c>
      <c r="V8">
        <f t="shared" si="9"/>
        <v>1.0868686190369337</v>
      </c>
      <c r="W8">
        <f t="shared" si="10"/>
        <v>0.6071428571428571</v>
      </c>
      <c r="X8" s="6">
        <f t="shared" si="11"/>
        <v>1.6940114761797909</v>
      </c>
      <c r="Z8" s="7">
        <f t="shared" si="12"/>
        <v>7.0912185163964967</v>
      </c>
      <c r="AA8">
        <f t="shared" si="13"/>
        <v>1.8191972072650278</v>
      </c>
      <c r="AB8">
        <f t="shared" si="14"/>
        <v>5.3452380952380949</v>
      </c>
      <c r="AC8" s="6">
        <f t="shared" si="15"/>
        <v>7.1644353025031222</v>
      </c>
    </row>
    <row r="9" spans="1:29" x14ac:dyDescent="0.3">
      <c r="A9">
        <v>69</v>
      </c>
      <c r="B9">
        <v>19</v>
      </c>
      <c r="C9">
        <f t="shared" si="1"/>
        <v>5393.2580130988781</v>
      </c>
      <c r="D9">
        <v>0</v>
      </c>
      <c r="E9">
        <v>91.5</v>
      </c>
      <c r="F9" s="5">
        <f t="shared" si="2"/>
        <v>3927.2126489594502</v>
      </c>
      <c r="G9">
        <v>37.700000000000003</v>
      </c>
      <c r="H9">
        <v>67</v>
      </c>
      <c r="I9">
        <v>140</v>
      </c>
      <c r="J9">
        <f>I9*50</f>
        <v>7000</v>
      </c>
      <c r="K9">
        <v>10.3</v>
      </c>
      <c r="L9" t="s">
        <v>18</v>
      </c>
      <c r="M9">
        <f t="shared" si="3"/>
        <v>1.7824346745915864</v>
      </c>
      <c r="O9">
        <f t="shared" si="4"/>
        <v>12815.382592689377</v>
      </c>
      <c r="P9">
        <f t="shared" si="5"/>
        <v>9.5352549052748348</v>
      </c>
      <c r="Q9">
        <f t="shared" si="6"/>
        <v>2.9220332209519722</v>
      </c>
      <c r="R9">
        <f t="shared" si="7"/>
        <v>5.208333333333333</v>
      </c>
      <c r="S9">
        <f t="shared" si="0"/>
        <v>8.1303665542853061</v>
      </c>
      <c r="U9" s="7">
        <f t="shared" si="8"/>
        <v>2.0500798046340893</v>
      </c>
      <c r="V9">
        <f t="shared" si="9"/>
        <v>1.1016065242988935</v>
      </c>
      <c r="W9">
        <f t="shared" si="10"/>
        <v>0.53645833333333337</v>
      </c>
      <c r="X9" s="6">
        <f t="shared" si="11"/>
        <v>1.638064857632227</v>
      </c>
      <c r="Z9" s="7">
        <f t="shared" si="12"/>
        <v>7.4851751006407445</v>
      </c>
      <c r="AA9">
        <f t="shared" si="13"/>
        <v>1.8204266966530787</v>
      </c>
      <c r="AB9">
        <f t="shared" si="14"/>
        <v>4.671875</v>
      </c>
      <c r="AC9" s="6">
        <f t="shared" si="15"/>
        <v>6.4923016966530787</v>
      </c>
    </row>
    <row r="10" spans="1:29" x14ac:dyDescent="0.3">
      <c r="A10">
        <v>68</v>
      </c>
      <c r="B10">
        <v>17.5</v>
      </c>
      <c r="C10">
        <f t="shared" si="1"/>
        <v>4967.4744857489668</v>
      </c>
      <c r="D10">
        <v>0</v>
      </c>
      <c r="E10">
        <v>90</v>
      </c>
      <c r="F10" s="5">
        <f t="shared" si="2"/>
        <v>3862.8321137306066</v>
      </c>
      <c r="G10">
        <v>36.299999999999997</v>
      </c>
      <c r="H10">
        <v>67</v>
      </c>
      <c r="I10">
        <v>110</v>
      </c>
      <c r="J10">
        <f>I10*50</f>
        <v>5500</v>
      </c>
      <c r="K10">
        <v>9.6</v>
      </c>
      <c r="L10" t="s">
        <v>18</v>
      </c>
      <c r="M10">
        <f t="shared" si="3"/>
        <v>1.4238257936320888</v>
      </c>
      <c r="O10">
        <f t="shared" si="4"/>
        <v>11732.320109869213</v>
      </c>
      <c r="P10">
        <f t="shared" si="5"/>
        <v>8.7294048436526896</v>
      </c>
      <c r="Q10">
        <f t="shared" si="6"/>
        <v>2.8741310370019395</v>
      </c>
      <c r="R10">
        <f t="shared" si="7"/>
        <v>4.0922619047619051</v>
      </c>
      <c r="S10">
        <f t="shared" si="0"/>
        <v>6.9663929417638446</v>
      </c>
      <c r="U10" s="7">
        <f t="shared" si="8"/>
        <v>1.8768220413853283</v>
      </c>
      <c r="V10">
        <f t="shared" si="9"/>
        <v>1.043309566431704</v>
      </c>
      <c r="W10">
        <f t="shared" si="10"/>
        <v>0.3928571428571429</v>
      </c>
      <c r="X10" s="6">
        <f t="shared" si="11"/>
        <v>1.4361667092888468</v>
      </c>
      <c r="Z10" s="7">
        <f t="shared" si="12"/>
        <v>6.8525828022673609</v>
      </c>
      <c r="AA10">
        <f t="shared" si="13"/>
        <v>1.8308214705702355</v>
      </c>
      <c r="AB10">
        <f t="shared" si="14"/>
        <v>3.6994047619047628</v>
      </c>
      <c r="AC10" s="6">
        <f t="shared" si="15"/>
        <v>5.5302262324749982</v>
      </c>
    </row>
    <row r="11" spans="1:29" x14ac:dyDescent="0.3">
      <c r="A11">
        <v>68</v>
      </c>
      <c r="B11">
        <v>13.5</v>
      </c>
      <c r="C11">
        <f t="shared" si="1"/>
        <v>3832.0517461492032</v>
      </c>
      <c r="D11">
        <v>0</v>
      </c>
      <c r="E11">
        <v>87.5</v>
      </c>
      <c r="F11" s="5">
        <f t="shared" si="2"/>
        <v>3755.5312216825341</v>
      </c>
      <c r="G11">
        <v>34.299999999999997</v>
      </c>
      <c r="H11">
        <v>68</v>
      </c>
      <c r="I11">
        <v>80</v>
      </c>
      <c r="J11">
        <f>I11*50</f>
        <v>4000</v>
      </c>
      <c r="K11">
        <v>8.6</v>
      </c>
      <c r="L11" t="s">
        <v>18</v>
      </c>
      <c r="M11">
        <f t="shared" si="3"/>
        <v>1.0650956586130951</v>
      </c>
      <c r="O11">
        <f t="shared" si="4"/>
        <v>9050.6469418991092</v>
      </c>
      <c r="P11">
        <f t="shared" si="5"/>
        <v>6.7341123079606469</v>
      </c>
      <c r="Q11">
        <f t="shared" si="6"/>
        <v>2.7942940637518858</v>
      </c>
      <c r="R11">
        <f t="shared" si="7"/>
        <v>2.9761904761904763</v>
      </c>
      <c r="S11">
        <f t="shared" si="0"/>
        <v>5.7704845399423625</v>
      </c>
      <c r="U11" s="7">
        <f t="shared" si="8"/>
        <v>1.4478341462115389</v>
      </c>
      <c r="V11">
        <f t="shared" si="9"/>
        <v>0.9584428638668967</v>
      </c>
      <c r="W11">
        <f t="shared" si="10"/>
        <v>0.25595238095238093</v>
      </c>
      <c r="X11" s="6">
        <f t="shared" si="11"/>
        <v>1.2143952448192776</v>
      </c>
      <c r="Z11" s="7">
        <f t="shared" si="12"/>
        <v>5.2862781617491077</v>
      </c>
      <c r="AA11">
        <f t="shared" si="13"/>
        <v>1.8358511998849891</v>
      </c>
      <c r="AB11">
        <f t="shared" si="14"/>
        <v>2.7202380952380958</v>
      </c>
      <c r="AC11" s="6">
        <f t="shared" si="15"/>
        <v>4.5560892951230851</v>
      </c>
    </row>
    <row r="12" spans="1:29" x14ac:dyDescent="0.3">
      <c r="A12">
        <v>68</v>
      </c>
      <c r="B12">
        <v>11.5</v>
      </c>
      <c r="C12">
        <f t="shared" si="1"/>
        <v>3264.3403763493211</v>
      </c>
      <c r="D12">
        <v>0</v>
      </c>
      <c r="E12">
        <v>83</v>
      </c>
      <c r="F12" s="5">
        <f t="shared" si="2"/>
        <v>3562.3896159960041</v>
      </c>
      <c r="G12">
        <v>31.4</v>
      </c>
      <c r="H12">
        <v>68</v>
      </c>
      <c r="I12">
        <v>50</v>
      </c>
      <c r="J12">
        <f>I12*50</f>
        <v>2500</v>
      </c>
      <c r="K12">
        <v>7.2</v>
      </c>
      <c r="L12" t="s">
        <v>18</v>
      </c>
      <c r="M12">
        <f t="shared" si="3"/>
        <v>0.70177613048679066</v>
      </c>
      <c r="O12">
        <f t="shared" si="4"/>
        <v>7709.8103579140552</v>
      </c>
      <c r="P12">
        <f t="shared" si="5"/>
        <v>5.7364660401146246</v>
      </c>
      <c r="Q12">
        <f t="shared" si="6"/>
        <v>2.6505875119017888</v>
      </c>
      <c r="R12">
        <f t="shared" si="7"/>
        <v>1.8601190476190477</v>
      </c>
      <c r="S12">
        <f t="shared" si="0"/>
        <v>4.5107065595208367</v>
      </c>
      <c r="U12" s="7">
        <f t="shared" si="8"/>
        <v>1.2333401986246444</v>
      </c>
      <c r="V12">
        <f t="shared" si="9"/>
        <v>0.8322844787371616</v>
      </c>
      <c r="W12">
        <f t="shared" si="10"/>
        <v>0.13392857142857145</v>
      </c>
      <c r="X12" s="6">
        <f t="shared" si="11"/>
        <v>0.96621305016573311</v>
      </c>
      <c r="Z12" s="7">
        <f t="shared" si="12"/>
        <v>4.5031258414899806</v>
      </c>
      <c r="AA12">
        <f t="shared" si="13"/>
        <v>1.818303033164627</v>
      </c>
      <c r="AB12">
        <f t="shared" si="14"/>
        <v>1.7261904761904763</v>
      </c>
      <c r="AC12" s="6">
        <f t="shared" si="15"/>
        <v>3.5444935093551031</v>
      </c>
    </row>
    <row r="13" spans="1:29" x14ac:dyDescent="0.3">
      <c r="A13">
        <v>69</v>
      </c>
      <c r="B13">
        <v>8</v>
      </c>
      <c r="C13">
        <f t="shared" si="1"/>
        <v>2270.8454791995277</v>
      </c>
      <c r="D13">
        <v>0</v>
      </c>
      <c r="E13">
        <v>77.5</v>
      </c>
      <c r="F13" s="5">
        <f t="shared" si="2"/>
        <v>3326.3276534902448</v>
      </c>
      <c r="G13">
        <v>26.2</v>
      </c>
      <c r="H13">
        <v>68</v>
      </c>
      <c r="I13">
        <v>20</v>
      </c>
      <c r="J13">
        <f>I13*50</f>
        <v>1000</v>
      </c>
      <c r="K13">
        <v>6</v>
      </c>
      <c r="L13" t="s">
        <v>18</v>
      </c>
      <c r="M13">
        <f t="shared" si="3"/>
        <v>0.3006318391246639</v>
      </c>
      <c r="O13">
        <f t="shared" si="4"/>
        <v>5395.950565342896</v>
      </c>
      <c r="P13">
        <f t="shared" si="5"/>
        <v>4.0148441706420366</v>
      </c>
      <c r="Q13">
        <f t="shared" si="6"/>
        <v>2.4749461707516702</v>
      </c>
      <c r="R13">
        <f t="shared" si="7"/>
        <v>0.74404761904761907</v>
      </c>
      <c r="S13">
        <f t="shared" si="0"/>
        <v>3.2189937897992893</v>
      </c>
      <c r="U13" s="7">
        <f t="shared" si="8"/>
        <v>0.86319149668803785</v>
      </c>
      <c r="V13">
        <f t="shared" si="9"/>
        <v>0.64843589673693758</v>
      </c>
      <c r="W13">
        <f t="shared" si="10"/>
        <v>4.4642857142857144E-2</v>
      </c>
      <c r="X13" s="6">
        <f t="shared" si="11"/>
        <v>0.69307875387979467</v>
      </c>
      <c r="Z13" s="7">
        <f t="shared" si="12"/>
        <v>3.1516526739539987</v>
      </c>
      <c r="AA13">
        <f t="shared" si="13"/>
        <v>1.8265102740147325</v>
      </c>
      <c r="AB13">
        <f t="shared" si="14"/>
        <v>0.69940476190476186</v>
      </c>
      <c r="AC13" s="6">
        <f t="shared" si="15"/>
        <v>2.5259150359194944</v>
      </c>
    </row>
    <row r="14" spans="1:29" x14ac:dyDescent="0.3">
      <c r="U14" s="7"/>
      <c r="X14" s="6"/>
      <c r="Z14" s="7"/>
      <c r="AC14" s="6"/>
    </row>
    <row r="15" spans="1:29" x14ac:dyDescent="0.3">
      <c r="U15" s="7"/>
      <c r="X15" s="6"/>
      <c r="Z15" s="7"/>
      <c r="AC15" s="6"/>
    </row>
    <row r="16" spans="1:29" x14ac:dyDescent="0.3">
      <c r="U16" s="7"/>
      <c r="X16" s="6"/>
      <c r="Z16" s="7"/>
      <c r="AC16" s="6"/>
    </row>
    <row r="17" spans="1:29" x14ac:dyDescent="0.3">
      <c r="U17" s="7"/>
      <c r="X17" s="6"/>
      <c r="Z17" s="7"/>
      <c r="AC17" s="6"/>
    </row>
    <row r="18" spans="1:29" x14ac:dyDescent="0.3">
      <c r="U18" s="7"/>
      <c r="X18" s="6"/>
      <c r="Z18" s="7"/>
      <c r="AC18" s="6"/>
    </row>
    <row r="19" spans="1:29" x14ac:dyDescent="0.3">
      <c r="U19" s="7"/>
      <c r="X19" s="6"/>
      <c r="Z19" s="7"/>
      <c r="AC19" s="6"/>
    </row>
    <row r="20" spans="1:29" x14ac:dyDescent="0.3">
      <c r="U20" s="7"/>
      <c r="X20" s="6"/>
      <c r="Z20" s="7"/>
      <c r="AC20" s="6"/>
    </row>
    <row r="21" spans="1:29" x14ac:dyDescent="0.3">
      <c r="U21" s="7"/>
      <c r="X21" s="6"/>
      <c r="Z21" s="7"/>
      <c r="AC21" s="6"/>
    </row>
    <row r="22" spans="1:29" x14ac:dyDescent="0.3">
      <c r="A22" t="s">
        <v>72</v>
      </c>
      <c r="U22" s="7"/>
      <c r="X22" s="6"/>
      <c r="Z22" s="7"/>
      <c r="AC22" s="6"/>
    </row>
    <row r="23" spans="1:29" x14ac:dyDescent="0.3">
      <c r="A23">
        <v>0.10730089204807242</v>
      </c>
      <c r="B23">
        <v>0</v>
      </c>
      <c r="F23" t="s">
        <v>74</v>
      </c>
      <c r="G23">
        <v>283.85568489994097</v>
      </c>
    </row>
    <row r="24" spans="1:29" x14ac:dyDescent="0.3">
      <c r="A24" t="s">
        <v>73</v>
      </c>
      <c r="B24">
        <v>42.920356819228964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Khoa Bui</cp:lastModifiedBy>
  <dcterms:created xsi:type="dcterms:W3CDTF">2022-07-21T14:06:20Z</dcterms:created>
  <dcterms:modified xsi:type="dcterms:W3CDTF">2022-07-28T02:59:42Z</dcterms:modified>
</cp:coreProperties>
</file>