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g\Documents\CBE 424\membrane\"/>
    </mc:Choice>
  </mc:AlternateContent>
  <xr:revisionPtr revIDLastSave="0" documentId="13_ncr:1_{830C348A-C490-48A1-A059-399BDCA8BDAD}" xr6:coauthVersionLast="47" xr6:coauthVersionMax="47" xr10:uidLastSave="{00000000-0000-0000-0000-000000000000}"/>
  <bookViews>
    <workbookView xWindow="-108" yWindow="-108" windowWidth="23256" windowHeight="12576" xr2:uid="{B366458E-63B8-4901-B472-873601E4D7A6}"/>
  </bookViews>
  <sheets>
    <sheet name="Tas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58" i="1" l="1" a="1"/>
  <c r="U58" i="1" s="1"/>
  <c r="Z61" i="1"/>
  <c r="Z62" i="1"/>
  <c r="Z63" i="1"/>
  <c r="Z64" i="1"/>
  <c r="Z65" i="1"/>
  <c r="Z60" i="1"/>
  <c r="Y60" i="1"/>
  <c r="Y61" i="1"/>
  <c r="Y62" i="1"/>
  <c r="Y63" i="1"/>
  <c r="AD63" i="1" s="1"/>
  <c r="Y64" i="1"/>
  <c r="AC64" i="1" s="1"/>
  <c r="Y65" i="1"/>
  <c r="AC60" i="1"/>
  <c r="Y48" i="1"/>
  <c r="AD61" i="1"/>
  <c r="AD62" i="1"/>
  <c r="AD65" i="1"/>
  <c r="AD60" i="1"/>
  <c r="AC61" i="1"/>
  <c r="AC62" i="1"/>
  <c r="AC65" i="1"/>
  <c r="AB61" i="1"/>
  <c r="AB62" i="1"/>
  <c r="AB63" i="1"/>
  <c r="AB64" i="1"/>
  <c r="AB65" i="1"/>
  <c r="AB60" i="1"/>
  <c r="AA61" i="1"/>
  <c r="AA62" i="1"/>
  <c r="AA63" i="1"/>
  <c r="AA64" i="1"/>
  <c r="AA65" i="1"/>
  <c r="AA60" i="1"/>
  <c r="AI44" i="1"/>
  <c r="AI45" i="1"/>
  <c r="AI46" i="1"/>
  <c r="AI47" i="1"/>
  <c r="AI48" i="1"/>
  <c r="AI49" i="1"/>
  <c r="AI50" i="1"/>
  <c r="AI43" i="1"/>
  <c r="AE53" i="1" s="1" a="1"/>
  <c r="AE53" i="1" s="1"/>
  <c r="AH44" i="1"/>
  <c r="AH45" i="1"/>
  <c r="AH46" i="1"/>
  <c r="AH47" i="1"/>
  <c r="AH48" i="1"/>
  <c r="AH49" i="1"/>
  <c r="AH50" i="1"/>
  <c r="AH43" i="1"/>
  <c r="AF22" i="1"/>
  <c r="P48" i="1"/>
  <c r="J4" i="1"/>
  <c r="AK44" i="1"/>
  <c r="AK45" i="1"/>
  <c r="AK46" i="1"/>
  <c r="AK47" i="1"/>
  <c r="AK48" i="1"/>
  <c r="AK49" i="1"/>
  <c r="AK50" i="1"/>
  <c r="AK43" i="1"/>
  <c r="P31" i="1"/>
  <c r="S31" i="1"/>
  <c r="U60" i="1" l="1" a="1"/>
  <c r="U60" i="1" s="1"/>
  <c r="AC63" i="1"/>
  <c r="U59" i="1" a="1"/>
  <c r="U59" i="1" s="1"/>
  <c r="AD64" i="1"/>
  <c r="AE54" i="1"/>
  <c r="W9" i="1"/>
  <c r="X53" i="1"/>
  <c r="Y53" i="1" s="1"/>
  <c r="S53" i="1"/>
  <c r="Q53" i="1"/>
  <c r="P53" i="1"/>
  <c r="J53" i="1"/>
  <c r="U53" i="1" s="1"/>
  <c r="F53" i="1"/>
  <c r="C53" i="1"/>
  <c r="X52" i="1"/>
  <c r="Y52" i="1" s="1"/>
  <c r="S52" i="1"/>
  <c r="Q52" i="1"/>
  <c r="P52" i="1"/>
  <c r="R52" i="1" s="1"/>
  <c r="J52" i="1"/>
  <c r="U52" i="1" s="1"/>
  <c r="F52" i="1"/>
  <c r="C52" i="1"/>
  <c r="X51" i="1"/>
  <c r="Y51" i="1" s="1"/>
  <c r="S51" i="1"/>
  <c r="Q51" i="1"/>
  <c r="P51" i="1"/>
  <c r="J51" i="1"/>
  <c r="U51" i="1" s="1"/>
  <c r="F51" i="1"/>
  <c r="C51" i="1"/>
  <c r="X50" i="1"/>
  <c r="Y50" i="1" s="1"/>
  <c r="S50" i="1"/>
  <c r="Q50" i="1"/>
  <c r="P50" i="1"/>
  <c r="R50" i="1" s="1"/>
  <c r="J50" i="1"/>
  <c r="U50" i="1" s="1"/>
  <c r="F50" i="1"/>
  <c r="C50" i="1"/>
  <c r="X49" i="1"/>
  <c r="Y49" i="1" s="1"/>
  <c r="S49" i="1"/>
  <c r="Q49" i="1"/>
  <c r="P49" i="1"/>
  <c r="J49" i="1"/>
  <c r="U49" i="1" s="1"/>
  <c r="F49" i="1"/>
  <c r="C49" i="1"/>
  <c r="X48" i="1"/>
  <c r="S48" i="1"/>
  <c r="Q48" i="1"/>
  <c r="R48" i="1" s="1"/>
  <c r="J48" i="1"/>
  <c r="U48" i="1" s="1"/>
  <c r="F48" i="1"/>
  <c r="C48" i="1"/>
  <c r="X38" i="1"/>
  <c r="Y38" i="1" s="1"/>
  <c r="S38" i="1"/>
  <c r="Q38" i="1"/>
  <c r="P38" i="1"/>
  <c r="J38" i="1"/>
  <c r="U38" i="1" s="1"/>
  <c r="F38" i="1"/>
  <c r="C38" i="1"/>
  <c r="X37" i="1"/>
  <c r="Y37" i="1" s="1"/>
  <c r="S37" i="1"/>
  <c r="Q37" i="1"/>
  <c r="P37" i="1"/>
  <c r="AJ49" i="1" s="1"/>
  <c r="J37" i="1"/>
  <c r="U37" i="1" s="1"/>
  <c r="F37" i="1"/>
  <c r="C37" i="1"/>
  <c r="Y36" i="1"/>
  <c r="X36" i="1"/>
  <c r="S36" i="1"/>
  <c r="Q36" i="1"/>
  <c r="P36" i="1"/>
  <c r="J36" i="1"/>
  <c r="U36" i="1" s="1"/>
  <c r="F36" i="1"/>
  <c r="C36" i="1"/>
  <c r="X35" i="1"/>
  <c r="Y35" i="1" s="1"/>
  <c r="U35" i="1"/>
  <c r="S35" i="1"/>
  <c r="Q35" i="1"/>
  <c r="P35" i="1"/>
  <c r="AJ47" i="1" s="1"/>
  <c r="J35" i="1"/>
  <c r="F35" i="1"/>
  <c r="C35" i="1"/>
  <c r="X34" i="1"/>
  <c r="Y34" i="1" s="1"/>
  <c r="S34" i="1"/>
  <c r="Q34" i="1"/>
  <c r="R34" i="1" s="1"/>
  <c r="P34" i="1"/>
  <c r="J34" i="1"/>
  <c r="U34" i="1" s="1"/>
  <c r="F34" i="1"/>
  <c r="C34" i="1"/>
  <c r="X33" i="1"/>
  <c r="Y33" i="1" s="1"/>
  <c r="S33" i="1"/>
  <c r="R33" i="1"/>
  <c r="Q33" i="1"/>
  <c r="P33" i="1"/>
  <c r="AJ45" i="1" s="1"/>
  <c r="J33" i="1"/>
  <c r="U33" i="1" s="1"/>
  <c r="F33" i="1"/>
  <c r="C33" i="1"/>
  <c r="X32" i="1"/>
  <c r="Y32" i="1" s="1"/>
  <c r="S32" i="1"/>
  <c r="Q32" i="1"/>
  <c r="P32" i="1"/>
  <c r="J32" i="1"/>
  <c r="U32" i="1" s="1"/>
  <c r="F32" i="1"/>
  <c r="C32" i="1"/>
  <c r="X31" i="1"/>
  <c r="Y31" i="1" s="1"/>
  <c r="U31" i="1"/>
  <c r="Q31" i="1"/>
  <c r="J31" i="1"/>
  <c r="F31" i="1"/>
  <c r="C31" i="1"/>
  <c r="J25" i="1"/>
  <c r="R25" i="1" s="1"/>
  <c r="J24" i="1"/>
  <c r="R24" i="1" s="1"/>
  <c r="R23" i="1"/>
  <c r="AC23" i="1" s="1"/>
  <c r="J23" i="1"/>
  <c r="R22" i="1"/>
  <c r="AC22" i="1" s="1"/>
  <c r="R21" i="1"/>
  <c r="W21" i="1" s="1"/>
  <c r="J21" i="1"/>
  <c r="R20" i="1"/>
  <c r="W20" i="1" s="1"/>
  <c r="J20" i="1"/>
  <c r="J19" i="1"/>
  <c r="R19" i="1" s="1"/>
  <c r="R18" i="1"/>
  <c r="J18" i="1"/>
  <c r="J17" i="1"/>
  <c r="R17" i="1" s="1"/>
  <c r="AC17" i="1" s="1"/>
  <c r="U12" i="1"/>
  <c r="T12" i="1"/>
  <c r="S12" i="1"/>
  <c r="W12" i="1" s="1"/>
  <c r="R12" i="1"/>
  <c r="AW12" i="1" s="1"/>
  <c r="Q12" i="1"/>
  <c r="P12" i="1"/>
  <c r="J12" i="1"/>
  <c r="U11" i="1"/>
  <c r="T11" i="1"/>
  <c r="S11" i="1"/>
  <c r="R11" i="1"/>
  <c r="AW11" i="1" s="1"/>
  <c r="BC11" i="1" s="1"/>
  <c r="Q11" i="1"/>
  <c r="P11" i="1"/>
  <c r="J11" i="1"/>
  <c r="U10" i="1"/>
  <c r="T10" i="1"/>
  <c r="S10" i="1"/>
  <c r="W10" i="1" s="1"/>
  <c r="R10" i="1"/>
  <c r="AD10" i="1" s="1"/>
  <c r="AF10" i="1" s="1"/>
  <c r="Q10" i="1"/>
  <c r="P10" i="1"/>
  <c r="J10" i="1"/>
  <c r="AW9" i="1"/>
  <c r="BC9" i="1" s="1"/>
  <c r="AV9" i="1"/>
  <c r="BB9" i="1" s="1"/>
  <c r="AU9" i="1"/>
  <c r="AD8" i="1"/>
  <c r="U8" i="1"/>
  <c r="T8" i="1"/>
  <c r="S8" i="1"/>
  <c r="W8" i="1" s="1"/>
  <c r="R8" i="1"/>
  <c r="Q8" i="1"/>
  <c r="P8" i="1"/>
  <c r="J8" i="1"/>
  <c r="AF7" i="1"/>
  <c r="U7" i="1"/>
  <c r="T7" i="1"/>
  <c r="S7" i="1"/>
  <c r="W7" i="1" s="1"/>
  <c r="R7" i="1"/>
  <c r="AD7" i="1" s="1"/>
  <c r="AE7" i="1" s="1"/>
  <c r="Q7" i="1"/>
  <c r="AL18" i="1" s="1"/>
  <c r="P7" i="1"/>
  <c r="J7" i="1"/>
  <c r="AD6" i="1"/>
  <c r="U6" i="1"/>
  <c r="T6" i="1"/>
  <c r="S6" i="1"/>
  <c r="R6" i="1"/>
  <c r="AW6" i="1" s="1"/>
  <c r="Q6" i="1"/>
  <c r="AK17" i="1" s="1"/>
  <c r="P6" i="1"/>
  <c r="J6" i="1"/>
  <c r="AF5" i="1"/>
  <c r="U5" i="1"/>
  <c r="T5" i="1"/>
  <c r="S5" i="1"/>
  <c r="V5" i="1" s="1"/>
  <c r="R5" i="1"/>
  <c r="AD5" i="1" s="1"/>
  <c r="AE5" i="1" s="1"/>
  <c r="Q5" i="1"/>
  <c r="P5" i="1"/>
  <c r="J5" i="1"/>
  <c r="U4" i="1"/>
  <c r="T4" i="1"/>
  <c r="S4" i="1"/>
  <c r="R4" i="1"/>
  <c r="AM15" i="1" s="1"/>
  <c r="Q4" i="1"/>
  <c r="P4" i="1"/>
  <c r="B4" i="1"/>
  <c r="G1" i="1"/>
  <c r="W24" i="1" l="1"/>
  <c r="AC24" i="1"/>
  <c r="AZ11" i="1"/>
  <c r="W17" i="1"/>
  <c r="R32" i="1"/>
  <c r="AJ44" i="1"/>
  <c r="W5" i="1"/>
  <c r="AC18" i="1"/>
  <c r="W18" i="1"/>
  <c r="AJ43" i="1"/>
  <c r="R31" i="1"/>
  <c r="P43" i="1" s="1" a="1"/>
  <c r="P43" i="1" s="1"/>
  <c r="AN19" i="1"/>
  <c r="AM19" i="1"/>
  <c r="AO18" i="1" s="1"/>
  <c r="AW7" i="1"/>
  <c r="BC7" i="1" s="1"/>
  <c r="AL15" i="1"/>
  <c r="AO15" i="1" s="1"/>
  <c r="AK15" i="1"/>
  <c r="AJ46" i="1"/>
  <c r="W11" i="1"/>
  <c r="W4" i="1"/>
  <c r="R36" i="1"/>
  <c r="AJ48" i="1"/>
  <c r="AN15" i="1"/>
  <c r="AW8" i="1"/>
  <c r="AY9" i="1"/>
  <c r="R35" i="1"/>
  <c r="AJ50" i="1"/>
  <c r="R51" i="1"/>
  <c r="R53" i="1"/>
  <c r="V4" i="1"/>
  <c r="AZ9" i="1"/>
  <c r="R37" i="1"/>
  <c r="AW5" i="1"/>
  <c r="AD11" i="1"/>
  <c r="AF11" i="1" s="1"/>
  <c r="R38" i="1"/>
  <c r="W6" i="1"/>
  <c r="AZ8" i="1"/>
  <c r="BC8" i="1"/>
  <c r="AZ6" i="1"/>
  <c r="BC6" i="1"/>
  <c r="BC12" i="1"/>
  <c r="AZ12" i="1"/>
  <c r="AL16" i="1"/>
  <c r="AE6" i="1"/>
  <c r="AF6" i="1"/>
  <c r="AU21" i="1"/>
  <c r="AX9" i="1"/>
  <c r="AX21" i="1" s="1"/>
  <c r="BD9" i="1"/>
  <c r="V12" i="1"/>
  <c r="AD4" i="1"/>
  <c r="V8" i="1"/>
  <c r="AD12" i="1"/>
  <c r="AK16" i="1"/>
  <c r="AL17" i="1"/>
  <c r="R49" i="1"/>
  <c r="P58" i="1" s="1" a="1"/>
  <c r="P58" i="1" s="1"/>
  <c r="P59" i="1" s="1"/>
  <c r="AE8" i="1"/>
  <c r="AF8" i="1"/>
  <c r="AE10" i="1"/>
  <c r="AL19" i="1"/>
  <c r="AZ7" i="1"/>
  <c r="AW10" i="1"/>
  <c r="BA9" i="1"/>
  <c r="BA21" i="1" s="1"/>
  <c r="V10" i="1"/>
  <c r="W19" i="1"/>
  <c r="AC19" i="1"/>
  <c r="AC20" i="1"/>
  <c r="AW4" i="1"/>
  <c r="AC21" i="1"/>
  <c r="AK19" i="1"/>
  <c r="V6" i="1"/>
  <c r="V7" i="1"/>
  <c r="V11" i="1"/>
  <c r="AK18" i="1"/>
  <c r="W25" i="1"/>
  <c r="AC25" i="1"/>
  <c r="W23" i="1"/>
  <c r="BC5" i="1" l="1"/>
  <c r="AZ5" i="1"/>
  <c r="P44" i="1"/>
  <c r="AE11" i="1"/>
  <c r="AE33" i="1" a="1"/>
  <c r="AE33" i="1" s="1"/>
  <c r="AO17" i="1"/>
  <c r="AH53" i="1" a="1"/>
  <c r="AH53" i="1" s="1"/>
  <c r="AH54" i="1" s="1"/>
  <c r="AO16" i="1"/>
  <c r="AE12" i="1"/>
  <c r="AF12" i="1"/>
  <c r="AE4" i="1"/>
  <c r="AG4" i="1" s="1"/>
  <c r="AF4" i="1"/>
  <c r="AH4" i="1" s="1"/>
  <c r="AZ10" i="1"/>
  <c r="BC10" i="1"/>
  <c r="BC4" i="1"/>
  <c r="AZ4" i="1"/>
  <c r="AO19" i="1"/>
  <c r="AO20" i="1"/>
  <c r="AO21" i="1"/>
  <c r="AO22" i="1"/>
  <c r="F17" i="1" l="1"/>
  <c r="Q17" i="1" s="1"/>
  <c r="F4" i="1"/>
  <c r="F8" i="1"/>
  <c r="F10" i="1"/>
  <c r="V50" i="1"/>
  <c r="W50" i="1" s="1"/>
  <c r="F22" i="1"/>
  <c r="Q22" i="1" s="1"/>
  <c r="V36" i="1"/>
  <c r="W36" i="1" s="1"/>
  <c r="V53" i="1"/>
  <c r="W53" i="1" s="1"/>
  <c r="F23" i="1"/>
  <c r="Q23" i="1" s="1"/>
  <c r="V48" i="1"/>
  <c r="W48" i="1" s="1"/>
  <c r="V51" i="1"/>
  <c r="W51" i="1" s="1"/>
  <c r="V38" i="1"/>
  <c r="W38" i="1" s="1"/>
  <c r="F11" i="1"/>
  <c r="V35" i="1"/>
  <c r="W35" i="1" s="1"/>
  <c r="F24" i="1"/>
  <c r="Q24" i="1" s="1"/>
  <c r="V34" i="1"/>
  <c r="W34" i="1" s="1"/>
  <c r="V52" i="1"/>
  <c r="W52" i="1" s="1"/>
  <c r="F19" i="1"/>
  <c r="Q19" i="1" s="1"/>
  <c r="F20" i="1"/>
  <c r="Q20" i="1" s="1"/>
  <c r="V33" i="1"/>
  <c r="W33" i="1" s="1"/>
  <c r="F21" i="1"/>
  <c r="Q21" i="1" s="1"/>
  <c r="V32" i="1"/>
  <c r="W32" i="1" s="1"/>
  <c r="F25" i="1"/>
  <c r="Q25" i="1" s="1"/>
  <c r="V37" i="1"/>
  <c r="W37" i="1" s="1"/>
  <c r="F12" i="1"/>
  <c r="F6" i="1"/>
  <c r="F18" i="1"/>
  <c r="Q18" i="1" s="1"/>
  <c r="F5" i="1"/>
  <c r="V49" i="1"/>
  <c r="W49" i="1" s="1"/>
  <c r="F7" i="1"/>
  <c r="V31" i="1"/>
  <c r="W31" i="1" s="1"/>
  <c r="U43" i="1" l="1" a="1"/>
  <c r="U43" i="1" s="1"/>
  <c r="U47" i="1" a="1"/>
  <c r="U47" i="1" s="1"/>
  <c r="AB25" i="1"/>
  <c r="AD25" i="1" s="1"/>
  <c r="V25" i="1"/>
  <c r="S25" i="1"/>
  <c r="V24" i="1"/>
  <c r="AB24" i="1"/>
  <c r="AD24" i="1" s="1"/>
  <c r="S24" i="1"/>
  <c r="S22" i="1"/>
  <c r="AB22" i="1"/>
  <c r="AD22" i="1" s="1"/>
  <c r="V21" i="1"/>
  <c r="AB21" i="1"/>
  <c r="AD21" i="1" s="1"/>
  <c r="S21" i="1"/>
  <c r="AV5" i="1"/>
  <c r="X5" i="1"/>
  <c r="AV10" i="1"/>
  <c r="X10" i="1"/>
  <c r="S18" i="1"/>
  <c r="AB18" i="1"/>
  <c r="AD18" i="1" s="1"/>
  <c r="V18" i="1"/>
  <c r="S20" i="1"/>
  <c r="V20" i="1"/>
  <c r="AB20" i="1"/>
  <c r="AD20" i="1" s="1"/>
  <c r="X8" i="1"/>
  <c r="AV8" i="1"/>
  <c r="X7" i="1"/>
  <c r="AV7" i="1"/>
  <c r="X6" i="1"/>
  <c r="AV6" i="1"/>
  <c r="X4" i="1"/>
  <c r="AV4" i="1"/>
  <c r="AV11" i="1"/>
  <c r="X11" i="1"/>
  <c r="AB19" i="1"/>
  <c r="AD19" i="1" s="1"/>
  <c r="S19" i="1"/>
  <c r="V19" i="1"/>
  <c r="AV12" i="1"/>
  <c r="X12" i="1"/>
  <c r="V23" i="1"/>
  <c r="S23" i="1"/>
  <c r="AB23" i="1"/>
  <c r="AD23" i="1" s="1"/>
  <c r="AB17" i="1"/>
  <c r="AD17" i="1" s="1"/>
  <c r="V17" i="1"/>
  <c r="S17" i="1"/>
  <c r="AA11" i="1" l="1"/>
  <c r="AQ11" i="1" s="1"/>
  <c r="Y11" i="1"/>
  <c r="AP11" i="1" s="1"/>
  <c r="AO11" i="1"/>
  <c r="AY11" i="1"/>
  <c r="BB11" i="1"/>
  <c r="AY4" i="1"/>
  <c r="BB4" i="1"/>
  <c r="Y8" i="1"/>
  <c r="AP8" i="1" s="1"/>
  <c r="AR8" i="1" s="1"/>
  <c r="AO8" i="1"/>
  <c r="AA8" i="1"/>
  <c r="AQ8" i="1" s="1"/>
  <c r="AS8" i="1" s="1"/>
  <c r="BB10" i="1"/>
  <c r="AY10" i="1"/>
  <c r="AY8" i="1"/>
  <c r="BB8" i="1"/>
  <c r="X23" i="1"/>
  <c r="Y12" i="1"/>
  <c r="AP12" i="1" s="1"/>
  <c r="AO12" i="1"/>
  <c r="AA12" i="1"/>
  <c r="AQ12" i="1" s="1"/>
  <c r="Y4" i="1"/>
  <c r="AP4" i="1" s="1"/>
  <c r="AR4" i="1" s="1"/>
  <c r="AO4" i="1"/>
  <c r="AA4" i="1"/>
  <c r="AQ4" i="1" s="1"/>
  <c r="AS4" i="1" s="1"/>
  <c r="Y5" i="1"/>
  <c r="AP5" i="1" s="1"/>
  <c r="AR5" i="1" s="1"/>
  <c r="AA5" i="1"/>
  <c r="AQ5" i="1" s="1"/>
  <c r="AS5" i="1" s="1"/>
  <c r="AO5" i="1"/>
  <c r="BB12" i="1"/>
  <c r="AY12" i="1"/>
  <c r="X20" i="1"/>
  <c r="X24" i="1"/>
  <c r="X19" i="1"/>
  <c r="X17" i="1"/>
  <c r="AE32" i="1" a="1"/>
  <c r="AE32" i="1" s="1"/>
  <c r="AE35" i="1" s="1"/>
  <c r="Y6" i="1"/>
  <c r="AP6" i="1" s="1"/>
  <c r="AR6" i="1" s="1"/>
  <c r="AA6" i="1"/>
  <c r="AQ6" i="1" s="1"/>
  <c r="AS6" i="1" s="1"/>
  <c r="AO6" i="1"/>
  <c r="X18" i="1"/>
  <c r="X25" i="1"/>
  <c r="C17" i="1"/>
  <c r="O17" i="1" s="1"/>
  <c r="P17" i="1" s="1"/>
  <c r="C20" i="1"/>
  <c r="O20" i="1" s="1"/>
  <c r="P20" i="1" s="1"/>
  <c r="C8" i="1"/>
  <c r="C4" i="1"/>
  <c r="C10" i="1"/>
  <c r="C18" i="1"/>
  <c r="C22" i="1"/>
  <c r="O22" i="1" s="1"/>
  <c r="P22" i="1" s="1"/>
  <c r="AA22" i="1" s="1"/>
  <c r="AG22" i="1" s="1"/>
  <c r="C6" i="1"/>
  <c r="C24" i="1"/>
  <c r="O24" i="1" s="1"/>
  <c r="P24" i="1" s="1"/>
  <c r="C12" i="1"/>
  <c r="C21" i="1"/>
  <c r="O21" i="1" s="1"/>
  <c r="P21" i="1" s="1"/>
  <c r="C7" i="1"/>
  <c r="C25" i="1"/>
  <c r="O25" i="1" s="1"/>
  <c r="P25" i="1" s="1"/>
  <c r="C23" i="1"/>
  <c r="O23" i="1" s="1"/>
  <c r="P23" i="1" s="1"/>
  <c r="C5" i="1"/>
  <c r="C11" i="1"/>
  <c r="C19" i="1"/>
  <c r="O19" i="1" s="1"/>
  <c r="P19" i="1" s="1"/>
  <c r="BB5" i="1"/>
  <c r="AY5" i="1"/>
  <c r="BB6" i="1"/>
  <c r="AY6" i="1"/>
  <c r="BB7" i="1"/>
  <c r="AY7" i="1"/>
  <c r="X21" i="1"/>
  <c r="Y7" i="1"/>
  <c r="AP7" i="1" s="1"/>
  <c r="AR7" i="1" s="1"/>
  <c r="AA7" i="1"/>
  <c r="AQ7" i="1" s="1"/>
  <c r="AS7" i="1" s="1"/>
  <c r="AO7" i="1"/>
  <c r="AO10" i="1"/>
  <c r="Y10" i="1"/>
  <c r="AP10" i="1" s="1"/>
  <c r="AA10" i="1"/>
  <c r="AQ10" i="1" s="1"/>
  <c r="U19" i="1" l="1"/>
  <c r="AF19" i="1" s="1"/>
  <c r="AA19" i="1"/>
  <c r="AG19" i="1" s="1"/>
  <c r="AU10" i="1"/>
  <c r="AI10" i="1"/>
  <c r="AI8" i="1"/>
  <c r="AU8" i="1"/>
  <c r="U24" i="1"/>
  <c r="AF24" i="1" s="1"/>
  <c r="AA24" i="1"/>
  <c r="AG24" i="1" s="1"/>
  <c r="U25" i="1"/>
  <c r="AF25" i="1" s="1"/>
  <c r="AA25" i="1"/>
  <c r="AG25" i="1" s="1"/>
  <c r="AI7" i="1"/>
  <c r="AU7" i="1"/>
  <c r="AU4" i="1"/>
  <c r="AI4" i="1"/>
  <c r="AA17" i="1"/>
  <c r="AG17" i="1" s="1"/>
  <c r="U17" i="1"/>
  <c r="AF17" i="1" s="1"/>
  <c r="AI12" i="1"/>
  <c r="AU12" i="1"/>
  <c r="AA21" i="1"/>
  <c r="AG21" i="1" s="1"/>
  <c r="U21" i="1"/>
  <c r="AF21" i="1" s="1"/>
  <c r="U20" i="1"/>
  <c r="AF20" i="1" s="1"/>
  <c r="AA20" i="1"/>
  <c r="AG20" i="1" s="1"/>
  <c r="AU11" i="1"/>
  <c r="AI11" i="1"/>
  <c r="AI6" i="1"/>
  <c r="AU6" i="1"/>
  <c r="AI5" i="1"/>
  <c r="AU5" i="1"/>
  <c r="AA23" i="1"/>
  <c r="AG23" i="1" s="1"/>
  <c r="U23" i="1"/>
  <c r="AF23" i="1" s="1"/>
  <c r="O18" i="1"/>
  <c r="P18" i="1" s="1"/>
  <c r="U18" i="1" l="1"/>
  <c r="AF18" i="1" s="1"/>
  <c r="AA18" i="1"/>
  <c r="AG18" i="1" s="1"/>
  <c r="AU23" i="1"/>
  <c r="AV23" i="1" s="1"/>
  <c r="BA11" i="1"/>
  <c r="BA23" i="1" s="1"/>
  <c r="BB23" i="1" s="1"/>
  <c r="AX11" i="1"/>
  <c r="AX23" i="1" s="1"/>
  <c r="AY23" i="1" s="1"/>
  <c r="BD11" i="1"/>
  <c r="AK11" i="1"/>
  <c r="AJ11" i="1"/>
  <c r="AJ8" i="1"/>
  <c r="AL8" i="1" s="1"/>
  <c r="AK8" i="1"/>
  <c r="AM8" i="1" s="1"/>
  <c r="BA5" i="1"/>
  <c r="BA17" i="1" s="1"/>
  <c r="BB17" i="1" s="1"/>
  <c r="BD5" i="1"/>
  <c r="AX5" i="1"/>
  <c r="AU17" i="1"/>
  <c r="AV17" i="1" s="1"/>
  <c r="AX7" i="1"/>
  <c r="AU19" i="1"/>
  <c r="AV19" i="1" s="1"/>
  <c r="BD7" i="1"/>
  <c r="BA7" i="1"/>
  <c r="BA19" i="1" s="1"/>
  <c r="BB19" i="1" s="1"/>
  <c r="AJ10" i="1"/>
  <c r="AK10" i="1"/>
  <c r="AU20" i="1"/>
  <c r="AV20" i="1" s="1"/>
  <c r="BA8" i="1"/>
  <c r="BA20" i="1" s="1"/>
  <c r="BB20" i="1" s="1"/>
  <c r="BD8" i="1"/>
  <c r="AX8" i="1"/>
  <c r="BD4" i="1"/>
  <c r="AU16" i="1"/>
  <c r="AV16" i="1" s="1"/>
  <c r="AX4" i="1"/>
  <c r="BA4" i="1"/>
  <c r="BA16" i="1" s="1"/>
  <c r="BB16" i="1" s="1"/>
  <c r="AJ5" i="1"/>
  <c r="AL5" i="1" s="1"/>
  <c r="AK5" i="1"/>
  <c r="AM5" i="1" s="1"/>
  <c r="AK7" i="1"/>
  <c r="AM7" i="1" s="1"/>
  <c r="AJ7" i="1"/>
  <c r="AL7" i="1" s="1"/>
  <c r="BD10" i="1"/>
  <c r="BA10" i="1"/>
  <c r="BA22" i="1" s="1"/>
  <c r="BB22" i="1" s="1"/>
  <c r="AU22" i="1"/>
  <c r="AV22" i="1" s="1"/>
  <c r="AX10" i="1"/>
  <c r="AX22" i="1" s="1"/>
  <c r="AY22" i="1" s="1"/>
  <c r="BD6" i="1"/>
  <c r="AX6" i="1"/>
  <c r="BA6" i="1"/>
  <c r="BA18" i="1" s="1"/>
  <c r="BB18" i="1" s="1"/>
  <c r="AU18" i="1"/>
  <c r="AV18" i="1" s="1"/>
  <c r="BD12" i="1"/>
  <c r="BA12" i="1"/>
  <c r="BA24" i="1" s="1"/>
  <c r="BB24" i="1" s="1"/>
  <c r="AU24" i="1"/>
  <c r="AV24" i="1" s="1"/>
  <c r="AX12" i="1"/>
  <c r="AX24" i="1" s="1"/>
  <c r="AY24" i="1" s="1"/>
  <c r="AJ4" i="1"/>
  <c r="AL4" i="1" s="1"/>
  <c r="AK4" i="1"/>
  <c r="AM4" i="1" s="1"/>
  <c r="AJ6" i="1"/>
  <c r="AL6" i="1" s="1"/>
  <c r="AK6" i="1"/>
  <c r="AM6" i="1" s="1"/>
  <c r="AK12" i="1"/>
  <c r="AJ12" i="1"/>
  <c r="AX20" i="1" l="1"/>
  <c r="AY20" i="1" s="1"/>
  <c r="BF14" i="1"/>
  <c r="BF12" i="1"/>
  <c r="AX18" i="1"/>
  <c r="AY18" i="1" s="1"/>
  <c r="AX19" i="1"/>
  <c r="AY19" i="1" s="1"/>
  <c r="BF13" i="1"/>
  <c r="AX17" i="1"/>
  <c r="AY17" i="1" s="1"/>
  <c r="BF11" i="1"/>
  <c r="BF10" i="1"/>
  <c r="AX16" i="1"/>
  <c r="AY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<sst xmlns="http://schemas.openxmlformats.org/spreadsheetml/2006/main" count="164" uniqueCount="85">
  <si>
    <t>air O2 - run1</t>
  </si>
  <si>
    <t>air N2 - run1</t>
  </si>
  <si>
    <t>Analysis 1.1 (permeate)</t>
  </si>
  <si>
    <t>Analysis 1.2 (retentate)</t>
  </si>
  <si>
    <t>Analysis 1.2 (feed)</t>
  </si>
  <si>
    <t>Analysis 1.2 (mass balances)</t>
  </si>
  <si>
    <t>O2</t>
  </si>
  <si>
    <t>Analysis of air mole</t>
  </si>
  <si>
    <t>O2 mole</t>
  </si>
  <si>
    <t>N2mole</t>
  </si>
  <si>
    <t>feed P (psig)</t>
  </si>
  <si>
    <t>Feed Rot (mm)</t>
  </si>
  <si>
    <t>feed flow (sccm)</t>
  </si>
  <si>
    <t>Per. P (psig)</t>
  </si>
  <si>
    <t>Per. Rot (mm)</t>
  </si>
  <si>
    <t>Per. flow (sccm)</t>
  </si>
  <si>
    <t>Per. O2%</t>
  </si>
  <si>
    <t>ret. P (psig)</t>
  </si>
  <si>
    <t>ret. Rot</t>
  </si>
  <si>
    <t>ret. flow (sccm)</t>
  </si>
  <si>
    <t>ret. O2%</t>
  </si>
  <si>
    <t>P_feed (psia)</t>
  </si>
  <si>
    <t>P_per (psia)</t>
  </si>
  <si>
    <t>P_ret (psia)</t>
  </si>
  <si>
    <t>z_O2</t>
  </si>
  <si>
    <t>y_O2</t>
  </si>
  <si>
    <t>x_O2</t>
  </si>
  <si>
    <t>n_total</t>
  </si>
  <si>
    <t>n_O2</t>
  </si>
  <si>
    <t>n_N2</t>
  </si>
  <si>
    <t>mass O2</t>
  </si>
  <si>
    <t>mass N2</t>
  </si>
  <si>
    <t xml:space="preserve">N2 </t>
  </si>
  <si>
    <t>feed</t>
  </si>
  <si>
    <t>permeate</t>
  </si>
  <si>
    <t>retentate</t>
  </si>
  <si>
    <t>Variation 1.1</t>
  </si>
  <si>
    <t>For 75 psig</t>
  </si>
  <si>
    <t>Variation 1.2</t>
  </si>
  <si>
    <t>For 90 psig</t>
  </si>
  <si>
    <t>For 60 psig</t>
  </si>
  <si>
    <t>For 45 psig</t>
  </si>
  <si>
    <t>total</t>
  </si>
  <si>
    <t>N2</t>
  </si>
  <si>
    <t>P_perO2</t>
  </si>
  <si>
    <t>P_perN2</t>
  </si>
  <si>
    <t>P_retO2</t>
  </si>
  <si>
    <t>P_retN2</t>
  </si>
  <si>
    <t>Pn_per - pN_ret)/PO_per - pO_ret)</t>
  </si>
  <si>
    <t>J_feed (mmol/s)</t>
  </si>
  <si>
    <t>J_per (mmol/s)</t>
  </si>
  <si>
    <t>J_ret(mmol/s)</t>
  </si>
  <si>
    <t>per+ret</t>
  </si>
  <si>
    <t>bal?</t>
  </si>
  <si>
    <t>%</t>
  </si>
  <si>
    <t>P_inO2</t>
  </si>
  <si>
    <t>P_inN2</t>
  </si>
  <si>
    <t>fitting za-xa/ya-za</t>
  </si>
  <si>
    <t>(za-xa) (R)</t>
  </si>
  <si>
    <t>ya-za (P)</t>
  </si>
  <si>
    <t>R/P (za-xa)/(ya-za)</t>
  </si>
  <si>
    <t>Cp/cr</t>
  </si>
  <si>
    <t>R</t>
  </si>
  <si>
    <t>P</t>
  </si>
  <si>
    <t>R+P</t>
  </si>
  <si>
    <t>Pexit</t>
  </si>
  <si>
    <t>(pexit/Patm)^61/2*feed rot reading</t>
  </si>
  <si>
    <t>(Cp = mCr)</t>
  </si>
  <si>
    <t>so if Cr = 50 sccm/min</t>
  </si>
  <si>
    <t>then Cp = 44.3</t>
  </si>
  <si>
    <t>Cf = 200</t>
  </si>
  <si>
    <t>delta PN2</t>
  </si>
  <si>
    <t>delta PO2</t>
  </si>
  <si>
    <t>high Cp/cr</t>
  </si>
  <si>
    <t>low Cp/cr</t>
  </si>
  <si>
    <t>high R/P</t>
  </si>
  <si>
    <t>low R/P</t>
  </si>
  <si>
    <t>high y</t>
  </si>
  <si>
    <t>low y</t>
  </si>
  <si>
    <t>high x</t>
  </si>
  <si>
    <t>low x</t>
  </si>
  <si>
    <t>%O2 recov</t>
  </si>
  <si>
    <t>%N2 recov</t>
  </si>
  <si>
    <t>high P</t>
  </si>
  <si>
    <t>low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</si>
</sst>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1.1 - 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1'!$V$4:$V$12</c:f>
              <c:numCache>
                <c:formatCode>General</c:formatCode>
                <c:ptCount val="9"/>
                <c:pt idx="0">
                  <c:v>7.6614999999999993</c:v>
                </c:pt>
                <c:pt idx="1">
                  <c:v>7.6036499999999991</c:v>
                </c:pt>
                <c:pt idx="2">
                  <c:v>7.6099999999999994</c:v>
                </c:pt>
                <c:pt idx="3">
                  <c:v>7.4040999999999988</c:v>
                </c:pt>
                <c:pt idx="4">
                  <c:v>7.5283499999999997</c:v>
                </c:pt>
                <c:pt idx="5">
                  <c:v>0</c:v>
                </c:pt>
                <c:pt idx="6">
                  <c:v>8.9310500000000008</c:v>
                </c:pt>
                <c:pt idx="7">
                  <c:v>5.6061000000000014</c:v>
                </c:pt>
                <c:pt idx="8">
                  <c:v>3.88185</c:v>
                </c:pt>
              </c:numCache>
            </c:numRef>
          </c:xVal>
          <c:yVal>
            <c:numRef>
              <c:f>'Task 1'!$Y$4:$Y$12</c:f>
              <c:numCache>
                <c:formatCode>General</c:formatCode>
                <c:ptCount val="9"/>
                <c:pt idx="0">
                  <c:v>1.1346170509138297E-4</c:v>
                </c:pt>
                <c:pt idx="1">
                  <c:v>1.2387348508800398E-4</c:v>
                </c:pt>
                <c:pt idx="2">
                  <c:v>1.0504207802729337E-4</c:v>
                </c:pt>
                <c:pt idx="3">
                  <c:v>9.0607564850159669E-5</c:v>
                </c:pt>
                <c:pt idx="4">
                  <c:v>1.3469785310313913E-4</c:v>
                </c:pt>
                <c:pt idx="6">
                  <c:v>1.4706740369741536E-4</c:v>
                </c:pt>
                <c:pt idx="7">
                  <c:v>8.9163506785360245E-5</c:v>
                </c:pt>
                <c:pt idx="8">
                  <c:v>6.4472945363691723E-5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2D-4EF7-8F60-6B9024169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790767"/>
        <c:axId val="2003658767"/>
      </c:scatterChart>
      <c:valAx>
        <c:axId val="162379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58767"/>
        <c:crosses val="autoZero"/>
        <c:crossBetween val="midCat"/>
      </c:valAx>
      <c:valAx>
        <c:axId val="200365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9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1.1 - N2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1'!$W$4:$W$12</c:f>
              <c:numCache>
                <c:formatCode>General</c:formatCode>
                <c:ptCount val="9"/>
                <c:pt idx="0">
                  <c:v>65.836500000000001</c:v>
                </c:pt>
                <c:pt idx="1">
                  <c:v>65.36515</c:v>
                </c:pt>
                <c:pt idx="2">
                  <c:v>66.446600000000018</c:v>
                </c:pt>
                <c:pt idx="3">
                  <c:v>67.563900000000004</c:v>
                </c:pt>
                <c:pt idx="4">
                  <c:v>64.793650000000014</c:v>
                </c:pt>
                <c:pt idx="5">
                  <c:v>0</c:v>
                </c:pt>
                <c:pt idx="6">
                  <c:v>77.684749999999994</c:v>
                </c:pt>
                <c:pt idx="7">
                  <c:v>53.421300000000002</c:v>
                </c:pt>
                <c:pt idx="8">
                  <c:v>41.351349999999996</c:v>
                </c:pt>
              </c:numCache>
            </c:numRef>
          </c:xVal>
          <c:yVal>
            <c:numRef>
              <c:f>'Task 1'!$AA$4:$AA$12</c:f>
              <c:numCache>
                <c:formatCode>General</c:formatCode>
                <c:ptCount val="9"/>
                <c:pt idx="0">
                  <c:v>2.3036164367038359E-4</c:v>
                </c:pt>
                <c:pt idx="1">
                  <c:v>2.3208480539476615E-4</c:v>
                </c:pt>
                <c:pt idx="2">
                  <c:v>2.3271379987397148E-4</c:v>
                </c:pt>
                <c:pt idx="3">
                  <c:v>2.329908810432677E-4</c:v>
                </c:pt>
                <c:pt idx="4">
                  <c:v>2.2935039852696663E-4</c:v>
                </c:pt>
                <c:pt idx="6">
                  <c:v>2.8170053711137585E-4</c:v>
                </c:pt>
                <c:pt idx="7">
                  <c:v>1.8185019165038521E-4</c:v>
                </c:pt>
                <c:pt idx="8">
                  <c:v>1.357535930328664E-4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2-4B5C-A62E-67FFBDA94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790767"/>
        <c:axId val="2003658767"/>
      </c:scatterChart>
      <c:valAx>
        <c:axId val="162379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58767"/>
        <c:crosses val="autoZero"/>
        <c:crossBetween val="midCat"/>
      </c:valAx>
      <c:valAx>
        <c:axId val="200365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9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1.1 -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1'!$A$4:$A$12</c:f>
              <c:numCache>
                <c:formatCode>General</c:formatCode>
                <c:ptCount val="9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6">
                  <c:v>82</c:v>
                </c:pt>
                <c:pt idx="7">
                  <c:v>54</c:v>
                </c:pt>
                <c:pt idx="8">
                  <c:v>40</c:v>
                </c:pt>
              </c:numCache>
            </c:numRef>
          </c:xVal>
          <c:yVal>
            <c:numRef>
              <c:f>'Task 1'!$X$4:$X$12</c:f>
              <c:numCache>
                <c:formatCode>General</c:formatCode>
                <c:ptCount val="9"/>
                <c:pt idx="0">
                  <c:v>3.4382334876176658E-4</c:v>
                </c:pt>
                <c:pt idx="1">
                  <c:v>3.5595829048277013E-4</c:v>
                </c:pt>
                <c:pt idx="2">
                  <c:v>3.3775587790126483E-4</c:v>
                </c:pt>
                <c:pt idx="3">
                  <c:v>3.2359844589342735E-4</c:v>
                </c:pt>
                <c:pt idx="4">
                  <c:v>3.6404825163010576E-4</c:v>
                </c:pt>
                <c:pt idx="6">
                  <c:v>4.2876794080879121E-4</c:v>
                </c:pt>
                <c:pt idx="7">
                  <c:v>2.7101369843574545E-4</c:v>
                </c:pt>
                <c:pt idx="8">
                  <c:v>2.0022653839655815E-4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42-436E-A485-50FB21C36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790767"/>
        <c:axId val="2003658767"/>
      </c:scatterChart>
      <c:valAx>
        <c:axId val="162379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58767"/>
        <c:crosses val="autoZero"/>
        <c:crossBetween val="midCat"/>
      </c:valAx>
      <c:valAx>
        <c:axId val="200365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9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1'!$Y$31:$Y$38</c:f>
              <c:numCache>
                <c:formatCode>General</c:formatCode>
                <c:ptCount val="8"/>
                <c:pt idx="0">
                  <c:v>34.599678540443712</c:v>
                </c:pt>
                <c:pt idx="1">
                  <c:v>28.634216723125828</c:v>
                </c:pt>
                <c:pt idx="2">
                  <c:v>26.248031996198677</c:v>
                </c:pt>
                <c:pt idx="3">
                  <c:v>22.668754905807948</c:v>
                </c:pt>
                <c:pt idx="4">
                  <c:v>28.634216723125828</c:v>
                </c:pt>
                <c:pt idx="5">
                  <c:v>62.493197278911573</c:v>
                </c:pt>
                <c:pt idx="6">
                  <c:v>26.872448979591841</c:v>
                </c:pt>
                <c:pt idx="7">
                  <c:v>18.605442176870749</c:v>
                </c:pt>
              </c:numCache>
            </c:numRef>
          </c:xVal>
          <c:yVal>
            <c:numRef>
              <c:f>'Task 1'!$W$31:$W$38</c:f>
              <c:numCache>
                <c:formatCode>General</c:formatCode>
                <c:ptCount val="8"/>
                <c:pt idx="0">
                  <c:v>8373.7605988884407</c:v>
                </c:pt>
                <c:pt idx="1">
                  <c:v>7065.8483057445164</c:v>
                </c:pt>
                <c:pt idx="2">
                  <c:v>6199.3921591725548</c:v>
                </c:pt>
                <c:pt idx="3">
                  <c:v>5044.32781717131</c:v>
                </c:pt>
                <c:pt idx="4">
                  <c:v>9937.3687943177229</c:v>
                </c:pt>
                <c:pt idx="5">
                  <c:v>9046.234357751986</c:v>
                </c:pt>
                <c:pt idx="6">
                  <c:v>5743.374546880972</c:v>
                </c:pt>
                <c:pt idx="7">
                  <c:v>4293.0528368747473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C-4DAF-AC70-B31160D8C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743920"/>
        <c:axId val="1095743504"/>
      </c:scatterChart>
      <c:valAx>
        <c:axId val="109574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43504"/>
        <c:crosses val="autoZero"/>
        <c:crossBetween val="midCat"/>
      </c:valAx>
      <c:valAx>
        <c:axId val="109574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4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581075</xdr:colOff>
      <xdr:row>30</xdr:row>
      <xdr:rowOff>37136</xdr:rowOff>
    </xdr:from>
    <xdr:to>
      <xdr:col>11</xdr:col>
      <xdr:colOff>383107</xdr:colOff>
      <xdr:row>43</xdr:row>
      <xdr:rowOff>136326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0B5A1-60F8-4834-A337-0BA7E78EB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56335</xdr:colOff>
      <xdr:row>14</xdr:row>
      <xdr:rowOff>103624</xdr:rowOff>
    </xdr:from>
    <xdr:to>
      <xdr:col>11</xdr:col>
      <xdr:colOff>39030</xdr:colOff>
      <xdr:row>28</xdr:row>
      <xdr:rowOff>4843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D92537-76AF-49CF-A434-ABF6606CA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788822</xdr:colOff>
      <xdr:row>20</xdr:row>
      <xdr:rowOff>41054</xdr:rowOff>
    </xdr:from>
    <xdr:to>
      <xdr:col>15</xdr:col>
      <xdr:colOff>459998</xdr:colOff>
      <xdr:row>33</xdr:row>
      <xdr:rowOff>146388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EC0F13-B9C9-4A39-BE57-9F5138D1E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563117</xdr:colOff>
      <xdr:row>13</xdr:row>
      <xdr:rowOff>54430</xdr:rowOff>
    </xdr:from>
    <xdr:to>
      <xdr:col>19</xdr:col>
      <xdr:colOff>210756</xdr:colOff>
      <xdr:row>27</xdr:row>
      <xdr:rowOff>44598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324AEB-2891-4ADD-BA2C-C22E699F0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1939-8663-4B49-B3A8-41F1C440559C}">
  <dimension ref="A1:BF65"/>
  <sheetViews>
    <sheetView tabSelected="1" topLeftCell="A16" zoomScale="51" zoomScaleNormal="62" workbookViewId="0">
      <selection activeCell="U59" sqref="U59"/>
    </sheetView>
  </sheetViews>
  <sheetFormatPr defaultColWidth="11.19921875" defaultRowHeight="15.6" x14ac:dyDescent="0.3"/>
  <cols>
    <col min="1" max="1" width="11.796875" bestFit="1" customWidth="1"/>
    <col min="2" max="2" width="13.796875" bestFit="1" customWidth="1"/>
    <col min="3" max="3" width="15.09765625" bestFit="1" customWidth="1"/>
    <col min="4" max="4" width="11.09765625" bestFit="1" customWidth="1"/>
    <col min="5" max="5" width="12.8984375" bestFit="1" customWidth="1"/>
    <col min="6" max="6" width="14.69921875" bestFit="1" customWidth="1"/>
    <col min="7" max="7" width="8.8984375" bestFit="1" customWidth="1"/>
    <col min="8" max="8" width="10.8984375" bestFit="1" customWidth="1"/>
    <col min="9" max="9" width="8.8984375" customWidth="1"/>
    <col min="10" max="10" width="15.59765625" customWidth="1"/>
    <col min="11" max="11" width="8.5" bestFit="1" customWidth="1"/>
    <col min="12" max="12" width="10.19921875" bestFit="1" customWidth="1"/>
    <col min="13" max="14" width="10.19921875" customWidth="1"/>
    <col min="15" max="15" width="14.09765625" customWidth="1"/>
    <col min="16" max="16" width="16" customWidth="1"/>
    <col min="17" max="17" width="17.19921875" customWidth="1"/>
    <col min="18" max="18" width="20.296875" customWidth="1"/>
    <col min="19" max="22" width="11.3984375" bestFit="1" customWidth="1"/>
    <col min="23" max="23" width="14.8984375" customWidth="1"/>
    <col min="24" max="24" width="11.3984375" bestFit="1" customWidth="1"/>
    <col min="25" max="25" width="14.59765625" bestFit="1" customWidth="1"/>
    <col min="26" max="26" width="14.59765625" customWidth="1"/>
    <col min="27" max="27" width="11.3984375" bestFit="1" customWidth="1"/>
    <col min="28" max="30" width="11.296875" bestFit="1" customWidth="1"/>
    <col min="31" max="31" width="13.5" bestFit="1" customWidth="1"/>
    <col min="32" max="38" width="11.296875" bestFit="1" customWidth="1"/>
    <col min="47" max="47" width="24.8984375" customWidth="1"/>
    <col min="48" max="48" width="16.69921875" customWidth="1"/>
    <col min="49" max="49" width="15.3984375" customWidth="1"/>
  </cols>
  <sheetData>
    <row r="1" spans="1:58" x14ac:dyDescent="0.3">
      <c r="A1" t="s">
        <v>0</v>
      </c>
      <c r="B1">
        <v>21.5</v>
      </c>
      <c r="C1" t="s">
        <v>0</v>
      </c>
      <c r="D1">
        <v>21.5</v>
      </c>
      <c r="F1" t="s">
        <v>1</v>
      </c>
      <c r="G1">
        <f>100-D1</f>
        <v>78.5</v>
      </c>
      <c r="V1" t="s">
        <v>6</v>
      </c>
      <c r="W1" t="s">
        <v>43</v>
      </c>
      <c r="X1" t="s">
        <v>2</v>
      </c>
      <c r="AD1" t="s">
        <v>3</v>
      </c>
      <c r="AI1" t="s">
        <v>4</v>
      </c>
      <c r="AO1" t="s">
        <v>5</v>
      </c>
      <c r="AR1" t="s">
        <v>6</v>
      </c>
      <c r="AS1">
        <v>32</v>
      </c>
      <c r="AU1" t="s">
        <v>7</v>
      </c>
      <c r="AX1" t="s">
        <v>8</v>
      </c>
      <c r="BA1" t="s">
        <v>9</v>
      </c>
    </row>
    <row r="2" spans="1:58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72</v>
      </c>
      <c r="W2" t="s">
        <v>71</v>
      </c>
      <c r="X2" t="s">
        <v>27</v>
      </c>
      <c r="Y2" t="s">
        <v>28</v>
      </c>
      <c r="AA2" t="s">
        <v>29</v>
      </c>
      <c r="AD2" t="s">
        <v>27</v>
      </c>
      <c r="AE2" t="s">
        <v>28</v>
      </c>
      <c r="AF2" t="s">
        <v>29</v>
      </c>
      <c r="AG2" t="s">
        <v>30</v>
      </c>
      <c r="AH2" t="s">
        <v>29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O2" t="s">
        <v>27</v>
      </c>
      <c r="AP2" t="s">
        <v>28</v>
      </c>
      <c r="AQ2" t="s">
        <v>29</v>
      </c>
      <c r="AR2" t="s">
        <v>32</v>
      </c>
      <c r="AS2">
        <v>28</v>
      </c>
      <c r="AU2" t="s">
        <v>33</v>
      </c>
      <c r="AV2" t="s">
        <v>34</v>
      </c>
      <c r="AW2" t="s">
        <v>35</v>
      </c>
      <c r="AX2" t="s">
        <v>33</v>
      </c>
      <c r="AY2" t="s">
        <v>34</v>
      </c>
      <c r="AZ2" t="s">
        <v>35</v>
      </c>
      <c r="BA2" t="s">
        <v>33</v>
      </c>
      <c r="BB2" t="s">
        <v>34</v>
      </c>
      <c r="BC2" t="s">
        <v>35</v>
      </c>
    </row>
    <row r="3" spans="1:58" x14ac:dyDescent="0.3">
      <c r="A3" t="s">
        <v>36</v>
      </c>
    </row>
    <row r="4" spans="1:58" x14ac:dyDescent="0.3">
      <c r="A4">
        <v>69</v>
      </c>
      <c r="B4">
        <f>12</f>
        <v>12</v>
      </c>
      <c r="C4">
        <f>B4*$U$58</f>
        <v>2807.7307671555368</v>
      </c>
      <c r="D4">
        <v>0</v>
      </c>
      <c r="E4">
        <v>85</v>
      </c>
      <c r="F4">
        <f>E4*$P$44</f>
        <v>3765.8483057445164</v>
      </c>
      <c r="G4">
        <v>33</v>
      </c>
      <c r="H4">
        <v>68</v>
      </c>
      <c r="I4">
        <v>66</v>
      </c>
      <c r="J4">
        <f>I4*50</f>
        <v>3300</v>
      </c>
      <c r="K4">
        <v>8.5</v>
      </c>
      <c r="L4" t="s">
        <v>37</v>
      </c>
      <c r="P4">
        <f>A4+14.7</f>
        <v>83.7</v>
      </c>
      <c r="Q4">
        <f>D4+14.7</f>
        <v>14.7</v>
      </c>
      <c r="R4">
        <f>H4+14.7</f>
        <v>82.7</v>
      </c>
      <c r="S4">
        <f>$B$1/100</f>
        <v>0.215</v>
      </c>
      <c r="T4">
        <f>G4/100</f>
        <v>0.33</v>
      </c>
      <c r="U4">
        <f>K4/100</f>
        <v>8.5000000000000006E-2</v>
      </c>
      <c r="V4">
        <f>((S4*P4+R4*U4)/2)-Q4*T4</f>
        <v>7.6614999999999993</v>
      </c>
      <c r="W4">
        <f>(((1-S4)*P4+R4*(1-U4))/2)-Q4*T4</f>
        <v>65.836500000000001</v>
      </c>
      <c r="X4">
        <f>Q4*F4*(1/28316.8)/(529.83*10.73159)</f>
        <v>3.4382334876176658E-4</v>
      </c>
      <c r="Y4">
        <f>X4*T4</f>
        <v>1.1346170509138297E-4</v>
      </c>
      <c r="AA4">
        <f>X4*(1-T4)</f>
        <v>2.3036164367038359E-4</v>
      </c>
      <c r="AD4">
        <f>R4*J4*(1/28316.8)/(529.83*10.73159)</f>
        <v>1.6950193432036732E-3</v>
      </c>
      <c r="AE4">
        <f>AD4*U4</f>
        <v>1.4407664417231223E-4</v>
      </c>
      <c r="AF4">
        <f>AD4*(1-U4)</f>
        <v>1.550942699031361E-3</v>
      </c>
      <c r="AG4">
        <f>AE4*32</f>
        <v>4.6104526135139915E-3</v>
      </c>
      <c r="AH4">
        <f>AF4*28</f>
        <v>4.3426395572878113E-2</v>
      </c>
      <c r="AI4" s="1">
        <f>P4*C4*(1/28316.8)/(529.83*10.73159)</f>
        <v>1.4596076410612793E-3</v>
      </c>
      <c r="AJ4" s="2">
        <f>AI4*S4</f>
        <v>3.1381564282817503E-4</v>
      </c>
      <c r="AK4" s="3">
        <f>AI4*(1-S4)</f>
        <v>1.1457919982331042E-3</v>
      </c>
      <c r="AL4">
        <f>AJ4*$AS$1</f>
        <v>1.0042100570501601E-2</v>
      </c>
      <c r="AM4">
        <f>AK4*$AS$2</f>
        <v>3.2082175950526919E-2</v>
      </c>
      <c r="AO4" s="1">
        <f>X4+AD4</f>
        <v>2.0388426919654397E-3</v>
      </c>
      <c r="AP4" s="2">
        <f>Y4+AE4</f>
        <v>2.5753834926369519E-4</v>
      </c>
      <c r="AQ4" s="3">
        <f t="shared" ref="AQ4:AQ8" si="0">AA4+AF4</f>
        <v>1.7813043427017446E-3</v>
      </c>
      <c r="AR4">
        <f>AP4*32</f>
        <v>8.2412271764382462E-3</v>
      </c>
      <c r="AS4">
        <f>AQ4*28</f>
        <v>4.987652159564885E-2</v>
      </c>
      <c r="AU4">
        <f>((P4*6894.7)*C4/10^6)/(8.314*295)</f>
        <v>0.66063907418147838</v>
      </c>
      <c r="AV4" s="4">
        <f>(Q4*6894.7*F4/10^6)/8.314/295</f>
        <v>0.15561931331271561</v>
      </c>
      <c r="AW4">
        <f>(R4*6894.7*J4/10^6)/8.314/295</f>
        <v>0.76718974203202295</v>
      </c>
      <c r="AX4">
        <f t="shared" ref="AX4:AX12" si="1">AU4*0.215</f>
        <v>0.14203740094901784</v>
      </c>
      <c r="AY4" s="4">
        <f>AV4*T4</f>
        <v>5.1354373393196158E-2</v>
      </c>
      <c r="AZ4" s="5">
        <f>AW4*U4</f>
        <v>6.5211128072721961E-2</v>
      </c>
      <c r="BA4">
        <f>AU4*(1-0.215)</f>
        <v>0.51860167323246054</v>
      </c>
      <c r="BB4" s="4">
        <f>AV4*(1-T4)</f>
        <v>0.10426493991951945</v>
      </c>
      <c r="BC4" s="5">
        <f>AW4*(1-U4)</f>
        <v>0.70197861395930106</v>
      </c>
      <c r="BD4">
        <f>AU4*0.785</f>
        <v>0.51860167323246054</v>
      </c>
    </row>
    <row r="5" spans="1:58" x14ac:dyDescent="0.3">
      <c r="A5">
        <v>69</v>
      </c>
      <c r="B5">
        <v>14.5</v>
      </c>
      <c r="C5">
        <f t="shared" ref="C5:C12" si="2">B5*$U$58</f>
        <v>3392.6746769796073</v>
      </c>
      <c r="D5">
        <v>0</v>
      </c>
      <c r="E5">
        <v>88</v>
      </c>
      <c r="F5">
        <f t="shared" ref="F5:F12" si="3">E5*$P$44</f>
        <v>3898.7605988884407</v>
      </c>
      <c r="G5">
        <v>34.799999999999997</v>
      </c>
      <c r="H5">
        <v>68</v>
      </c>
      <c r="I5">
        <v>89.5</v>
      </c>
      <c r="J5">
        <f>I5*50</f>
        <v>4475</v>
      </c>
      <c r="K5">
        <v>9</v>
      </c>
      <c r="L5" t="s">
        <v>37</v>
      </c>
      <c r="P5">
        <f t="shared" ref="P5:P12" si="4">A5+14.7</f>
        <v>83.7</v>
      </c>
      <c r="Q5">
        <f t="shared" ref="Q5:Q12" si="5">D5+14.7</f>
        <v>14.7</v>
      </c>
      <c r="R5">
        <f t="shared" ref="R5:R12" si="6">H5+14.7</f>
        <v>82.7</v>
      </c>
      <c r="S5">
        <f t="shared" ref="S5:S12" si="7">$B$1/100</f>
        <v>0.215</v>
      </c>
      <c r="T5">
        <f>G5/100</f>
        <v>0.34799999999999998</v>
      </c>
      <c r="U5">
        <f>K5/100</f>
        <v>0.09</v>
      </c>
      <c r="V5">
        <f t="shared" ref="V5:V12" si="8">((S5*P5+R5*U5)/2)-Q5*T5</f>
        <v>7.6036499999999991</v>
      </c>
      <c r="W5">
        <f t="shared" ref="W5:W12" si="9">(((1-S5)*P5+R5*(1-U5))/2)-Q5*T5</f>
        <v>65.36515</v>
      </c>
      <c r="X5">
        <f t="shared" ref="X5:X12" si="10">Q5*F5*(1/28316.8)/(529.83*10.73159)</f>
        <v>3.5595829048277013E-4</v>
      </c>
      <c r="Y5">
        <f t="shared" ref="Y5:Y12" si="11">X5*T5</f>
        <v>1.2387348508800398E-4</v>
      </c>
      <c r="AA5">
        <f t="shared" ref="AA5:AA12" si="12">X5*(1-T5)</f>
        <v>2.3208480539476615E-4</v>
      </c>
      <c r="AD5">
        <f>R5*J5*(1/28316.8)/(529.83*10.73159)</f>
        <v>2.2985489578292231E-3</v>
      </c>
      <c r="AE5">
        <f>AD5*U5</f>
        <v>2.0686940620463009E-4</v>
      </c>
      <c r="AF5">
        <f>AD5*(1-U5)</f>
        <v>2.0916795516245932E-3</v>
      </c>
      <c r="AI5" s="1">
        <f>P5*C5*(1/28316.8)/(529.83*10.73159)</f>
        <v>1.7636925662823796E-3</v>
      </c>
      <c r="AJ5" s="2">
        <f>AI5*S5</f>
        <v>3.7919390175071159E-4</v>
      </c>
      <c r="AK5" s="3">
        <f>AI5*(1-S5)</f>
        <v>1.384498664531668E-3</v>
      </c>
      <c r="AL5">
        <f>AJ5*$AS$1</f>
        <v>1.2134204856022771E-2</v>
      </c>
      <c r="AM5">
        <f>AK5*$AS$2</f>
        <v>3.8765962606886709E-2</v>
      </c>
      <c r="AO5" s="1">
        <f>X5+AD5</f>
        <v>2.6545072483119933E-3</v>
      </c>
      <c r="AP5" s="2">
        <f>Y5+AE5</f>
        <v>3.3074289129263407E-4</v>
      </c>
      <c r="AQ5" s="3">
        <f t="shared" si="0"/>
        <v>2.3237643570193593E-3</v>
      </c>
      <c r="AR5">
        <f t="shared" ref="AR5:AR8" si="13">AP5*32</f>
        <v>1.058377252136429E-2</v>
      </c>
      <c r="AS5">
        <f t="shared" ref="AS5:AS8" si="14">AQ5*28</f>
        <v>6.5065401996542066E-2</v>
      </c>
      <c r="AU5">
        <f t="shared" ref="AU5:AU8" si="15">((P5*6894.7)*C5/10^6)/(8.314*295)</f>
        <v>0.7982722146359531</v>
      </c>
      <c r="AV5" s="4">
        <f t="shared" ref="AV5:AV8" si="16">(Q5*6894.7*F5/10^6)/8.314/295</f>
        <v>0.16111175966492913</v>
      </c>
      <c r="AW5">
        <f t="shared" ref="AW5:AW8" si="17">(R5*6894.7*J5/10^6)/8.314/295</f>
        <v>1.040355786543425</v>
      </c>
      <c r="AX5">
        <f t="shared" si="1"/>
        <v>0.17162852614672991</v>
      </c>
      <c r="AY5" s="4">
        <f>AV5*T5</f>
        <v>5.6066892363395335E-2</v>
      </c>
      <c r="AZ5" s="5">
        <f>AW5*U5</f>
        <v>9.3632020788908241E-2</v>
      </c>
      <c r="BA5">
        <f t="shared" ref="BA5:BA12" si="18">AU5*(1-0.215)</f>
        <v>0.62664368848922325</v>
      </c>
      <c r="BB5" s="4">
        <f>AV5*(1-T5)</f>
        <v>0.1050448673015338</v>
      </c>
      <c r="BC5" s="5">
        <f>AW5*(1-U5)</f>
        <v>0.94672376575451678</v>
      </c>
      <c r="BD5">
        <f t="shared" ref="BD5:BD12" si="19">AU5*0.785</f>
        <v>0.62664368848922325</v>
      </c>
    </row>
    <row r="6" spans="1:58" x14ac:dyDescent="0.3">
      <c r="A6">
        <v>69</v>
      </c>
      <c r="B6">
        <v>11</v>
      </c>
      <c r="C6">
        <f t="shared" si="2"/>
        <v>2573.7532032259087</v>
      </c>
      <c r="D6">
        <v>0</v>
      </c>
      <c r="E6">
        <v>83.5</v>
      </c>
      <c r="F6">
        <f t="shared" si="3"/>
        <v>3699.3921591725548</v>
      </c>
      <c r="G6">
        <v>31.1</v>
      </c>
      <c r="H6">
        <v>68</v>
      </c>
      <c r="I6">
        <v>50</v>
      </c>
      <c r="J6">
        <f>I6*50</f>
        <v>2500</v>
      </c>
      <c r="K6">
        <v>7.7</v>
      </c>
      <c r="L6" t="s">
        <v>37</v>
      </c>
      <c r="P6">
        <f t="shared" si="4"/>
        <v>83.7</v>
      </c>
      <c r="Q6">
        <f t="shared" si="5"/>
        <v>14.7</v>
      </c>
      <c r="R6">
        <f t="shared" si="6"/>
        <v>82.7</v>
      </c>
      <c r="S6">
        <f t="shared" si="7"/>
        <v>0.215</v>
      </c>
      <c r="T6">
        <f>G6/100</f>
        <v>0.311</v>
      </c>
      <c r="U6">
        <f>K6/100</f>
        <v>7.6999999999999999E-2</v>
      </c>
      <c r="V6">
        <f t="shared" si="8"/>
        <v>7.6099999999999994</v>
      </c>
      <c r="W6">
        <f t="shared" si="9"/>
        <v>66.446600000000018</v>
      </c>
      <c r="X6">
        <f t="shared" si="10"/>
        <v>3.3775587790126483E-4</v>
      </c>
      <c r="Y6">
        <f t="shared" si="11"/>
        <v>1.0504207802729337E-4</v>
      </c>
      <c r="AA6">
        <f t="shared" si="12"/>
        <v>2.3271379987397148E-4</v>
      </c>
      <c r="AD6">
        <f>R6*J6*(1/28316.8)/(529.83*10.73159)</f>
        <v>1.2841055630330857E-3</v>
      </c>
      <c r="AE6">
        <f>AD6*U6</f>
        <v>9.8876128353547592E-5</v>
      </c>
      <c r="AF6">
        <f>AD6*(1-U6)</f>
        <v>1.1852294346795381E-3</v>
      </c>
      <c r="AI6" s="1">
        <f>P6*C6*(1/28316.8)/(529.83*10.73159)</f>
        <v>1.3379736709728395E-3</v>
      </c>
      <c r="AJ6" s="2">
        <f>AI6*S6</f>
        <v>2.8766433925916051E-4</v>
      </c>
      <c r="AK6" s="3">
        <f>AI6*(1-S6)</f>
        <v>1.050309331713679E-3</v>
      </c>
      <c r="AL6">
        <f>AJ6*$AS$1</f>
        <v>9.2052588562931362E-3</v>
      </c>
      <c r="AM6">
        <f>AK6*$AS$2</f>
        <v>2.9408661287983012E-2</v>
      </c>
      <c r="AO6" s="1">
        <f>X6+AD6</f>
        <v>1.6218614409343505E-3</v>
      </c>
      <c r="AP6" s="2">
        <f>Y6+AE6</f>
        <v>2.0391820638084095E-4</v>
      </c>
      <c r="AQ6" s="3">
        <f t="shared" si="0"/>
        <v>1.4179432345535095E-3</v>
      </c>
      <c r="AR6">
        <f t="shared" si="13"/>
        <v>6.5253826041869103E-3</v>
      </c>
      <c r="AS6">
        <f t="shared" si="14"/>
        <v>3.9702410567498264E-2</v>
      </c>
      <c r="AU6">
        <f t="shared" si="15"/>
        <v>0.60558581799968847</v>
      </c>
      <c r="AV6" s="4">
        <f t="shared" si="16"/>
        <v>0.15287309013660888</v>
      </c>
      <c r="AW6">
        <f t="shared" si="17"/>
        <v>0.58120435002425974</v>
      </c>
      <c r="AX6">
        <f t="shared" si="1"/>
        <v>0.13020095086993302</v>
      </c>
      <c r="AY6" s="4">
        <f>AV6*T6</f>
        <v>4.7543531032485362E-2</v>
      </c>
      <c r="AZ6" s="5">
        <f>AW6*U6</f>
        <v>4.4752734951867996E-2</v>
      </c>
      <c r="BA6">
        <f t="shared" si="18"/>
        <v>0.47538486712975547</v>
      </c>
      <c r="BB6" s="4">
        <f>AV6*(1-T6)</f>
        <v>0.10532955910412353</v>
      </c>
      <c r="BC6" s="5">
        <f>AW6*(1-U6)</f>
        <v>0.53645161507239181</v>
      </c>
      <c r="BD6">
        <f t="shared" si="19"/>
        <v>0.47538486712975547</v>
      </c>
    </row>
    <row r="7" spans="1:58" x14ac:dyDescent="0.3">
      <c r="A7">
        <v>69</v>
      </c>
      <c r="B7">
        <v>9.5</v>
      </c>
      <c r="C7">
        <f t="shared" si="2"/>
        <v>2222.7868573314668</v>
      </c>
      <c r="D7">
        <v>0</v>
      </c>
      <c r="E7">
        <v>80</v>
      </c>
      <c r="F7">
        <f t="shared" si="3"/>
        <v>3544.32781717131</v>
      </c>
      <c r="G7">
        <v>28</v>
      </c>
      <c r="H7">
        <v>68</v>
      </c>
      <c r="I7">
        <v>30</v>
      </c>
      <c r="J7">
        <f>I7*50</f>
        <v>1500</v>
      </c>
      <c r="K7">
        <v>6.1</v>
      </c>
      <c r="L7" t="s">
        <v>37</v>
      </c>
      <c r="P7">
        <f t="shared" si="4"/>
        <v>83.7</v>
      </c>
      <c r="Q7">
        <f t="shared" si="5"/>
        <v>14.7</v>
      </c>
      <c r="R7">
        <f t="shared" si="6"/>
        <v>82.7</v>
      </c>
      <c r="S7">
        <f t="shared" si="7"/>
        <v>0.215</v>
      </c>
      <c r="T7">
        <f>G7/100</f>
        <v>0.28000000000000003</v>
      </c>
      <c r="U7">
        <f>K7/100</f>
        <v>6.0999999999999999E-2</v>
      </c>
      <c r="V7">
        <f t="shared" si="8"/>
        <v>7.4040999999999988</v>
      </c>
      <c r="W7">
        <f t="shared" si="9"/>
        <v>67.563900000000004</v>
      </c>
      <c r="X7">
        <f t="shared" si="10"/>
        <v>3.2359844589342735E-4</v>
      </c>
      <c r="Y7">
        <f t="shared" si="11"/>
        <v>9.0607564850159669E-5</v>
      </c>
      <c r="AA7">
        <f t="shared" si="12"/>
        <v>2.329908810432677E-4</v>
      </c>
      <c r="AD7">
        <f>R7*J7*(1/28316.8)/(529.83*10.73159)</f>
        <v>7.704633378198514E-4</v>
      </c>
      <c r="AE7">
        <f>AD7*U7</f>
        <v>4.6998263607010934E-5</v>
      </c>
      <c r="AF7">
        <f>AD7*(1-U7)</f>
        <v>7.2346507421284048E-4</v>
      </c>
      <c r="AI7" s="1">
        <f>P7*C7*(1/28316.8)/(529.83*10.73159)</f>
        <v>1.1555227158401796E-3</v>
      </c>
      <c r="AJ7" s="2">
        <f>AI7*S7</f>
        <v>2.4843738390563862E-4</v>
      </c>
      <c r="AK7" s="3">
        <f>AI7*(1-S7)</f>
        <v>9.0708533193454102E-4</v>
      </c>
      <c r="AL7">
        <f>AJ7*$AS$1</f>
        <v>7.9499962849804359E-3</v>
      </c>
      <c r="AM7">
        <f>AK7*$AS$2</f>
        <v>2.5398389294167149E-2</v>
      </c>
      <c r="AO7" s="1">
        <f>X7+AD7</f>
        <v>1.0940617837132786E-3</v>
      </c>
      <c r="AP7" s="2">
        <f>Y7+AE7</f>
        <v>1.376058284571706E-4</v>
      </c>
      <c r="AQ7" s="3">
        <f t="shared" si="0"/>
        <v>9.564559552561082E-4</v>
      </c>
      <c r="AR7">
        <f t="shared" si="13"/>
        <v>4.4033865106294593E-3</v>
      </c>
      <c r="AS7">
        <f t="shared" si="14"/>
        <v>2.6780766747171031E-2</v>
      </c>
      <c r="AU7">
        <f t="shared" si="15"/>
        <v>0.52300593372700377</v>
      </c>
      <c r="AV7" s="4">
        <f t="shared" si="16"/>
        <v>0.14646523605902648</v>
      </c>
      <c r="AW7">
        <f t="shared" si="17"/>
        <v>0.3487226100145559</v>
      </c>
      <c r="AX7">
        <f t="shared" si="1"/>
        <v>0.11244627575130581</v>
      </c>
      <c r="AY7" s="4">
        <f>AV7*T7</f>
        <v>4.1010266096527415E-2</v>
      </c>
      <c r="AZ7" s="5">
        <f>AW7*U7</f>
        <v>2.1272079210887911E-2</v>
      </c>
      <c r="BA7">
        <f t="shared" si="18"/>
        <v>0.41055965797569799</v>
      </c>
      <c r="BB7" s="4">
        <f>AV7*(1-T7)</f>
        <v>0.10545496996249906</v>
      </c>
      <c r="BC7" s="5">
        <f>AW7*(1-U7)</f>
        <v>0.32745053080366798</v>
      </c>
      <c r="BD7">
        <f t="shared" si="19"/>
        <v>0.41055965797569799</v>
      </c>
    </row>
    <row r="8" spans="1:58" x14ac:dyDescent="0.3">
      <c r="A8">
        <v>69</v>
      </c>
      <c r="B8">
        <v>12</v>
      </c>
      <c r="C8">
        <f t="shared" si="2"/>
        <v>2807.7307671555368</v>
      </c>
      <c r="D8">
        <v>0</v>
      </c>
      <c r="E8">
        <v>90</v>
      </c>
      <c r="F8">
        <f t="shared" si="3"/>
        <v>3987.3687943177233</v>
      </c>
      <c r="G8">
        <v>37</v>
      </c>
      <c r="H8">
        <v>68</v>
      </c>
      <c r="I8">
        <v>119</v>
      </c>
      <c r="J8">
        <f>I8*50</f>
        <v>5950</v>
      </c>
      <c r="K8">
        <v>9.6</v>
      </c>
      <c r="L8" t="s">
        <v>37</v>
      </c>
      <c r="P8">
        <f t="shared" si="4"/>
        <v>83.7</v>
      </c>
      <c r="Q8">
        <f t="shared" si="5"/>
        <v>14.7</v>
      </c>
      <c r="R8">
        <f t="shared" si="6"/>
        <v>82.7</v>
      </c>
      <c r="S8">
        <f t="shared" si="7"/>
        <v>0.215</v>
      </c>
      <c r="T8">
        <f>G8/100</f>
        <v>0.37</v>
      </c>
      <c r="U8">
        <f>K8/100</f>
        <v>9.6000000000000002E-2</v>
      </c>
      <c r="V8">
        <f t="shared" si="8"/>
        <v>7.5283499999999997</v>
      </c>
      <c r="W8">
        <f t="shared" si="9"/>
        <v>64.793650000000014</v>
      </c>
      <c r="X8">
        <f t="shared" si="10"/>
        <v>3.6404825163010576E-4</v>
      </c>
      <c r="Y8">
        <f t="shared" si="11"/>
        <v>1.3469785310313913E-4</v>
      </c>
      <c r="AA8">
        <f t="shared" si="12"/>
        <v>2.2935039852696663E-4</v>
      </c>
      <c r="AD8">
        <f>R8*J8*(1/28316.8)/(529.83*10.73159)</f>
        <v>3.0561712400187439E-3</v>
      </c>
      <c r="AE8">
        <f>AD8*U8</f>
        <v>2.933924390417994E-4</v>
      </c>
      <c r="AF8">
        <f>AD8*(1-U8)</f>
        <v>2.7627788009769445E-3</v>
      </c>
      <c r="AI8" s="1">
        <f>P8*C8*(1/28316.8)/(529.83*10.73159)</f>
        <v>1.4596076410612793E-3</v>
      </c>
      <c r="AJ8" s="2">
        <f>AI8*S8</f>
        <v>3.1381564282817503E-4</v>
      </c>
      <c r="AK8" s="3">
        <f>AI8*(1-S8)</f>
        <v>1.1457919982331042E-3</v>
      </c>
      <c r="AL8">
        <f>AJ8*$AS$1</f>
        <v>1.0042100570501601E-2</v>
      </c>
      <c r="AM8">
        <f>AK8*$AS$2</f>
        <v>3.2082175950526919E-2</v>
      </c>
      <c r="AO8" s="1">
        <f>X8+AD8</f>
        <v>3.4202194916488496E-3</v>
      </c>
      <c r="AP8" s="2">
        <f>Y8+AE8</f>
        <v>4.2809029214493856E-4</v>
      </c>
      <c r="AQ8" s="3">
        <f t="shared" si="0"/>
        <v>2.9921291995039113E-3</v>
      </c>
      <c r="AR8">
        <f t="shared" si="13"/>
        <v>1.3698889348638034E-2</v>
      </c>
      <c r="AS8">
        <f t="shared" si="14"/>
        <v>8.3779617586109523E-2</v>
      </c>
      <c r="AU8">
        <f t="shared" si="15"/>
        <v>0.66063907418147838</v>
      </c>
      <c r="AV8" s="4">
        <f t="shared" si="16"/>
        <v>0.16477339056640478</v>
      </c>
      <c r="AW8">
        <f t="shared" si="17"/>
        <v>1.3832663530577383</v>
      </c>
      <c r="AX8">
        <f t="shared" si="1"/>
        <v>0.14203740094901784</v>
      </c>
      <c r="AY8" s="4">
        <f>AV8*T8</f>
        <v>6.0966154509569763E-2</v>
      </c>
      <c r="AZ8" s="5">
        <f>AW8*U8</f>
        <v>0.13279356989354288</v>
      </c>
      <c r="BA8">
        <f t="shared" si="18"/>
        <v>0.51860167323246054</v>
      </c>
      <c r="BB8" s="4">
        <f>AV8*(1-T8)</f>
        <v>0.10380723605683501</v>
      </c>
      <c r="BC8" s="5">
        <f>AW8*(1-U8)</f>
        <v>1.2504727831641955</v>
      </c>
      <c r="BD8">
        <f t="shared" si="19"/>
        <v>0.51860167323246054</v>
      </c>
    </row>
    <row r="9" spans="1:58" x14ac:dyDescent="0.3">
      <c r="V9">
        <v>0</v>
      </c>
      <c r="W9">
        <f t="shared" si="9"/>
        <v>0</v>
      </c>
      <c r="AU9">
        <f>((P9*6894.7)*C9/10^6)/(8.314*295)</f>
        <v>0</v>
      </c>
      <c r="AV9" s="4">
        <f>(Q9*6894.7*F9/10^6)/8.314/295</f>
        <v>0</v>
      </c>
      <c r="AW9">
        <f>(R9*6894.7*J9/10^6)/8.314/295</f>
        <v>0</v>
      </c>
      <c r="AX9">
        <f t="shared" si="1"/>
        <v>0</v>
      </c>
      <c r="AY9" s="4">
        <f>AV9*T9</f>
        <v>0</v>
      </c>
      <c r="AZ9" s="5">
        <f>AW9*U9</f>
        <v>0</v>
      </c>
      <c r="BA9">
        <f t="shared" si="18"/>
        <v>0</v>
      </c>
      <c r="BB9" s="4">
        <f>AV9*(1-T9)</f>
        <v>0</v>
      </c>
      <c r="BC9" s="5">
        <f>AW9*(1-U9)</f>
        <v>0</v>
      </c>
      <c r="BD9">
        <f t="shared" si="19"/>
        <v>0</v>
      </c>
    </row>
    <row r="10" spans="1:58" x14ac:dyDescent="0.3">
      <c r="A10">
        <v>82</v>
      </c>
      <c r="B10">
        <v>19</v>
      </c>
      <c r="C10">
        <f t="shared" si="2"/>
        <v>4445.5737146629335</v>
      </c>
      <c r="D10">
        <v>0</v>
      </c>
      <c r="E10">
        <v>106</v>
      </c>
      <c r="F10">
        <f t="shared" si="3"/>
        <v>4696.234357751985</v>
      </c>
      <c r="G10">
        <v>34.299999999999997</v>
      </c>
      <c r="H10">
        <v>82</v>
      </c>
      <c r="I10">
        <v>87</v>
      </c>
      <c r="J10">
        <f>I10*50</f>
        <v>4350</v>
      </c>
      <c r="K10">
        <v>7.4</v>
      </c>
      <c r="L10" t="s">
        <v>39</v>
      </c>
      <c r="P10">
        <f t="shared" si="4"/>
        <v>96.7</v>
      </c>
      <c r="Q10">
        <f t="shared" si="5"/>
        <v>14.7</v>
      </c>
      <c r="R10">
        <f t="shared" si="6"/>
        <v>96.7</v>
      </c>
      <c r="S10">
        <f t="shared" si="7"/>
        <v>0.215</v>
      </c>
      <c r="T10">
        <f>G10/100</f>
        <v>0.34299999999999997</v>
      </c>
      <c r="U10">
        <f>K10/100</f>
        <v>7.400000000000001E-2</v>
      </c>
      <c r="V10">
        <f t="shared" si="8"/>
        <v>8.9310500000000008</v>
      </c>
      <c r="W10">
        <f t="shared" si="9"/>
        <v>77.684749999999994</v>
      </c>
      <c r="X10">
        <f t="shared" si="10"/>
        <v>4.2876794080879121E-4</v>
      </c>
      <c r="Y10">
        <f t="shared" si="11"/>
        <v>1.4706740369741536E-4</v>
      </c>
      <c r="AA10">
        <f t="shared" si="12"/>
        <v>2.8170053711137585E-4</v>
      </c>
      <c r="AD10">
        <f>R10*J10*(1/28316.8)/(529.83*10.73159)</f>
        <v>2.6125880752699026E-3</v>
      </c>
      <c r="AE10">
        <f>AD10*U10</f>
        <v>1.9333151756997281E-4</v>
      </c>
      <c r="AF10">
        <f>AD10*(1-U10)</f>
        <v>2.4192565576999295E-3</v>
      </c>
      <c r="AI10" s="1">
        <f>P10*C10*(1/28316.8)/(529.83*10.73159)</f>
        <v>2.6699891665888974E-3</v>
      </c>
      <c r="AJ10" s="2">
        <f>AI10*S10</f>
        <v>5.7404767081661293E-4</v>
      </c>
      <c r="AK10" s="3">
        <f>AI10*(1-S10)</f>
        <v>2.0959414957722844E-3</v>
      </c>
      <c r="AO10" s="1">
        <f>X10+AD10</f>
        <v>3.0413560160786938E-3</v>
      </c>
      <c r="AP10" s="2">
        <f>Y10+AE10</f>
        <v>3.4039892126738817E-4</v>
      </c>
      <c r="AQ10" s="3">
        <f t="shared" ref="AQ10:AQ12" si="20">AA10+AF10</f>
        <v>2.7009570948113054E-3</v>
      </c>
      <c r="AU10">
        <f>((P10*6894.7)*C10/10^6)/(8.314*295)</f>
        <v>1.2084748815149644</v>
      </c>
      <c r="AV10" s="4">
        <f>(Q10*6894.7*F10/10^6)/8.314/295</f>
        <v>0.19406643777821006</v>
      </c>
      <c r="AW10">
        <f t="shared" ref="AW10:AW12" si="21">(R10*6894.7*J10/10^6)/8.314/295</f>
        <v>1.1824943352645936</v>
      </c>
      <c r="AX10">
        <f t="shared" si="1"/>
        <v>0.25982209952571733</v>
      </c>
      <c r="AY10" s="4">
        <f>AV10*T10</f>
        <v>6.6564788157926047E-2</v>
      </c>
      <c r="AZ10" s="5">
        <f>AW10*U10</f>
        <v>8.7504580809579943E-2</v>
      </c>
      <c r="BA10">
        <f t="shared" si="18"/>
        <v>0.94865278198924707</v>
      </c>
      <c r="BB10" s="4">
        <f>AV10*(1-T10)</f>
        <v>0.12750164962028401</v>
      </c>
      <c r="BC10" s="5">
        <f>AW10*(1-U10)</f>
        <v>1.0949897544550136</v>
      </c>
      <c r="BD10">
        <f t="shared" si="19"/>
        <v>0.94865278198924707</v>
      </c>
      <c r="BF10">
        <f>AX4*(1-T4)</f>
        <v>9.5165058635841945E-2</v>
      </c>
    </row>
    <row r="11" spans="1:58" x14ac:dyDescent="0.3">
      <c r="A11">
        <v>54</v>
      </c>
      <c r="B11">
        <v>11.5</v>
      </c>
      <c r="C11">
        <f t="shared" si="2"/>
        <v>2690.741985190723</v>
      </c>
      <c r="D11">
        <v>0</v>
      </c>
      <c r="E11">
        <v>67</v>
      </c>
      <c r="F11">
        <f>E11*$P$44</f>
        <v>2968.374546880972</v>
      </c>
      <c r="G11">
        <v>32.9</v>
      </c>
      <c r="H11">
        <v>54</v>
      </c>
      <c r="I11">
        <v>55.5</v>
      </c>
      <c r="J11">
        <f>I11*50</f>
        <v>2775</v>
      </c>
      <c r="K11">
        <v>8.9</v>
      </c>
      <c r="L11" t="s">
        <v>40</v>
      </c>
      <c r="P11">
        <f t="shared" si="4"/>
        <v>68.7</v>
      </c>
      <c r="Q11">
        <f t="shared" si="5"/>
        <v>14.7</v>
      </c>
      <c r="R11">
        <f t="shared" si="6"/>
        <v>68.7</v>
      </c>
      <c r="S11">
        <f t="shared" si="7"/>
        <v>0.215</v>
      </c>
      <c r="T11">
        <f>G11/100</f>
        <v>0.32899999999999996</v>
      </c>
      <c r="U11">
        <f>K11/100</f>
        <v>8.900000000000001E-2</v>
      </c>
      <c r="V11">
        <f t="shared" si="8"/>
        <v>5.6061000000000014</v>
      </c>
      <c r="W11">
        <f t="shared" si="9"/>
        <v>53.421300000000002</v>
      </c>
      <c r="X11">
        <f t="shared" si="10"/>
        <v>2.7101369843574545E-4</v>
      </c>
      <c r="Y11">
        <f t="shared" si="11"/>
        <v>8.9163506785360245E-5</v>
      </c>
      <c r="AA11">
        <f t="shared" si="12"/>
        <v>1.8185019165038521E-4</v>
      </c>
      <c r="AD11">
        <f>R11*J11*(1/28316.8)/(529.83*10.73159)</f>
        <v>1.1840633363992021E-3</v>
      </c>
      <c r="AE11">
        <f>AD11*U11</f>
        <v>1.0538163693952899E-4</v>
      </c>
      <c r="AF11">
        <f>AD11*(1-U11)</f>
        <v>1.0786816994596731E-3</v>
      </c>
      <c r="AI11" s="1">
        <f>P11*C11*(1/28316.8)/(529.83*10.73159)</f>
        <v>1.1481113269817443E-3</v>
      </c>
      <c r="AJ11" s="2">
        <f>AI11*S11</f>
        <v>2.4684393530107499E-4</v>
      </c>
      <c r="AK11" s="3">
        <f>AI11*(1-S11)</f>
        <v>9.0126739168066932E-4</v>
      </c>
      <c r="AO11" s="1">
        <f>X11+AD11</f>
        <v>1.4550770348349476E-3</v>
      </c>
      <c r="AP11" s="2">
        <f>Y11+AE11</f>
        <v>1.9454514372488924E-4</v>
      </c>
      <c r="AQ11" s="3">
        <f t="shared" si="20"/>
        <v>1.2605318911100582E-3</v>
      </c>
      <c r="AU11">
        <f t="shared" ref="AU11:AU12" si="22">((P11*6894.7)*C11/10^6)/(8.314*295)</f>
        <v>0.51965143424639293</v>
      </c>
      <c r="AV11" s="4">
        <f t="shared" ref="AV11:AV12" si="23">(Q11*6894.7*F11/10^6)/8.314/295</f>
        <v>0.12266463519943469</v>
      </c>
      <c r="AW11">
        <f t="shared" si="21"/>
        <v>0.53592382248851234</v>
      </c>
      <c r="AX11">
        <f t="shared" si="1"/>
        <v>0.11172505836297447</v>
      </c>
      <c r="AY11" s="4">
        <f>AV11*T11</f>
        <v>4.0356664980614007E-2</v>
      </c>
      <c r="AZ11" s="5">
        <f>AW11*U11</f>
        <v>4.7697220201477604E-2</v>
      </c>
      <c r="BA11">
        <f t="shared" si="18"/>
        <v>0.40792637588341846</v>
      </c>
      <c r="BB11" s="4">
        <f>AV11*(1-T11)</f>
        <v>8.2307970218820678E-2</v>
      </c>
      <c r="BC11" s="5">
        <f>AW11*(1-U11)</f>
        <v>0.48822660228703474</v>
      </c>
      <c r="BD11">
        <f t="shared" si="19"/>
        <v>0.40792637588341846</v>
      </c>
      <c r="BF11">
        <f>AX5*(1-T5)</f>
        <v>0.11190179904766791</v>
      </c>
    </row>
    <row r="12" spans="1:58" x14ac:dyDescent="0.3">
      <c r="A12">
        <v>40</v>
      </c>
      <c r="B12">
        <v>10</v>
      </c>
      <c r="C12">
        <f t="shared" si="2"/>
        <v>2339.7756392962806</v>
      </c>
      <c r="D12">
        <v>0</v>
      </c>
      <c r="E12">
        <v>49.5</v>
      </c>
      <c r="F12">
        <f t="shared" si="3"/>
        <v>2193.0528368747478</v>
      </c>
      <c r="G12">
        <v>32.200000000000003</v>
      </c>
      <c r="H12">
        <v>40</v>
      </c>
      <c r="I12">
        <v>42</v>
      </c>
      <c r="J12">
        <f>I12*50</f>
        <v>2100</v>
      </c>
      <c r="K12">
        <v>10</v>
      </c>
      <c r="L12" t="s">
        <v>41</v>
      </c>
      <c r="P12">
        <f t="shared" si="4"/>
        <v>54.7</v>
      </c>
      <c r="Q12">
        <f t="shared" si="5"/>
        <v>14.7</v>
      </c>
      <c r="R12">
        <f t="shared" si="6"/>
        <v>54.7</v>
      </c>
      <c r="S12">
        <f t="shared" si="7"/>
        <v>0.215</v>
      </c>
      <c r="T12">
        <f>G12/100</f>
        <v>0.32200000000000001</v>
      </c>
      <c r="U12">
        <f>K12/100</f>
        <v>0.1</v>
      </c>
      <c r="V12">
        <f t="shared" si="8"/>
        <v>3.88185</v>
      </c>
      <c r="W12">
        <f t="shared" si="9"/>
        <v>41.351349999999996</v>
      </c>
      <c r="X12">
        <f t="shared" si="10"/>
        <v>2.0022653839655815E-4</v>
      </c>
      <c r="Y12">
        <f t="shared" si="11"/>
        <v>6.4472945363691723E-5</v>
      </c>
      <c r="AA12">
        <f t="shared" si="12"/>
        <v>1.357535930328664E-4</v>
      </c>
      <c r="AD12">
        <f>R12*J12*(1/28316.8)/(529.83*10.73159)</f>
        <v>7.1344718754829772E-4</v>
      </c>
      <c r="AE12">
        <f>AD12*U12</f>
        <v>7.1344718754829769E-5</v>
      </c>
      <c r="AF12">
        <f>AD12*(1-U12)</f>
        <v>6.4210246879346799E-4</v>
      </c>
      <c r="AI12" s="1">
        <f>P12*C12*(1/28316.8)/(529.83*10.73159)</f>
        <v>7.9490778540473894E-4</v>
      </c>
      <c r="AJ12" s="2">
        <f>AI12*S12</f>
        <v>1.7090517386201886E-4</v>
      </c>
      <c r="AK12" s="3">
        <f>AI12*(1-S12)</f>
        <v>6.2400261154272013E-4</v>
      </c>
      <c r="AO12" s="1">
        <f>X12+AD12</f>
        <v>9.1367372594485592E-4</v>
      </c>
      <c r="AP12" s="2">
        <f>Y12+AE12</f>
        <v>1.3581766411852151E-4</v>
      </c>
      <c r="AQ12" s="3">
        <f t="shared" si="20"/>
        <v>7.7785606182633436E-4</v>
      </c>
      <c r="AU12">
        <f t="shared" si="22"/>
        <v>0.3597865129204188</v>
      </c>
      <c r="AV12" s="4">
        <f t="shared" si="23"/>
        <v>9.0625364811522627E-2</v>
      </c>
      <c r="AW12">
        <f t="shared" si="21"/>
        <v>0.32291629352980267</v>
      </c>
      <c r="AX12">
        <f t="shared" si="1"/>
        <v>7.7354100277890039E-2</v>
      </c>
      <c r="AY12" s="4">
        <f>AV12*T12</f>
        <v>2.9181367469310288E-2</v>
      </c>
      <c r="AZ12" s="5">
        <f>AW12*U12</f>
        <v>3.2291629352980265E-2</v>
      </c>
      <c r="BA12">
        <f t="shared" si="18"/>
        <v>0.28243241264252877</v>
      </c>
      <c r="BB12" s="4">
        <f>AV12*(1-T12)</f>
        <v>6.1443997342212335E-2</v>
      </c>
      <c r="BC12" s="5">
        <f>AW12*(1-U12)</f>
        <v>0.29062466417682242</v>
      </c>
      <c r="BD12">
        <f t="shared" si="19"/>
        <v>0.28243241264252877</v>
      </c>
      <c r="BF12">
        <f>AX6*(1-T6)</f>
        <v>8.9708455149383859E-2</v>
      </c>
    </row>
    <row r="13" spans="1:58" x14ac:dyDescent="0.3">
      <c r="BF13">
        <f>AX7*(1-T7)</f>
        <v>8.0961318540940172E-2</v>
      </c>
    </row>
    <row r="14" spans="1:58" x14ac:dyDescent="0.3">
      <c r="AK14" t="s">
        <v>44</v>
      </c>
      <c r="AL14" t="s">
        <v>45</v>
      </c>
      <c r="AM14" t="s">
        <v>46</v>
      </c>
      <c r="AN14" t="s">
        <v>47</v>
      </c>
      <c r="AO14" t="s">
        <v>48</v>
      </c>
      <c r="BF14">
        <f>AX8*(1-T8)</f>
        <v>8.9483562597881247E-2</v>
      </c>
    </row>
    <row r="15" spans="1:58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U15" t="s">
        <v>6</v>
      </c>
      <c r="AA15" t="s">
        <v>43</v>
      </c>
      <c r="AF15" t="s">
        <v>81</v>
      </c>
      <c r="AG15" t="s">
        <v>82</v>
      </c>
      <c r="AK15">
        <f>Q4*T4</f>
        <v>4.851</v>
      </c>
      <c r="AL15">
        <f>Q4*(1-T4)</f>
        <v>9.8489999999999984</v>
      </c>
      <c r="AM15">
        <f>R4*U4</f>
        <v>7.0295000000000005</v>
      </c>
      <c r="AN15">
        <f>R4*(1-U4)</f>
        <v>75.670500000000004</v>
      </c>
      <c r="AO15">
        <f>(AL15-$AN$19)/-($AM$19-AK15)</f>
        <v>4.2493438320209984</v>
      </c>
      <c r="AU15" t="s">
        <v>53</v>
      </c>
      <c r="AV15" t="s">
        <v>54</v>
      </c>
      <c r="AY15" t="s">
        <v>54</v>
      </c>
      <c r="BB15" t="s">
        <v>54</v>
      </c>
    </row>
    <row r="16" spans="1:58" x14ac:dyDescent="0.3">
      <c r="A16" t="s">
        <v>36</v>
      </c>
      <c r="O16" t="s">
        <v>42</v>
      </c>
      <c r="P16" t="s">
        <v>49</v>
      </c>
      <c r="Q16" t="s">
        <v>50</v>
      </c>
      <c r="R16" t="s">
        <v>51</v>
      </c>
      <c r="S16" t="s">
        <v>52</v>
      </c>
      <c r="T16" t="s">
        <v>6</v>
      </c>
      <c r="U16" t="s">
        <v>49</v>
      </c>
      <c r="V16" t="s">
        <v>50</v>
      </c>
      <c r="W16" t="s">
        <v>51</v>
      </c>
      <c r="X16" t="s">
        <v>52</v>
      </c>
      <c r="Y16" t="s">
        <v>43</v>
      </c>
      <c r="AA16" t="s">
        <v>49</v>
      </c>
      <c r="AB16" t="s">
        <v>50</v>
      </c>
      <c r="AC16" t="s">
        <v>51</v>
      </c>
      <c r="AD16" t="s">
        <v>52</v>
      </c>
      <c r="AK16">
        <f>Q5*T5</f>
        <v>5.1155999999999997</v>
      </c>
      <c r="AL16">
        <f>Q5*(1-T5)</f>
        <v>9.5844000000000005</v>
      </c>
      <c r="AO16">
        <f>(AL16-$AN$19)/-($AM$19-AK16)</f>
        <v>4.3571844501898314</v>
      </c>
      <c r="AU16">
        <f>AU4-AV4-AW4</f>
        <v>-0.26216998116326018</v>
      </c>
      <c r="AV16">
        <f>AU16/AU4*100</f>
        <v>-39.684298342190061</v>
      </c>
      <c r="AX16">
        <f>AX4-AY4-AZ4</f>
        <v>2.5471899483099733E-2</v>
      </c>
      <c r="AY16">
        <f>AX16/AX4*100</f>
        <v>17.933234002389611</v>
      </c>
      <c r="BA16">
        <f>BA4-BB4-BC4</f>
        <v>-0.28764188064635998</v>
      </c>
      <c r="BB16">
        <f>BA16/BA4*100</f>
        <v>-55.464896372871131</v>
      </c>
    </row>
    <row r="17" spans="1:54" x14ac:dyDescent="0.3">
      <c r="A17">
        <v>69</v>
      </c>
      <c r="B17">
        <v>12</v>
      </c>
      <c r="C17">
        <f>B17*$U$58</f>
        <v>2807.7307671555368</v>
      </c>
      <c r="D17">
        <v>0</v>
      </c>
      <c r="E17">
        <v>85</v>
      </c>
      <c r="F17">
        <f>E17*$P$44</f>
        <v>3765.8483057445164</v>
      </c>
      <c r="G17">
        <v>33</v>
      </c>
      <c r="H17">
        <v>68</v>
      </c>
      <c r="I17">
        <v>66</v>
      </c>
      <c r="J17">
        <f>I17*50</f>
        <v>3300</v>
      </c>
      <c r="K17">
        <v>8.5</v>
      </c>
      <c r="L17" t="s">
        <v>37</v>
      </c>
      <c r="O17" s="5">
        <f>((P4/14.7)^(1/2))*C17</f>
        <v>6699.7642739099983</v>
      </c>
      <c r="P17">
        <f>O17/22.4*(1/1000)*(1000)*1/60</f>
        <v>4.9849436561830345</v>
      </c>
      <c r="Q17">
        <f>F17/22.4*(1/1000)*(1000)*1/60</f>
        <v>2.8019704655837177</v>
      </c>
      <c r="R17">
        <f>J17/22.4*(1/1000)*(1000)*1/60</f>
        <v>2.4553571428571432</v>
      </c>
      <c r="S17">
        <f>Q17+R17</f>
        <v>5.2573276084408604</v>
      </c>
      <c r="U17" s="5">
        <f>P17*$D$1/100</f>
        <v>1.0717628860793524</v>
      </c>
      <c r="V17">
        <f>Q17*G17/100</f>
        <v>0.92465025364262687</v>
      </c>
      <c r="W17">
        <f>R17*K4/100</f>
        <v>0.20870535714285718</v>
      </c>
      <c r="X17" s="4">
        <f>V17+W17</f>
        <v>1.1333556107854841</v>
      </c>
      <c r="AA17" s="5">
        <f>$G$1*P17/100</f>
        <v>3.9131807701036818</v>
      </c>
      <c r="AB17">
        <f>(100-G17)/100*Q17</f>
        <v>1.877320211941091</v>
      </c>
      <c r="AC17">
        <f>(100-K17)*R17/100</f>
        <v>2.246651785714286</v>
      </c>
      <c r="AD17" s="4">
        <f>AB17+AC17</f>
        <v>4.123971997655377</v>
      </c>
      <c r="AF17">
        <f>V17/U17</f>
        <v>0.8627377059352348</v>
      </c>
      <c r="AG17">
        <f>AC17/AA17</f>
        <v>0.57412420169251721</v>
      </c>
      <c r="AK17">
        <f>Q6*T6</f>
        <v>4.5716999999999999</v>
      </c>
      <c r="AL17">
        <f>Q6*(1-T6)</f>
        <v>10.128300000000001</v>
      </c>
      <c r="AO17">
        <f>(AL17-$AN$19)/-($AM$19-AK17)</f>
        <v>4.1401242569168195</v>
      </c>
      <c r="AU17">
        <f t="shared" ref="AU17:AU23" si="24">AU5-AV5-AW5</f>
        <v>-0.40319533157240106</v>
      </c>
      <c r="AV17">
        <f t="shared" ref="AV17:AV24" si="25">AU17/AU5*100</f>
        <v>-50.508501258092231</v>
      </c>
      <c r="AX17">
        <f>AX5-AY5-AZ5</f>
        <v>2.1929612994426334E-2</v>
      </c>
      <c r="AY17">
        <f>AX17/AX5*100</f>
        <v>12.777370689344561</v>
      </c>
      <c r="BA17">
        <f t="shared" ref="BA17:BA23" si="26">BA5-BB5-BC5</f>
        <v>-0.42512494456682737</v>
      </c>
      <c r="BB17">
        <f t="shared" ref="BB17:BB24" si="27">BA17/BA5*100</f>
        <v>-67.841574466625858</v>
      </c>
    </row>
    <row r="18" spans="1:54" x14ac:dyDescent="0.3">
      <c r="A18">
        <v>69</v>
      </c>
      <c r="B18">
        <v>14.5</v>
      </c>
      <c r="C18">
        <f t="shared" ref="C18:C24" si="28">B18*$U$58</f>
        <v>3392.6746769796073</v>
      </c>
      <c r="D18">
        <v>0</v>
      </c>
      <c r="E18">
        <v>88</v>
      </c>
      <c r="F18">
        <f t="shared" ref="F18:F25" si="29">E18*$P$44</f>
        <v>3898.7605988884407</v>
      </c>
      <c r="G18">
        <v>34.799999999999997</v>
      </c>
      <c r="H18">
        <v>68</v>
      </c>
      <c r="I18">
        <v>89.5</v>
      </c>
      <c r="J18">
        <f>I18*50</f>
        <v>4475</v>
      </c>
      <c r="K18">
        <v>9</v>
      </c>
      <c r="L18" t="s">
        <v>37</v>
      </c>
      <c r="O18" s="5">
        <f>((P5/14.7)^(1/2))*C18</f>
        <v>8095.548497641249</v>
      </c>
      <c r="P18">
        <f t="shared" ref="P18:P25" si="30">O18/22.4*(1/1000)*(1000)*1/60</f>
        <v>6.0234735845545009</v>
      </c>
      <c r="Q18">
        <f t="shared" ref="Q18:Q25" si="31">F18/22.4*(1/1000)*(1000)*1/60</f>
        <v>2.9008635408396137</v>
      </c>
      <c r="R18">
        <f t="shared" ref="R18:R25" si="32">J18/22.4*(1/1000)*(1000)*1/60</f>
        <v>3.3296130952380953</v>
      </c>
      <c r="S18">
        <f t="shared" ref="S18:S25" si="33">Q18+R18</f>
        <v>6.2304766360777091</v>
      </c>
      <c r="U18" s="5">
        <f t="shared" ref="U18:U25" si="34">P18*$D$1/100</f>
        <v>1.2950468206792178</v>
      </c>
      <c r="V18">
        <f t="shared" ref="V18:V25" si="35">Q18*G18/100</f>
        <v>1.0095005122121854</v>
      </c>
      <c r="W18">
        <f>R18*K5/100</f>
        <v>0.2996651785714286</v>
      </c>
      <c r="X18" s="4">
        <f t="shared" ref="X18:X25" si="36">V18+W18</f>
        <v>1.309165690783614</v>
      </c>
      <c r="AA18" s="5">
        <f t="shared" ref="AA18:AA25" si="37">$G$1*P18/100</f>
        <v>4.7284267638752837</v>
      </c>
      <c r="AB18">
        <f t="shared" ref="AB18:AB25" si="38">(100-G18)/100*Q18</f>
        <v>1.8913630286274281</v>
      </c>
      <c r="AC18">
        <f t="shared" ref="AC18:AC25" si="39">(100-K18)*R18/100</f>
        <v>3.029947916666667</v>
      </c>
      <c r="AD18" s="4">
        <f t="shared" ref="AD18:AD25" si="40">AB18+AC18</f>
        <v>4.9213109452940955</v>
      </c>
      <c r="AF18">
        <f t="shared" ref="AF18:AF25" si="41">V18/U18</f>
        <v>0.77950889195089412</v>
      </c>
      <c r="AG18">
        <f t="shared" ref="AG18:AG25" si="42">AC18/AA18</f>
        <v>0.64079408817646744</v>
      </c>
      <c r="AK18">
        <f>Q7*T7</f>
        <v>4.1160000000000005</v>
      </c>
      <c r="AL18">
        <f>Q7*(1-T7)</f>
        <v>10.584</v>
      </c>
      <c r="AM18" t="s">
        <v>55</v>
      </c>
      <c r="AN18" t="s">
        <v>56</v>
      </c>
      <c r="AO18">
        <f>(AL18-$AN$19)/-($AM$19-AK18)</f>
        <v>3.9713606397925001</v>
      </c>
      <c r="AU18">
        <f t="shared" si="24"/>
        <v>-0.12849162216118015</v>
      </c>
      <c r="AV18">
        <f t="shared" si="25"/>
        <v>-21.217739640205092</v>
      </c>
      <c r="AX18">
        <f t="shared" ref="AX18:AX23" si="43">AX6-AY6-AZ6</f>
        <v>3.7904684885579666E-2</v>
      </c>
      <c r="AY18">
        <f t="shared" ref="AY18:AY24" si="44">AX18/AX6*100</f>
        <v>29.112448589907263</v>
      </c>
      <c r="BA18">
        <f t="shared" si="26"/>
        <v>-0.16639630704675989</v>
      </c>
      <c r="BB18">
        <f t="shared" si="27"/>
        <v>-35.00244087520403</v>
      </c>
    </row>
    <row r="19" spans="1:54" x14ac:dyDescent="0.3">
      <c r="A19">
        <v>69</v>
      </c>
      <c r="B19">
        <v>11</v>
      </c>
      <c r="C19">
        <f t="shared" si="28"/>
        <v>2573.7532032259087</v>
      </c>
      <c r="D19">
        <v>0</v>
      </c>
      <c r="E19">
        <v>83.5</v>
      </c>
      <c r="F19">
        <f t="shared" si="29"/>
        <v>3699.3921591725548</v>
      </c>
      <c r="G19">
        <v>31.1</v>
      </c>
      <c r="H19">
        <v>68</v>
      </c>
      <c r="I19">
        <v>50</v>
      </c>
      <c r="J19">
        <f>I19*50</f>
        <v>2500</v>
      </c>
      <c r="K19">
        <v>7.7</v>
      </c>
      <c r="L19" t="s">
        <v>37</v>
      </c>
      <c r="O19" s="5">
        <f t="shared" ref="O19:O25" si="45">((P6/14.7)^(1/2))*C19</f>
        <v>6141.4505844174982</v>
      </c>
      <c r="P19">
        <f t="shared" si="30"/>
        <v>4.5695316848344483</v>
      </c>
      <c r="Q19">
        <f t="shared" si="31"/>
        <v>2.7525239279557701</v>
      </c>
      <c r="R19">
        <f t="shared" si="32"/>
        <v>1.8601190476190477</v>
      </c>
      <c r="S19">
        <f t="shared" si="33"/>
        <v>4.6126429755748175</v>
      </c>
      <c r="U19" s="5">
        <f t="shared" si="34"/>
        <v>0.98244931223940635</v>
      </c>
      <c r="V19">
        <f t="shared" si="35"/>
        <v>0.85603494159424454</v>
      </c>
      <c r="W19">
        <f t="shared" ref="W19:W25" si="46">R19*K6/100</f>
        <v>0.14322916666666669</v>
      </c>
      <c r="X19" s="4">
        <f t="shared" si="36"/>
        <v>0.99926410826091128</v>
      </c>
      <c r="AA19" s="5">
        <f t="shared" si="37"/>
        <v>3.587082372595042</v>
      </c>
      <c r="AB19">
        <f t="shared" si="38"/>
        <v>1.8964889863615257</v>
      </c>
      <c r="AC19">
        <f t="shared" si="39"/>
        <v>1.7168898809523809</v>
      </c>
      <c r="AD19" s="4">
        <f t="shared" si="40"/>
        <v>3.6133788673139069</v>
      </c>
      <c r="AF19">
        <f t="shared" si="41"/>
        <v>0.87132733559860565</v>
      </c>
      <c r="AG19">
        <f t="shared" si="42"/>
        <v>0.47863129491233641</v>
      </c>
      <c r="AK19">
        <f>Q8*T8</f>
        <v>5.4390000000000001</v>
      </c>
      <c r="AL19">
        <f>Q8*(1-T8)</f>
        <v>9.2609999999999992</v>
      </c>
      <c r="AM19">
        <f>0.215*P5</f>
        <v>17.9955</v>
      </c>
      <c r="AN19">
        <f>(1-0.215)*P5</f>
        <v>65.70450000000001</v>
      </c>
      <c r="AO19">
        <f>(AL19-$AN$19)/-($AM$19-AK19)</f>
        <v>4.4951618683550363</v>
      </c>
      <c r="AU19">
        <f t="shared" si="24"/>
        <v>2.7818087653421364E-2</v>
      </c>
      <c r="AV19">
        <f t="shared" si="25"/>
        <v>5.31888566831093</v>
      </c>
      <c r="AX19">
        <f t="shared" si="43"/>
        <v>5.0163930443890482E-2</v>
      </c>
      <c r="AY19">
        <f t="shared" si="44"/>
        <v>44.611464549378766</v>
      </c>
      <c r="BA19">
        <f t="shared" si="26"/>
        <v>-2.2345842790469084E-2</v>
      </c>
      <c r="BB19">
        <f t="shared" si="27"/>
        <v>-5.4427760634464937</v>
      </c>
    </row>
    <row r="20" spans="1:54" x14ac:dyDescent="0.3">
      <c r="A20">
        <v>69</v>
      </c>
      <c r="B20">
        <v>9.5</v>
      </c>
      <c r="C20">
        <f t="shared" si="28"/>
        <v>2222.7868573314668</v>
      </c>
      <c r="D20">
        <v>0</v>
      </c>
      <c r="E20">
        <v>80</v>
      </c>
      <c r="F20">
        <f t="shared" si="29"/>
        <v>3544.32781717131</v>
      </c>
      <c r="G20">
        <v>28</v>
      </c>
      <c r="H20">
        <v>68</v>
      </c>
      <c r="I20">
        <v>30</v>
      </c>
      <c r="J20">
        <f>I20*50</f>
        <v>1500</v>
      </c>
      <c r="K20">
        <v>6.1</v>
      </c>
      <c r="L20" t="s">
        <v>37</v>
      </c>
      <c r="O20" s="5">
        <f t="shared" si="45"/>
        <v>5303.9800501787495</v>
      </c>
      <c r="P20">
        <f t="shared" si="30"/>
        <v>3.9464137278115703</v>
      </c>
      <c r="Q20">
        <f t="shared" si="31"/>
        <v>2.6371486734905583</v>
      </c>
      <c r="R20">
        <f t="shared" si="32"/>
        <v>1.1160714285714286</v>
      </c>
      <c r="S20">
        <f t="shared" si="33"/>
        <v>3.7532201020619871</v>
      </c>
      <c r="U20" s="5">
        <f t="shared" si="34"/>
        <v>0.8484789514794876</v>
      </c>
      <c r="V20">
        <f t="shared" si="35"/>
        <v>0.73840162857735636</v>
      </c>
      <c r="W20">
        <f t="shared" si="46"/>
        <v>6.8080357142857151E-2</v>
      </c>
      <c r="X20" s="4">
        <f t="shared" si="36"/>
        <v>0.80648198572021346</v>
      </c>
      <c r="AA20" s="5">
        <f t="shared" si="37"/>
        <v>3.097934776332083</v>
      </c>
      <c r="AB20">
        <f t="shared" si="38"/>
        <v>1.8987470449132018</v>
      </c>
      <c r="AC20">
        <f t="shared" si="39"/>
        <v>1.0479910714285716</v>
      </c>
      <c r="AD20" s="4">
        <f t="shared" si="40"/>
        <v>2.9467381163417734</v>
      </c>
      <c r="AF20">
        <f t="shared" si="41"/>
        <v>0.87026511063098255</v>
      </c>
      <c r="AG20">
        <f t="shared" si="42"/>
        <v>0.33828700314645754</v>
      </c>
      <c r="AO20">
        <f>(AL20-AI24)/-($AM$19-$AK$15)</f>
        <v>0</v>
      </c>
      <c r="AU20">
        <f t="shared" si="24"/>
        <v>-0.8874006694426646</v>
      </c>
      <c r="AV20">
        <f t="shared" si="25"/>
        <v>-134.32458117045837</v>
      </c>
      <c r="AX20">
        <f t="shared" si="43"/>
        <v>-5.1722323454094804E-2</v>
      </c>
      <c r="AY20">
        <f t="shared" si="44"/>
        <v>-36.414580320756322</v>
      </c>
      <c r="BA20">
        <f>BA8-BB8-BC8</f>
        <v>-0.83567834598856994</v>
      </c>
      <c r="BB20">
        <f>BA20/BA8*100</f>
        <v>-161.14069605286085</v>
      </c>
    </row>
    <row r="21" spans="1:54" x14ac:dyDescent="0.3">
      <c r="A21">
        <v>69</v>
      </c>
      <c r="B21">
        <v>12</v>
      </c>
      <c r="C21">
        <f t="shared" si="28"/>
        <v>2807.7307671555368</v>
      </c>
      <c r="D21">
        <v>0</v>
      </c>
      <c r="E21">
        <v>90</v>
      </c>
      <c r="F21">
        <f t="shared" si="29"/>
        <v>3987.3687943177233</v>
      </c>
      <c r="G21">
        <v>37</v>
      </c>
      <c r="H21">
        <v>68</v>
      </c>
      <c r="I21">
        <v>119</v>
      </c>
      <c r="J21">
        <f>I21*50</f>
        <v>5950</v>
      </c>
      <c r="K21">
        <v>9.6</v>
      </c>
      <c r="L21" t="s">
        <v>37</v>
      </c>
      <c r="O21" s="5">
        <f t="shared" si="45"/>
        <v>6699.7642739099983</v>
      </c>
      <c r="P21">
        <f t="shared" si="30"/>
        <v>4.9849436561830345</v>
      </c>
      <c r="Q21">
        <f t="shared" si="31"/>
        <v>2.9667922576768779</v>
      </c>
      <c r="R21">
        <f t="shared" si="32"/>
        <v>4.427083333333333</v>
      </c>
      <c r="S21">
        <f t="shared" si="33"/>
        <v>7.393875591010211</v>
      </c>
      <c r="U21" s="5">
        <f t="shared" si="34"/>
        <v>1.0717628860793524</v>
      </c>
      <c r="V21">
        <f t="shared" si="35"/>
        <v>1.0977131353404448</v>
      </c>
      <c r="W21">
        <f t="shared" si="46"/>
        <v>0.42499999999999993</v>
      </c>
      <c r="X21" s="4">
        <f t="shared" si="36"/>
        <v>1.5227131353404446</v>
      </c>
      <c r="AA21" s="5">
        <f t="shared" si="37"/>
        <v>3.9131807701036818</v>
      </c>
      <c r="AB21">
        <f t="shared" si="38"/>
        <v>1.8690791223364331</v>
      </c>
      <c r="AC21">
        <f t="shared" si="39"/>
        <v>4.0020833333333332</v>
      </c>
      <c r="AD21" s="4">
        <f t="shared" si="40"/>
        <v>5.8711624556697668</v>
      </c>
      <c r="AF21">
        <f t="shared" si="41"/>
        <v>1.024212677634343</v>
      </c>
      <c r="AG21">
        <f t="shared" si="42"/>
        <v>1.022718746833486</v>
      </c>
      <c r="AO21">
        <f>(AL21-AI25)/-($AM$19-$AK$15)</f>
        <v>0</v>
      </c>
      <c r="AU21">
        <f t="shared" si="24"/>
        <v>0</v>
      </c>
      <c r="AX21">
        <f t="shared" si="43"/>
        <v>0</v>
      </c>
      <c r="BA21">
        <f t="shared" si="26"/>
        <v>0</v>
      </c>
    </row>
    <row r="22" spans="1:54" x14ac:dyDescent="0.3">
      <c r="A22" t="s">
        <v>38</v>
      </c>
      <c r="C22">
        <f t="shared" si="28"/>
        <v>0</v>
      </c>
      <c r="F22">
        <f t="shared" si="29"/>
        <v>0</v>
      </c>
      <c r="O22" s="5">
        <f t="shared" si="45"/>
        <v>0</v>
      </c>
      <c r="P22">
        <f t="shared" si="30"/>
        <v>0</v>
      </c>
      <c r="Q22">
        <f t="shared" si="31"/>
        <v>0</v>
      </c>
      <c r="R22">
        <f t="shared" si="32"/>
        <v>0</v>
      </c>
      <c r="S22">
        <f t="shared" si="33"/>
        <v>0</v>
      </c>
      <c r="U22" s="5"/>
      <c r="V22">
        <v>0</v>
      </c>
      <c r="X22" s="4"/>
      <c r="AA22" s="5">
        <f t="shared" si="37"/>
        <v>0</v>
      </c>
      <c r="AB22">
        <f t="shared" si="38"/>
        <v>0</v>
      </c>
      <c r="AC22">
        <f t="shared" si="39"/>
        <v>0</v>
      </c>
      <c r="AD22" s="4">
        <f t="shared" si="40"/>
        <v>0</v>
      </c>
      <c r="AF22" t="e">
        <f t="shared" si="41"/>
        <v>#DIV/0!</v>
      </c>
      <c r="AG22" t="e">
        <f t="shared" si="42"/>
        <v>#DIV/0!</v>
      </c>
      <c r="AO22">
        <f>(AL22-AI26)/-($AM$19-$AK$15)</f>
        <v>0</v>
      </c>
      <c r="AU22">
        <f t="shared" si="24"/>
        <v>-0.16808589152783915</v>
      </c>
      <c r="AV22">
        <f t="shared" si="25"/>
        <v>-13.908927202286888</v>
      </c>
      <c r="AX22">
        <f t="shared" si="43"/>
        <v>0.10575273055821134</v>
      </c>
      <c r="AY22">
        <f t="shared" si="44"/>
        <v>40.701976756886253</v>
      </c>
      <c r="BA22">
        <f t="shared" si="26"/>
        <v>-0.27383862208605048</v>
      </c>
      <c r="BB22">
        <f t="shared" si="27"/>
        <v>-28.866053764353417</v>
      </c>
    </row>
    <row r="23" spans="1:54" x14ac:dyDescent="0.3">
      <c r="A23">
        <v>82</v>
      </c>
      <c r="B23">
        <v>19</v>
      </c>
      <c r="C23">
        <f t="shared" si="28"/>
        <v>4445.5737146629335</v>
      </c>
      <c r="D23">
        <v>0</v>
      </c>
      <c r="E23">
        <v>106</v>
      </c>
      <c r="F23">
        <f t="shared" si="29"/>
        <v>4696.234357751985</v>
      </c>
      <c r="G23">
        <v>34.299999999999997</v>
      </c>
      <c r="H23">
        <v>82</v>
      </c>
      <c r="I23">
        <v>87</v>
      </c>
      <c r="J23">
        <f>I23*50</f>
        <v>4350</v>
      </c>
      <c r="K23">
        <v>7.4</v>
      </c>
      <c r="L23" t="s">
        <v>39</v>
      </c>
      <c r="O23" s="5">
        <f t="shared" si="45"/>
        <v>11402.035415014032</v>
      </c>
      <c r="P23">
        <f t="shared" si="30"/>
        <v>8.4836573028378215</v>
      </c>
      <c r="Q23">
        <f t="shared" si="31"/>
        <v>3.4942219923749889</v>
      </c>
      <c r="R23">
        <f t="shared" si="32"/>
        <v>3.2366071428571432</v>
      </c>
      <c r="S23">
        <f t="shared" si="33"/>
        <v>6.7308291352321321</v>
      </c>
      <c r="U23" s="5">
        <f t="shared" si="34"/>
        <v>1.8239863201101314</v>
      </c>
      <c r="V23">
        <f t="shared" si="35"/>
        <v>1.198518143384621</v>
      </c>
      <c r="W23">
        <f t="shared" si="46"/>
        <v>0.23950892857142861</v>
      </c>
      <c r="X23" s="4">
        <f t="shared" si="36"/>
        <v>1.4380270719560497</v>
      </c>
      <c r="AA23" s="5">
        <f t="shared" si="37"/>
        <v>6.6596709827276905</v>
      </c>
      <c r="AB23">
        <f t="shared" si="38"/>
        <v>2.2957038489903678</v>
      </c>
      <c r="AC23">
        <f t="shared" si="39"/>
        <v>2.9970982142857143</v>
      </c>
      <c r="AD23" s="4">
        <f t="shared" si="40"/>
        <v>5.2928020632760822</v>
      </c>
      <c r="AF23">
        <f t="shared" si="41"/>
        <v>0.6570872435667473</v>
      </c>
      <c r="AG23">
        <f t="shared" si="42"/>
        <v>0.45003697961339117</v>
      </c>
      <c r="AU23">
        <f t="shared" si="24"/>
        <v>-0.13893702344155412</v>
      </c>
      <c r="AV23">
        <f t="shared" si="25"/>
        <v>-26.736580385473751</v>
      </c>
      <c r="AX23">
        <f t="shared" si="43"/>
        <v>2.3671173180882861E-2</v>
      </c>
      <c r="AY23">
        <f t="shared" si="44"/>
        <v>21.186986632828159</v>
      </c>
      <c r="BA23">
        <f t="shared" si="26"/>
        <v>-0.16260819662243697</v>
      </c>
      <c r="BB23">
        <f t="shared" si="27"/>
        <v>-39.862143326792108</v>
      </c>
    </row>
    <row r="24" spans="1:54" x14ac:dyDescent="0.3">
      <c r="A24">
        <v>54</v>
      </c>
      <c r="B24">
        <v>11.5</v>
      </c>
      <c r="C24">
        <f t="shared" si="28"/>
        <v>2690.741985190723</v>
      </c>
      <c r="D24">
        <v>0</v>
      </c>
      <c r="E24">
        <v>67</v>
      </c>
      <c r="F24">
        <f t="shared" si="29"/>
        <v>2968.374546880972</v>
      </c>
      <c r="G24">
        <v>32.9</v>
      </c>
      <c r="H24">
        <v>54</v>
      </c>
      <c r="I24">
        <v>55.5</v>
      </c>
      <c r="J24">
        <f>I24*50</f>
        <v>2775</v>
      </c>
      <c r="K24">
        <v>8.9</v>
      </c>
      <c r="L24" t="s">
        <v>40</v>
      </c>
      <c r="O24" s="5">
        <f t="shared" si="45"/>
        <v>5816.9021257177392</v>
      </c>
      <c r="P24">
        <f t="shared" si="30"/>
        <v>4.3280521768733182</v>
      </c>
      <c r="Q24">
        <f t="shared" si="31"/>
        <v>2.2086120140483425</v>
      </c>
      <c r="R24">
        <f t="shared" si="32"/>
        <v>2.0647321428571432</v>
      </c>
      <c r="S24">
        <f t="shared" si="33"/>
        <v>4.2733441569054857</v>
      </c>
      <c r="U24" s="5">
        <f t="shared" si="34"/>
        <v>0.93053121802776351</v>
      </c>
      <c r="V24">
        <f t="shared" si="35"/>
        <v>0.72663335262190476</v>
      </c>
      <c r="W24">
        <f t="shared" si="46"/>
        <v>0.18376116071428578</v>
      </c>
      <c r="X24" s="4">
        <f t="shared" si="36"/>
        <v>0.91039451333619059</v>
      </c>
      <c r="AA24" s="5">
        <f t="shared" si="37"/>
        <v>3.3975209588455551</v>
      </c>
      <c r="AB24">
        <f t="shared" si="38"/>
        <v>1.4819786614264376</v>
      </c>
      <c r="AC24">
        <f t="shared" si="39"/>
        <v>1.8809709821428575</v>
      </c>
      <c r="AD24" s="4">
        <f t="shared" si="40"/>
        <v>3.3629496435692952</v>
      </c>
      <c r="AF24">
        <f t="shared" si="41"/>
        <v>0.78088014517340432</v>
      </c>
      <c r="AG24">
        <f t="shared" si="42"/>
        <v>0.55363042786997063</v>
      </c>
      <c r="AU24">
        <f>AU12-AV12-AW12</f>
        <v>-5.3755145420906481E-2</v>
      </c>
      <c r="AV24">
        <f t="shared" si="25"/>
        <v>-14.940845054076995</v>
      </c>
      <c r="AX24">
        <f>AX12-AY12-AZ12</f>
        <v>1.5881103455599489E-2</v>
      </c>
      <c r="AY24">
        <f t="shared" si="44"/>
        <v>20.530396447696454</v>
      </c>
      <c r="BA24">
        <f>BA12-BB12-BC12</f>
        <v>-6.9636248876505991E-2</v>
      </c>
      <c r="BB24">
        <f t="shared" si="27"/>
        <v>-24.655898459021323</v>
      </c>
    </row>
    <row r="25" spans="1:54" x14ac:dyDescent="0.3">
      <c r="A25">
        <v>40</v>
      </c>
      <c r="B25">
        <v>10</v>
      </c>
      <c r="C25">
        <f>B25*$U$58</f>
        <v>2339.7756392962806</v>
      </c>
      <c r="D25">
        <v>0</v>
      </c>
      <c r="E25">
        <v>49.5</v>
      </c>
      <c r="F25">
        <f t="shared" si="29"/>
        <v>2193.0528368747478</v>
      </c>
      <c r="G25">
        <v>32.200000000000003</v>
      </c>
      <c r="H25">
        <v>40</v>
      </c>
      <c r="I25">
        <v>42</v>
      </c>
      <c r="J25">
        <f>I25*50</f>
        <v>2100</v>
      </c>
      <c r="K25">
        <v>10</v>
      </c>
      <c r="L25" t="s">
        <v>41</v>
      </c>
      <c r="O25" s="5">
        <f t="shared" si="45"/>
        <v>4513.4559764190008</v>
      </c>
      <c r="P25">
        <f t="shared" si="30"/>
        <v>3.3582261729308049</v>
      </c>
      <c r="Q25">
        <f t="shared" si="31"/>
        <v>1.6317357417222829</v>
      </c>
      <c r="R25">
        <f t="shared" si="32"/>
        <v>1.5625</v>
      </c>
      <c r="S25">
        <f t="shared" si="33"/>
        <v>3.1942357417222826</v>
      </c>
      <c r="U25" s="5">
        <f t="shared" si="34"/>
        <v>0.72201862718012311</v>
      </c>
      <c r="V25">
        <f t="shared" si="35"/>
        <v>0.52541890883457509</v>
      </c>
      <c r="W25">
        <f t="shared" si="46"/>
        <v>0.15625</v>
      </c>
      <c r="X25" s="4">
        <f t="shared" si="36"/>
        <v>0.68166890883457509</v>
      </c>
      <c r="AA25" s="5">
        <f t="shared" si="37"/>
        <v>2.6362075457506817</v>
      </c>
      <c r="AB25">
        <f t="shared" si="38"/>
        <v>1.1063168328877078</v>
      </c>
      <c r="AC25">
        <f t="shared" si="39"/>
        <v>1.40625</v>
      </c>
      <c r="AD25" s="4">
        <f t="shared" si="40"/>
        <v>2.5125668328877078</v>
      </c>
      <c r="AF25">
        <f t="shared" si="41"/>
        <v>0.72770824609695006</v>
      </c>
      <c r="AG25">
        <f t="shared" si="42"/>
        <v>0.53343675548867253</v>
      </c>
    </row>
    <row r="29" spans="1:54" x14ac:dyDescent="0.3">
      <c r="A29" t="s">
        <v>57</v>
      </c>
      <c r="P29" t="s">
        <v>6</v>
      </c>
    </row>
    <row r="30" spans="1:54" x14ac:dyDescent="0.3">
      <c r="A30" t="s">
        <v>36</v>
      </c>
      <c r="P30" t="s">
        <v>58</v>
      </c>
      <c r="Q30" t="s">
        <v>59</v>
      </c>
      <c r="R30" t="s">
        <v>60</v>
      </c>
      <c r="S30" t="s">
        <v>61</v>
      </c>
      <c r="U30" t="s">
        <v>62</v>
      </c>
      <c r="V30" t="s">
        <v>63</v>
      </c>
      <c r="W30" t="s">
        <v>64</v>
      </c>
      <c r="X30" t="s">
        <v>65</v>
      </c>
      <c r="Y30" t="s">
        <v>66</v>
      </c>
    </row>
    <row r="31" spans="1:54" x14ac:dyDescent="0.3">
      <c r="A31">
        <v>69</v>
      </c>
      <c r="B31">
        <v>14.5</v>
      </c>
      <c r="C31">
        <f t="shared" ref="C31:C38" si="47">B31*400</f>
        <v>5800</v>
      </c>
      <c r="D31">
        <v>0</v>
      </c>
      <c r="E31">
        <v>88</v>
      </c>
      <c r="F31">
        <f t="shared" ref="F31:F38" si="48">E31*50</f>
        <v>4400</v>
      </c>
      <c r="G31">
        <v>34.799999999999997</v>
      </c>
      <c r="H31">
        <v>68</v>
      </c>
      <c r="I31">
        <v>89.5</v>
      </c>
      <c r="J31">
        <f t="shared" ref="J31:J38" si="49">I31*50</f>
        <v>4475</v>
      </c>
      <c r="K31">
        <v>9</v>
      </c>
      <c r="L31" t="s">
        <v>37</v>
      </c>
      <c r="P31">
        <f>$B$1/100-K31/100</f>
        <v>0.125</v>
      </c>
      <c r="Q31">
        <f t="shared" ref="Q31:Q38" si="50">G31/100-$B$1/100</f>
        <v>0.13299999999999998</v>
      </c>
      <c r="R31">
        <f>P31/Q31</f>
        <v>0.93984962406015049</v>
      </c>
      <c r="S31">
        <f>E31/I31</f>
        <v>0.98324022346368711</v>
      </c>
      <c r="U31">
        <f>J31</f>
        <v>4475</v>
      </c>
      <c r="V31">
        <f>E31*$P$44</f>
        <v>3898.7605988884407</v>
      </c>
      <c r="W31">
        <f>U31+V31</f>
        <v>8373.7605988884407</v>
      </c>
      <c r="X31">
        <f>A31+14.7</f>
        <v>83.7</v>
      </c>
      <c r="Y31">
        <f>(X31/14.7)^(1/2)*B31</f>
        <v>34.599678540443712</v>
      </c>
    </row>
    <row r="32" spans="1:54" x14ac:dyDescent="0.3">
      <c r="A32">
        <v>69</v>
      </c>
      <c r="B32">
        <v>12</v>
      </c>
      <c r="C32">
        <f t="shared" si="47"/>
        <v>4800</v>
      </c>
      <c r="D32">
        <v>0</v>
      </c>
      <c r="E32">
        <v>85</v>
      </c>
      <c r="F32">
        <f t="shared" si="48"/>
        <v>4250</v>
      </c>
      <c r="G32">
        <v>33</v>
      </c>
      <c r="H32">
        <v>68</v>
      </c>
      <c r="I32">
        <v>66</v>
      </c>
      <c r="J32">
        <f t="shared" si="49"/>
        <v>3300</v>
      </c>
      <c r="K32">
        <v>8.5</v>
      </c>
      <c r="L32" t="s">
        <v>37</v>
      </c>
      <c r="P32">
        <f t="shared" ref="P32:P38" si="51">$B$1/100-K32/100</f>
        <v>0.13</v>
      </c>
      <c r="Q32">
        <f t="shared" si="50"/>
        <v>0.11500000000000002</v>
      </c>
      <c r="R32">
        <f t="shared" ref="R32:R35" si="52">P32/Q32</f>
        <v>1.1304347826086956</v>
      </c>
      <c r="S32">
        <f>E32/I32</f>
        <v>1.2878787878787878</v>
      </c>
      <c r="U32">
        <f>J32</f>
        <v>3300</v>
      </c>
      <c r="V32">
        <f t="shared" ref="V32:V35" si="53">E32*$P$44</f>
        <v>3765.8483057445164</v>
      </c>
      <c r="W32">
        <f t="shared" ref="W32:W35" si="54">U32+V32</f>
        <v>7065.8483057445164</v>
      </c>
      <c r="X32">
        <f t="shared" ref="X32:X38" si="55">A32+14.7</f>
        <v>83.7</v>
      </c>
      <c r="Y32">
        <f t="shared" ref="Y32:Y34" si="56">(X32/14.7)^(1/2)*B32</f>
        <v>28.634216723125828</v>
      </c>
      <c r="AE32" cm="1">
        <f t="array" ref="AE32:AF32">LINEST(V17:V25,V4:V12,0)</f>
        <v>0.12572766236329819</v>
      </c>
      <c r="AF32">
        <v>0</v>
      </c>
    </row>
    <row r="33" spans="1:37" x14ac:dyDescent="0.3">
      <c r="A33">
        <v>69</v>
      </c>
      <c r="B33">
        <v>11</v>
      </c>
      <c r="C33">
        <f t="shared" si="47"/>
        <v>4400</v>
      </c>
      <c r="D33">
        <v>0</v>
      </c>
      <c r="E33">
        <v>83.5</v>
      </c>
      <c r="F33">
        <f t="shared" si="48"/>
        <v>4175</v>
      </c>
      <c r="G33">
        <v>31.1</v>
      </c>
      <c r="H33">
        <v>68</v>
      </c>
      <c r="I33">
        <v>50</v>
      </c>
      <c r="J33">
        <f t="shared" si="49"/>
        <v>2500</v>
      </c>
      <c r="K33">
        <v>7.7</v>
      </c>
      <c r="L33" t="s">
        <v>37</v>
      </c>
      <c r="P33">
        <f t="shared" si="51"/>
        <v>0.13800000000000001</v>
      </c>
      <c r="Q33">
        <f t="shared" si="50"/>
        <v>9.6000000000000002E-2</v>
      </c>
      <c r="R33">
        <f t="shared" si="52"/>
        <v>1.4375</v>
      </c>
      <c r="S33">
        <f t="shared" ref="S33:S35" si="57">E33/I33</f>
        <v>1.67</v>
      </c>
      <c r="U33">
        <f>J33</f>
        <v>2500</v>
      </c>
      <c r="V33">
        <f t="shared" si="53"/>
        <v>3699.3921591725548</v>
      </c>
      <c r="W33">
        <f t="shared" si="54"/>
        <v>6199.3921591725548</v>
      </c>
      <c r="X33">
        <f t="shared" si="55"/>
        <v>83.7</v>
      </c>
      <c r="Y33">
        <f t="shared" si="56"/>
        <v>26.248031996198677</v>
      </c>
      <c r="AE33" cm="1">
        <f t="array" ref="AE33:AF33">LINEST(AC17:AC25,W4:W12,0)</f>
        <v>3.6487948814420613E-2</v>
      </c>
      <c r="AF33">
        <v>0</v>
      </c>
    </row>
    <row r="34" spans="1:37" x14ac:dyDescent="0.3">
      <c r="A34">
        <v>69</v>
      </c>
      <c r="B34">
        <v>9.5</v>
      </c>
      <c r="C34">
        <f t="shared" si="47"/>
        <v>3800</v>
      </c>
      <c r="D34">
        <v>0</v>
      </c>
      <c r="E34">
        <v>80</v>
      </c>
      <c r="F34">
        <f t="shared" si="48"/>
        <v>4000</v>
      </c>
      <c r="G34">
        <v>28</v>
      </c>
      <c r="H34">
        <v>68</v>
      </c>
      <c r="I34">
        <v>30</v>
      </c>
      <c r="J34">
        <f t="shared" si="49"/>
        <v>1500</v>
      </c>
      <c r="K34">
        <v>6.1</v>
      </c>
      <c r="L34" t="s">
        <v>37</v>
      </c>
      <c r="P34">
        <f t="shared" si="51"/>
        <v>0.154</v>
      </c>
      <c r="Q34">
        <f t="shared" si="50"/>
        <v>6.500000000000003E-2</v>
      </c>
      <c r="R34">
        <f t="shared" si="52"/>
        <v>2.3692307692307679</v>
      </c>
      <c r="S34">
        <f t="shared" si="57"/>
        <v>2.6666666666666665</v>
      </c>
      <c r="U34">
        <f t="shared" ref="U34:U35" si="58">J34</f>
        <v>1500</v>
      </c>
      <c r="V34">
        <f t="shared" si="53"/>
        <v>3544.32781717131</v>
      </c>
      <c r="W34">
        <f t="shared" si="54"/>
        <v>5044.32781717131</v>
      </c>
      <c r="X34">
        <f t="shared" si="55"/>
        <v>83.7</v>
      </c>
      <c r="Y34">
        <f t="shared" si="56"/>
        <v>22.668754905807948</v>
      </c>
    </row>
    <row r="35" spans="1:37" x14ac:dyDescent="0.3">
      <c r="A35">
        <v>69</v>
      </c>
      <c r="B35">
        <v>12</v>
      </c>
      <c r="C35">
        <f t="shared" si="47"/>
        <v>4800</v>
      </c>
      <c r="D35">
        <v>0</v>
      </c>
      <c r="E35">
        <v>90</v>
      </c>
      <c r="F35">
        <f t="shared" si="48"/>
        <v>4500</v>
      </c>
      <c r="G35">
        <v>37</v>
      </c>
      <c r="H35">
        <v>68</v>
      </c>
      <c r="I35">
        <v>119</v>
      </c>
      <c r="J35">
        <f t="shared" si="49"/>
        <v>5950</v>
      </c>
      <c r="K35">
        <v>9.6</v>
      </c>
      <c r="L35" t="s">
        <v>37</v>
      </c>
      <c r="P35">
        <f t="shared" si="51"/>
        <v>0.11899999999999999</v>
      </c>
      <c r="Q35">
        <f t="shared" si="50"/>
        <v>0.155</v>
      </c>
      <c r="R35">
        <f t="shared" si="52"/>
        <v>0.76774193548387093</v>
      </c>
      <c r="S35">
        <f t="shared" si="57"/>
        <v>0.75630252100840334</v>
      </c>
      <c r="U35">
        <f t="shared" si="58"/>
        <v>5950</v>
      </c>
      <c r="V35">
        <f t="shared" si="53"/>
        <v>3987.3687943177233</v>
      </c>
      <c r="W35">
        <f t="shared" si="54"/>
        <v>9937.3687943177229</v>
      </c>
      <c r="X35">
        <f t="shared" si="55"/>
        <v>83.7</v>
      </c>
      <c r="Y35">
        <f>(X35/14.7)^(1/2)*B35</f>
        <v>28.634216723125828</v>
      </c>
      <c r="AE35">
        <f>AE32/AE33</f>
        <v>3.4457311646306801</v>
      </c>
    </row>
    <row r="36" spans="1:37" x14ac:dyDescent="0.3">
      <c r="A36">
        <v>82</v>
      </c>
      <c r="B36">
        <v>19</v>
      </c>
      <c r="C36">
        <f t="shared" si="47"/>
        <v>7600</v>
      </c>
      <c r="D36">
        <v>0</v>
      </c>
      <c r="E36">
        <v>106</v>
      </c>
      <c r="F36">
        <f t="shared" si="48"/>
        <v>5300</v>
      </c>
      <c r="G36">
        <v>34.299999999999997</v>
      </c>
      <c r="H36">
        <v>82</v>
      </c>
      <c r="I36">
        <v>87</v>
      </c>
      <c r="J36">
        <f t="shared" si="49"/>
        <v>4350</v>
      </c>
      <c r="K36">
        <v>7.4</v>
      </c>
      <c r="L36" t="s">
        <v>39</v>
      </c>
      <c r="P36">
        <f t="shared" si="51"/>
        <v>0.14099999999999999</v>
      </c>
      <c r="Q36">
        <f t="shared" si="50"/>
        <v>0.12799999999999997</v>
      </c>
      <c r="R36">
        <f>P36/Q36</f>
        <v>1.1015625</v>
      </c>
      <c r="S36">
        <f>E36/I36</f>
        <v>1.2183908045977012</v>
      </c>
      <c r="U36">
        <f>J36</f>
        <v>4350</v>
      </c>
      <c r="V36">
        <f>E36*$P$44</f>
        <v>4696.234357751985</v>
      </c>
      <c r="W36">
        <f>U36+V36</f>
        <v>9046.234357751986</v>
      </c>
      <c r="X36">
        <f t="shared" si="55"/>
        <v>96.7</v>
      </c>
      <c r="Y36">
        <f>(X36/14.7)^1/2*B36</f>
        <v>62.493197278911573</v>
      </c>
    </row>
    <row r="37" spans="1:37" x14ac:dyDescent="0.3">
      <c r="A37">
        <v>54</v>
      </c>
      <c r="B37">
        <v>11.5</v>
      </c>
      <c r="C37">
        <f t="shared" si="47"/>
        <v>4600</v>
      </c>
      <c r="D37">
        <v>0</v>
      </c>
      <c r="E37">
        <v>67</v>
      </c>
      <c r="F37">
        <f t="shared" si="48"/>
        <v>3350</v>
      </c>
      <c r="G37">
        <v>32.9</v>
      </c>
      <c r="H37">
        <v>54</v>
      </c>
      <c r="I37">
        <v>55.5</v>
      </c>
      <c r="J37">
        <f t="shared" si="49"/>
        <v>2775</v>
      </c>
      <c r="K37">
        <v>8.9</v>
      </c>
      <c r="L37" t="s">
        <v>40</v>
      </c>
      <c r="P37">
        <f t="shared" si="51"/>
        <v>0.126</v>
      </c>
      <c r="Q37">
        <f t="shared" si="50"/>
        <v>0.11399999999999996</v>
      </c>
      <c r="R37">
        <f>P37/Q37</f>
        <v>1.1052631578947372</v>
      </c>
      <c r="S37">
        <f>E37/I37</f>
        <v>1.2072072072072073</v>
      </c>
      <c r="U37">
        <f>J37</f>
        <v>2775</v>
      </c>
      <c r="V37">
        <f>E37*$P$44</f>
        <v>2968.374546880972</v>
      </c>
      <c r="W37">
        <f>U37+V37</f>
        <v>5743.374546880972</v>
      </c>
      <c r="X37">
        <f t="shared" si="55"/>
        <v>68.7</v>
      </c>
      <c r="Y37">
        <f>(X37/14.7)^1/2*B37</f>
        <v>26.872448979591841</v>
      </c>
    </row>
    <row r="38" spans="1:37" x14ac:dyDescent="0.3">
      <c r="A38">
        <v>40</v>
      </c>
      <c r="B38">
        <v>10</v>
      </c>
      <c r="C38">
        <f t="shared" si="47"/>
        <v>4000</v>
      </c>
      <c r="D38">
        <v>0</v>
      </c>
      <c r="E38">
        <v>49.5</v>
      </c>
      <c r="F38">
        <f t="shared" si="48"/>
        <v>2475</v>
      </c>
      <c r="G38">
        <v>32.200000000000003</v>
      </c>
      <c r="H38">
        <v>40</v>
      </c>
      <c r="I38">
        <v>42</v>
      </c>
      <c r="J38">
        <f t="shared" si="49"/>
        <v>2100</v>
      </c>
      <c r="K38">
        <v>10</v>
      </c>
      <c r="L38" t="s">
        <v>41</v>
      </c>
      <c r="P38">
        <f t="shared" si="51"/>
        <v>0.11499999999999999</v>
      </c>
      <c r="Q38">
        <f t="shared" si="50"/>
        <v>0.10700000000000001</v>
      </c>
      <c r="R38">
        <f>P38/Q38</f>
        <v>1.0747663551401867</v>
      </c>
      <c r="S38">
        <f>E38/I38</f>
        <v>1.1785714285714286</v>
      </c>
      <c r="U38">
        <f>J38</f>
        <v>2100</v>
      </c>
      <c r="V38">
        <f>E38*$P$44</f>
        <v>2193.0528368747478</v>
      </c>
      <c r="W38">
        <f>U38+V38</f>
        <v>4293.0528368747473</v>
      </c>
      <c r="X38">
        <f t="shared" si="55"/>
        <v>54.7</v>
      </c>
      <c r="Y38">
        <f>(X38/14.7)^1/2*B38</f>
        <v>18.605442176870749</v>
      </c>
    </row>
    <row r="40" spans="1:37" x14ac:dyDescent="0.3">
      <c r="A40" t="s">
        <v>38</v>
      </c>
    </row>
    <row r="41" spans="1:37" x14ac:dyDescent="0.3">
      <c r="AD41" t="s">
        <v>6</v>
      </c>
    </row>
    <row r="42" spans="1:37" x14ac:dyDescent="0.3">
      <c r="P42" t="s">
        <v>67</v>
      </c>
      <c r="AD42" t="s">
        <v>58</v>
      </c>
      <c r="AE42" t="s">
        <v>59</v>
      </c>
      <c r="AF42" t="s">
        <v>60</v>
      </c>
      <c r="AG42" t="s">
        <v>61</v>
      </c>
      <c r="AH42" t="s">
        <v>73</v>
      </c>
      <c r="AI42" t="s">
        <v>74</v>
      </c>
      <c r="AJ42" t="s">
        <v>76</v>
      </c>
      <c r="AK42" t="s">
        <v>75</v>
      </c>
    </row>
    <row r="43" spans="1:37" x14ac:dyDescent="0.3">
      <c r="P43" cm="1">
        <f t="array" ref="P43:Q43">LINEST(R31:R34,S31:S34,FALSE)</f>
        <v>0.88608195429282743</v>
      </c>
      <c r="Q43">
        <v>0</v>
      </c>
      <c r="R43" t="s">
        <v>68</v>
      </c>
      <c r="U43" cm="1">
        <f t="array" ref="U43:V43">LINEST(W31:W38,Y31:Y38)</f>
        <v>94.752712966158043</v>
      </c>
      <c r="V43">
        <v>4016.6318439088523</v>
      </c>
      <c r="AD43">
        <v>0.125</v>
      </c>
      <c r="AE43">
        <v>0.13299999999999998</v>
      </c>
      <c r="AF43">
        <v>0.93984962406015049</v>
      </c>
      <c r="AG43">
        <v>0.983240223463687</v>
      </c>
      <c r="AH43">
        <f>AG43*1.02/0.98</f>
        <v>1.023372477482613</v>
      </c>
      <c r="AI43">
        <f>AG43*0.98/1.02</f>
        <v>0.94468178332785613</v>
      </c>
      <c r="AJ43">
        <f>(P31-0.002)/(Q31+0.002)</f>
        <v>0.9111111111111112</v>
      </c>
      <c r="AK43">
        <f>(0.215-(K31/100-0.002))/((G31/100-0.002)-0.215)</f>
        <v>0.969465648854962</v>
      </c>
    </row>
    <row r="44" spans="1:37" x14ac:dyDescent="0.3">
      <c r="P44">
        <f>P43*50</f>
        <v>44.304097714641372</v>
      </c>
      <c r="R44" t="s">
        <v>69</v>
      </c>
      <c r="U44" t="s">
        <v>70</v>
      </c>
      <c r="AD44">
        <v>0.13</v>
      </c>
      <c r="AE44">
        <v>0.11500000000000002</v>
      </c>
      <c r="AF44">
        <v>1.1304347826086956</v>
      </c>
      <c r="AG44">
        <v>1.2878787878787878</v>
      </c>
      <c r="AH44">
        <f t="shared" ref="AH44:AH50" si="59">AG44*1.02/0.98</f>
        <v>1.3404452690166977</v>
      </c>
      <c r="AI44">
        <f t="shared" ref="AI44:AI50" si="60">AG44*0.98/1.02</f>
        <v>1.2373737373737372</v>
      </c>
      <c r="AJ44">
        <f t="shared" ref="AJ44:AJ50" si="61">(P32-0.002)/(Q32+0.002)</f>
        <v>1.0940170940170939</v>
      </c>
      <c r="AK44">
        <f t="shared" ref="AK44:AK50" si="62">(0.215-(K32/100-0.002))/((G32/100-0.002)-0.215)</f>
        <v>1.1681415929203538</v>
      </c>
    </row>
    <row r="45" spans="1:37" x14ac:dyDescent="0.3">
      <c r="AD45">
        <v>0.13800000000000001</v>
      </c>
      <c r="AE45">
        <v>9.6000000000000002E-2</v>
      </c>
      <c r="AF45">
        <v>1.4375</v>
      </c>
      <c r="AG45">
        <v>1.67</v>
      </c>
      <c r="AH45">
        <f t="shared" si="59"/>
        <v>1.7381632653061225</v>
      </c>
      <c r="AI45">
        <f t="shared" si="60"/>
        <v>1.6045098039215684</v>
      </c>
      <c r="AJ45">
        <f t="shared" si="61"/>
        <v>1.3877551020408163</v>
      </c>
      <c r="AK45">
        <f t="shared" si="62"/>
        <v>1.4893617021276597</v>
      </c>
    </row>
    <row r="46" spans="1:37" x14ac:dyDescent="0.3">
      <c r="AD46">
        <v>0.154</v>
      </c>
      <c r="AE46">
        <v>6.500000000000003E-2</v>
      </c>
      <c r="AF46">
        <v>2.3692307692307679</v>
      </c>
      <c r="AG46">
        <v>2.6666666666666665</v>
      </c>
      <c r="AH46">
        <f t="shared" si="59"/>
        <v>2.7755102040816326</v>
      </c>
      <c r="AI46">
        <f t="shared" si="60"/>
        <v>2.5620915032679736</v>
      </c>
      <c r="AJ46">
        <f t="shared" si="61"/>
        <v>2.2686567164179094</v>
      </c>
      <c r="AK46">
        <f t="shared" si="62"/>
        <v>2.4761904761904749</v>
      </c>
    </row>
    <row r="47" spans="1:37" x14ac:dyDescent="0.3">
      <c r="U47" cm="1">
        <f t="array" ref="U47:V47">LINEST(W31:W38,Y31:Y38,FALSE)</f>
        <v>205.6043879434493</v>
      </c>
      <c r="V47">
        <v>0</v>
      </c>
      <c r="AD47">
        <v>0.11899999999999999</v>
      </c>
      <c r="AE47">
        <v>0.155</v>
      </c>
      <c r="AF47">
        <v>0.76774193548387093</v>
      </c>
      <c r="AG47">
        <v>0.75630252100840334</v>
      </c>
      <c r="AH47">
        <f t="shared" si="59"/>
        <v>0.78717201166180761</v>
      </c>
      <c r="AI47">
        <f t="shared" si="60"/>
        <v>0.72664359861591687</v>
      </c>
      <c r="AJ47">
        <f t="shared" si="61"/>
        <v>0.74522292993630568</v>
      </c>
      <c r="AK47">
        <f t="shared" si="62"/>
        <v>0.79084967320261434</v>
      </c>
    </row>
    <row r="48" spans="1:37" x14ac:dyDescent="0.3">
      <c r="A48">
        <v>69</v>
      </c>
      <c r="B48">
        <v>14.5</v>
      </c>
      <c r="C48">
        <f t="shared" ref="C48:C53" si="63">B48*400</f>
        <v>5800</v>
      </c>
      <c r="D48">
        <v>0</v>
      </c>
      <c r="E48">
        <v>88</v>
      </c>
      <c r="F48">
        <f t="shared" ref="F48:F53" si="64">E48*50</f>
        <v>4400</v>
      </c>
      <c r="G48">
        <v>34.799999999999997</v>
      </c>
      <c r="H48">
        <v>68</v>
      </c>
      <c r="I48">
        <v>89.5</v>
      </c>
      <c r="J48">
        <f t="shared" ref="J48:J53" si="65">I48*50</f>
        <v>4475</v>
      </c>
      <c r="K48">
        <v>9</v>
      </c>
      <c r="L48" t="s">
        <v>37</v>
      </c>
      <c r="P48">
        <f>$B$1/100-K48/100</f>
        <v>0.125</v>
      </c>
      <c r="Q48">
        <f t="shared" ref="Q48:Q53" si="66">G48/100-$B$1/100</f>
        <v>0.13299999999999998</v>
      </c>
      <c r="R48">
        <f>P48/Q48</f>
        <v>0.93984962406015049</v>
      </c>
      <c r="S48">
        <f>E48/I48</f>
        <v>0.98324022346368711</v>
      </c>
      <c r="U48">
        <f>J48</f>
        <v>4475</v>
      </c>
      <c r="V48">
        <f>E48*$P$44</f>
        <v>3898.7605988884407</v>
      </c>
      <c r="W48">
        <f>U48+V48</f>
        <v>8373.7605988884407</v>
      </c>
      <c r="X48">
        <f>A48+14.7</f>
        <v>83.7</v>
      </c>
      <c r="Y48">
        <f>(X48/14.7)^(1/2)*B48</f>
        <v>34.599678540443712</v>
      </c>
      <c r="AD48">
        <v>0.14099999999999999</v>
      </c>
      <c r="AE48">
        <v>0.12799999999999997</v>
      </c>
      <c r="AF48">
        <v>1.1015625</v>
      </c>
      <c r="AG48">
        <v>1.2183908045977012</v>
      </c>
      <c r="AH48">
        <f t="shared" si="59"/>
        <v>1.2681210415200563</v>
      </c>
      <c r="AI48">
        <f t="shared" si="60"/>
        <v>1.1706107730448501</v>
      </c>
      <c r="AJ48">
        <f t="shared" si="61"/>
        <v>1.0692307692307692</v>
      </c>
      <c r="AK48">
        <f t="shared" si="62"/>
        <v>1.1349206349206351</v>
      </c>
    </row>
    <row r="49" spans="1:37" x14ac:dyDescent="0.3">
      <c r="A49">
        <v>69</v>
      </c>
      <c r="B49">
        <v>12</v>
      </c>
      <c r="C49">
        <f t="shared" si="63"/>
        <v>4800</v>
      </c>
      <c r="D49">
        <v>0</v>
      </c>
      <c r="E49">
        <v>85</v>
      </c>
      <c r="F49">
        <f t="shared" si="64"/>
        <v>4250</v>
      </c>
      <c r="G49">
        <v>33</v>
      </c>
      <c r="H49">
        <v>68</v>
      </c>
      <c r="I49">
        <v>66</v>
      </c>
      <c r="J49">
        <f t="shared" si="65"/>
        <v>3300</v>
      </c>
      <c r="K49">
        <v>8.5</v>
      </c>
      <c r="L49" t="s">
        <v>37</v>
      </c>
      <c r="P49">
        <f t="shared" ref="P49:P53" si="67">$B$1/100-K49/100</f>
        <v>0.13</v>
      </c>
      <c r="Q49">
        <f t="shared" si="66"/>
        <v>0.11500000000000002</v>
      </c>
      <c r="R49">
        <f t="shared" ref="R49:R51" si="68">P49/Q49</f>
        <v>1.1304347826086956</v>
      </c>
      <c r="S49">
        <f t="shared" ref="S49:S51" si="69">E49/I49</f>
        <v>1.2878787878787878</v>
      </c>
      <c r="U49">
        <f>J49</f>
        <v>3300</v>
      </c>
      <c r="V49">
        <f t="shared" ref="V49:V51" si="70">E49*$P$44</f>
        <v>3765.8483057445164</v>
      </c>
      <c r="W49">
        <f t="shared" ref="W49:W51" si="71">U49+V49</f>
        <v>7065.8483057445164</v>
      </c>
      <c r="X49">
        <f t="shared" ref="X49:X53" si="72">A49+14.7</f>
        <v>83.7</v>
      </c>
      <c r="Y49">
        <f t="shared" ref="Y49:Y51" si="73">(X49/14.7)^(1/2)*B49</f>
        <v>28.634216723125828</v>
      </c>
      <c r="AD49">
        <v>0.126</v>
      </c>
      <c r="AE49">
        <v>0.11399999999999996</v>
      </c>
      <c r="AF49">
        <v>1.1052631578947372</v>
      </c>
      <c r="AG49">
        <v>1.2072072072072073</v>
      </c>
      <c r="AH49">
        <f t="shared" si="59"/>
        <v>1.2564809707666851</v>
      </c>
      <c r="AI49">
        <f t="shared" si="60"/>
        <v>1.1598657481010424</v>
      </c>
      <c r="AJ49">
        <f t="shared" si="61"/>
        <v>1.0689655172413797</v>
      </c>
      <c r="AK49">
        <f t="shared" si="62"/>
        <v>1.1428571428571432</v>
      </c>
    </row>
    <row r="50" spans="1:37" x14ac:dyDescent="0.3">
      <c r="A50">
        <v>69</v>
      </c>
      <c r="B50">
        <v>11</v>
      </c>
      <c r="C50">
        <f t="shared" si="63"/>
        <v>4400</v>
      </c>
      <c r="D50">
        <v>0</v>
      </c>
      <c r="E50">
        <v>83.5</v>
      </c>
      <c r="F50">
        <f t="shared" si="64"/>
        <v>4175</v>
      </c>
      <c r="G50">
        <v>31.1</v>
      </c>
      <c r="H50">
        <v>68</v>
      </c>
      <c r="I50">
        <v>50</v>
      </c>
      <c r="J50">
        <f t="shared" si="65"/>
        <v>2500</v>
      </c>
      <c r="K50">
        <v>7.7</v>
      </c>
      <c r="L50" t="s">
        <v>37</v>
      </c>
      <c r="P50">
        <f t="shared" si="67"/>
        <v>0.13800000000000001</v>
      </c>
      <c r="Q50">
        <f t="shared" si="66"/>
        <v>9.6000000000000002E-2</v>
      </c>
      <c r="R50">
        <f t="shared" si="68"/>
        <v>1.4375</v>
      </c>
      <c r="S50">
        <f t="shared" si="69"/>
        <v>1.67</v>
      </c>
      <c r="U50">
        <f>J50</f>
        <v>2500</v>
      </c>
      <c r="V50">
        <f t="shared" si="70"/>
        <v>3699.3921591725548</v>
      </c>
      <c r="W50">
        <f t="shared" si="71"/>
        <v>6199.3921591725548</v>
      </c>
      <c r="X50">
        <f t="shared" si="72"/>
        <v>83.7</v>
      </c>
      <c r="Y50">
        <f t="shared" si="73"/>
        <v>26.248031996198677</v>
      </c>
      <c r="AD50">
        <v>0.11499999999999999</v>
      </c>
      <c r="AE50">
        <v>0.10700000000000001</v>
      </c>
      <c r="AF50">
        <v>1.0747663551401867</v>
      </c>
      <c r="AG50">
        <v>1.1785714285714286</v>
      </c>
      <c r="AH50">
        <f t="shared" si="59"/>
        <v>1.2266763848396502</v>
      </c>
      <c r="AI50">
        <f t="shared" si="60"/>
        <v>1.1323529411764706</v>
      </c>
      <c r="AJ50">
        <f t="shared" si="61"/>
        <v>1.0366972477064218</v>
      </c>
      <c r="AK50">
        <f t="shared" si="62"/>
        <v>1.1142857142857141</v>
      </c>
    </row>
    <row r="51" spans="1:37" x14ac:dyDescent="0.3">
      <c r="A51">
        <v>69</v>
      </c>
      <c r="B51">
        <v>9.5</v>
      </c>
      <c r="C51">
        <f t="shared" si="63"/>
        <v>3800</v>
      </c>
      <c r="D51">
        <v>0</v>
      </c>
      <c r="E51">
        <v>80</v>
      </c>
      <c r="F51">
        <f t="shared" si="64"/>
        <v>4000</v>
      </c>
      <c r="G51">
        <v>28</v>
      </c>
      <c r="H51">
        <v>68</v>
      </c>
      <c r="I51">
        <v>30</v>
      </c>
      <c r="J51">
        <f t="shared" si="65"/>
        <v>1500</v>
      </c>
      <c r="K51">
        <v>6.1</v>
      </c>
      <c r="L51" t="s">
        <v>37</v>
      </c>
      <c r="P51">
        <f t="shared" si="67"/>
        <v>0.154</v>
      </c>
      <c r="Q51">
        <f t="shared" si="66"/>
        <v>6.500000000000003E-2</v>
      </c>
      <c r="R51">
        <f t="shared" si="68"/>
        <v>2.3692307692307679</v>
      </c>
      <c r="S51">
        <f t="shared" si="69"/>
        <v>2.6666666666666665</v>
      </c>
      <c r="U51">
        <f t="shared" ref="U51" si="74">J51</f>
        <v>1500</v>
      </c>
      <c r="V51">
        <f t="shared" si="70"/>
        <v>3544.32781717131</v>
      </c>
      <c r="W51">
        <f t="shared" si="71"/>
        <v>5044.32781717131</v>
      </c>
      <c r="X51">
        <f t="shared" si="72"/>
        <v>83.7</v>
      </c>
      <c r="Y51">
        <f t="shared" si="73"/>
        <v>22.668754905807948</v>
      </c>
    </row>
    <row r="52" spans="1:37" x14ac:dyDescent="0.3">
      <c r="A52">
        <v>54</v>
      </c>
      <c r="B52">
        <v>11.5</v>
      </c>
      <c r="C52">
        <f t="shared" si="63"/>
        <v>4600</v>
      </c>
      <c r="D52">
        <v>0</v>
      </c>
      <c r="E52">
        <v>67</v>
      </c>
      <c r="F52">
        <f t="shared" si="64"/>
        <v>3350</v>
      </c>
      <c r="G52">
        <v>32.9</v>
      </c>
      <c r="H52">
        <v>54</v>
      </c>
      <c r="I52">
        <v>55.5</v>
      </c>
      <c r="J52">
        <f t="shared" si="65"/>
        <v>2775</v>
      </c>
      <c r="K52">
        <v>8.9</v>
      </c>
      <c r="L52" t="s">
        <v>40</v>
      </c>
      <c r="P52">
        <f t="shared" si="67"/>
        <v>0.126</v>
      </c>
      <c r="Q52">
        <f t="shared" si="66"/>
        <v>0.11399999999999996</v>
      </c>
      <c r="R52">
        <f>P52/Q52</f>
        <v>1.1052631578947372</v>
      </c>
      <c r="S52">
        <f>E52/I52</f>
        <v>1.2072072072072073</v>
      </c>
      <c r="U52">
        <f>J52</f>
        <v>2775</v>
      </c>
      <c r="V52">
        <f>E52*$P$44</f>
        <v>2968.374546880972</v>
      </c>
      <c r="W52">
        <f>U52+V52</f>
        <v>5743.374546880972</v>
      </c>
      <c r="X52">
        <f t="shared" si="72"/>
        <v>68.7</v>
      </c>
      <c r="Y52">
        <f>(X52/14.7)^1/2*B52</f>
        <v>26.872448979591841</v>
      </c>
    </row>
    <row r="53" spans="1:37" x14ac:dyDescent="0.3">
      <c r="A53">
        <v>40</v>
      </c>
      <c r="B53">
        <v>10</v>
      </c>
      <c r="C53">
        <f t="shared" si="63"/>
        <v>4000</v>
      </c>
      <c r="D53">
        <v>0</v>
      </c>
      <c r="E53">
        <v>49.5</v>
      </c>
      <c r="F53">
        <f t="shared" si="64"/>
        <v>2475</v>
      </c>
      <c r="G53">
        <v>32.200000000000003</v>
      </c>
      <c r="H53">
        <v>40</v>
      </c>
      <c r="I53">
        <v>42</v>
      </c>
      <c r="J53">
        <f t="shared" si="65"/>
        <v>2100</v>
      </c>
      <c r="K53">
        <v>10</v>
      </c>
      <c r="L53" t="s">
        <v>41</v>
      </c>
      <c r="P53">
        <f t="shared" si="67"/>
        <v>0.11499999999999999</v>
      </c>
      <c r="Q53">
        <f t="shared" si="66"/>
        <v>0.10700000000000001</v>
      </c>
      <c r="R53">
        <f>P53/Q53</f>
        <v>1.0747663551401867</v>
      </c>
      <c r="S53">
        <f>E53/I53</f>
        <v>1.1785714285714286</v>
      </c>
      <c r="U53">
        <f>J53</f>
        <v>2100</v>
      </c>
      <c r="V53">
        <f>E53*$P$44</f>
        <v>2193.0528368747478</v>
      </c>
      <c r="W53">
        <f>U53+V53</f>
        <v>4293.0528368747473</v>
      </c>
      <c r="X53">
        <f t="shared" si="72"/>
        <v>54.7</v>
      </c>
      <c r="Y53">
        <f>(X53/14.7)^1/2*B53</f>
        <v>18.605442176870749</v>
      </c>
      <c r="AE53" cm="1">
        <f t="array" ref="AE53:AF53">LINEST(AK43:AK50,AI43:AI50,FALSE)</f>
        <v>0.96877162907414094</v>
      </c>
      <c r="AF53">
        <v>0</v>
      </c>
      <c r="AH53" cm="1">
        <f t="array" ref="AH53:AI53">LINEST(AJ43:AJ50,AH43:AH50,FALSE)</f>
        <v>0.82971703724642965</v>
      </c>
      <c r="AI53">
        <v>0</v>
      </c>
    </row>
    <row r="54" spans="1:37" x14ac:dyDescent="0.3">
      <c r="AE54">
        <f>50*AE53</f>
        <v>48.438581453707044</v>
      </c>
      <c r="AH54">
        <f>50*AH53</f>
        <v>41.485851862321482</v>
      </c>
    </row>
    <row r="58" spans="1:37" x14ac:dyDescent="0.3">
      <c r="P58" cm="1">
        <f t="array" ref="P58:Q58">LINEST(R48:R53,S48:S53,FALSE)</f>
        <v>0.89121114067157547</v>
      </c>
      <c r="Q58">
        <v>0</v>
      </c>
      <c r="U58" cm="1">
        <f t="array" ref="U58:V58">LINEST(W48:W53,Y48:Y53,FALSE)</f>
        <v>233.97756392962808</v>
      </c>
      <c r="V58">
        <v>0</v>
      </c>
    </row>
    <row r="59" spans="1:37" x14ac:dyDescent="0.3">
      <c r="P59">
        <f>50*P58</f>
        <v>44.560557033578775</v>
      </c>
      <c r="U59" cm="1">
        <f t="array" ref="U59:V59">LINEST(AA60:AA65,AD60:AD65,FALSE)</f>
        <v>255.44589025843095</v>
      </c>
      <c r="V59">
        <v>0</v>
      </c>
      <c r="Y59" t="s">
        <v>83</v>
      </c>
      <c r="Z59" t="s">
        <v>84</v>
      </c>
      <c r="AA59" t="s">
        <v>77</v>
      </c>
      <c r="AB59" t="s">
        <v>78</v>
      </c>
      <c r="AC59" t="s">
        <v>79</v>
      </c>
      <c r="AD59" t="s">
        <v>80</v>
      </c>
    </row>
    <row r="60" spans="1:37" x14ac:dyDescent="0.3">
      <c r="U60" cm="1">
        <f t="array" ref="U60:V60">LINEST(AB60:AB65,AC60:AC65,FALSE)</f>
        <v>214.40767543099309</v>
      </c>
      <c r="V60">
        <v>0</v>
      </c>
      <c r="W60">
        <v>8373.7605988884407</v>
      </c>
      <c r="X60">
        <v>83.7</v>
      </c>
      <c r="Y60">
        <f>((X48+1)/14.7)^(1/2)*B48</f>
        <v>34.805753492640783</v>
      </c>
      <c r="Z60">
        <f>((X48-1)/14.7)^(1/2)*B48</f>
        <v>34.392368833995803</v>
      </c>
      <c r="AA60">
        <f>W60+401.9</f>
        <v>8775.6605988884403</v>
      </c>
      <c r="AB60">
        <f>W60-401.9</f>
        <v>7971.860598888441</v>
      </c>
      <c r="AC60">
        <f>Y60+0.692</f>
        <v>35.497753492640783</v>
      </c>
      <c r="AD60">
        <f>Y60-0.62</f>
        <v>34.185753492640785</v>
      </c>
    </row>
    <row r="61" spans="1:37" x14ac:dyDescent="0.3">
      <c r="W61">
        <v>7065.8483057445164</v>
      </c>
      <c r="X61">
        <v>83.7</v>
      </c>
      <c r="Y61">
        <f t="shared" ref="Y61:Y65" si="75">((X49+1)/14.7)^(1/2)*B49</f>
        <v>28.804761511150993</v>
      </c>
      <c r="Z61">
        <f t="shared" ref="Z61:Z65" si="76">((X49-1)/14.7)^(1/2)*B49</f>
        <v>28.462650069513767</v>
      </c>
      <c r="AA61">
        <f t="shared" ref="AA61:AA65" si="77">W61+401.9</f>
        <v>7467.7483057445161</v>
      </c>
      <c r="AB61">
        <f t="shared" ref="AB61:AB65" si="78">W61-401.9</f>
        <v>6663.9483057445168</v>
      </c>
      <c r="AC61">
        <f t="shared" ref="AC61:AC65" si="79">Y61+0.692</f>
        <v>29.496761511150993</v>
      </c>
      <c r="AD61">
        <f t="shared" ref="AD61:AD65" si="80">Y61-0.62</f>
        <v>28.184761511150992</v>
      </c>
    </row>
    <row r="62" spans="1:37" x14ac:dyDescent="0.3">
      <c r="W62">
        <v>6199.3921591725548</v>
      </c>
      <c r="X62">
        <v>83.7</v>
      </c>
      <c r="Y62">
        <f t="shared" si="75"/>
        <v>26.40436471855508</v>
      </c>
      <c r="Z62">
        <f t="shared" si="76"/>
        <v>26.090762563720954</v>
      </c>
      <c r="AA62">
        <f t="shared" si="77"/>
        <v>6601.2921591725544</v>
      </c>
      <c r="AB62">
        <f t="shared" si="78"/>
        <v>5797.4921591725551</v>
      </c>
      <c r="AC62">
        <f t="shared" si="79"/>
        <v>27.09636471855508</v>
      </c>
      <c r="AD62">
        <f t="shared" si="80"/>
        <v>25.784364718555079</v>
      </c>
    </row>
    <row r="63" spans="1:37" x14ac:dyDescent="0.3">
      <c r="W63">
        <v>5044.32781717131</v>
      </c>
      <c r="X63">
        <v>83.7</v>
      </c>
      <c r="Y63">
        <f t="shared" si="75"/>
        <v>22.803769529661203</v>
      </c>
      <c r="Z63">
        <f t="shared" si="76"/>
        <v>22.532931305031731</v>
      </c>
      <c r="AA63">
        <f t="shared" si="77"/>
        <v>5446.2278171713097</v>
      </c>
      <c r="AB63">
        <f t="shared" si="78"/>
        <v>4642.4278171713104</v>
      </c>
      <c r="AC63">
        <f t="shared" si="79"/>
        <v>23.495769529661203</v>
      </c>
      <c r="AD63">
        <f t="shared" si="80"/>
        <v>22.183769529661202</v>
      </c>
    </row>
    <row r="64" spans="1:37" x14ac:dyDescent="0.3">
      <c r="W64">
        <v>5743.374546880972</v>
      </c>
      <c r="X64">
        <v>68.7</v>
      </c>
      <c r="Y64">
        <f t="shared" si="75"/>
        <v>25.041224514189956</v>
      </c>
      <c r="Z64">
        <f t="shared" si="76"/>
        <v>24.679338076438686</v>
      </c>
      <c r="AA64">
        <f t="shared" si="77"/>
        <v>6145.2745468809717</v>
      </c>
      <c r="AB64">
        <f t="shared" si="78"/>
        <v>5341.4745468809724</v>
      </c>
      <c r="AC64">
        <f t="shared" si="79"/>
        <v>25.733224514189956</v>
      </c>
      <c r="AD64">
        <f t="shared" si="80"/>
        <v>24.421224514189955</v>
      </c>
    </row>
    <row r="65" spans="23:30" x14ac:dyDescent="0.3">
      <c r="W65">
        <v>4293.0528368747473</v>
      </c>
      <c r="X65">
        <v>54.7</v>
      </c>
      <c r="Y65">
        <f t="shared" si="75"/>
        <v>19.465650891399711</v>
      </c>
      <c r="Z65">
        <f t="shared" si="76"/>
        <v>19.112983086085219</v>
      </c>
      <c r="AA65">
        <f t="shared" si="77"/>
        <v>4694.9528368747469</v>
      </c>
      <c r="AB65">
        <f t="shared" si="78"/>
        <v>3891.1528368747472</v>
      </c>
      <c r="AC65">
        <f t="shared" si="79"/>
        <v>20.157650891399712</v>
      </c>
      <c r="AD65">
        <f t="shared" si="80"/>
        <v>18.845650891399711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2022-07-23T17:34:59Z</dcterms:created>
  <dcterms:modified xsi:type="dcterms:W3CDTF">2022-07-28T02:59:40Z</dcterms:modified>
</cp:coreProperties>
</file>