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rd Disk/Programming/prediksi_backpropagation/"/>
    </mc:Choice>
  </mc:AlternateContent>
  <xr:revisionPtr revIDLastSave="0" documentId="13_ncr:1_{A39629DD-FCE4-214E-84E0-0B1D45FC18D1}" xr6:coauthVersionLast="45" xr6:coauthVersionMax="45" xr10:uidLastSave="{00000000-0000-0000-0000-000000000000}"/>
  <bookViews>
    <workbookView xWindow="0" yWindow="0" windowWidth="25600" windowHeight="16000" activeTab="1" xr2:uid="{76CE0CAE-01FD-844C-B382-6D8578995429}"/>
  </bookViews>
  <sheets>
    <sheet name="Github" sheetId="1" r:id="rId1"/>
    <sheet name="Benerr" sheetId="2" r:id="rId2"/>
  </sheet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1" i="2" l="1"/>
  <c r="W20" i="2"/>
  <c r="W19" i="2"/>
  <c r="X6" i="2"/>
  <c r="Y6" i="2"/>
  <c r="W6" i="2"/>
  <c r="V6" i="2"/>
  <c r="P43" i="2"/>
  <c r="P42" i="2"/>
  <c r="P41" i="2"/>
  <c r="R6" i="2"/>
  <c r="T36" i="2"/>
  <c r="S36" i="2"/>
  <c r="R36" i="2"/>
  <c r="Q36" i="2"/>
  <c r="P36" i="2"/>
  <c r="O36" i="2"/>
  <c r="P20" i="2"/>
  <c r="Q20" i="2"/>
  <c r="O20" i="2"/>
  <c r="H43" i="2"/>
  <c r="I9" i="2"/>
  <c r="H9" i="2"/>
  <c r="L9" i="2" s="1"/>
  <c r="G9" i="2"/>
  <c r="I8" i="2"/>
  <c r="H8" i="2"/>
  <c r="G8" i="2"/>
  <c r="K8" i="2" s="1"/>
  <c r="I7" i="2"/>
  <c r="H7" i="2"/>
  <c r="L7" i="2" s="1"/>
  <c r="G7" i="2"/>
  <c r="I6" i="2"/>
  <c r="M6" i="2" s="1"/>
  <c r="H6" i="2"/>
  <c r="G6" i="2"/>
  <c r="K7" i="2" s="1"/>
  <c r="B11" i="2"/>
  <c r="B10" i="2"/>
  <c r="K33" i="1"/>
  <c r="K34" i="1"/>
  <c r="K35" i="1"/>
  <c r="K32" i="1"/>
  <c r="K6" i="2" l="1"/>
  <c r="M8" i="2"/>
  <c r="M7" i="2"/>
  <c r="K9" i="2"/>
  <c r="M9" i="2"/>
  <c r="L8" i="2"/>
  <c r="L6" i="2"/>
  <c r="G39" i="2" l="1"/>
  <c r="H25" i="2"/>
  <c r="L25" i="2" s="1"/>
  <c r="G25" i="2"/>
  <c r="K25" i="2" s="1"/>
  <c r="I25" i="2"/>
  <c r="M25" i="2" s="1"/>
  <c r="G32" i="2" l="1"/>
  <c r="H32" i="2" s="1"/>
  <c r="G41" i="2" l="1"/>
  <c r="G38" i="2"/>
  <c r="K32" i="2"/>
  <c r="G40" i="2"/>
  <c r="P13" i="2" l="1"/>
  <c r="O13" i="2"/>
  <c r="Q6" i="2"/>
  <c r="Q13" i="2"/>
  <c r="O6" i="2"/>
  <c r="P6" i="2"/>
  <c r="AA13" i="2" l="1"/>
  <c r="X13" i="2"/>
  <c r="V13" i="2"/>
  <c r="Y13" i="2"/>
  <c r="Z13" i="2"/>
  <c r="W13" i="2"/>
  <c r="B10" i="1" l="1"/>
  <c r="B11" i="1"/>
  <c r="G8" i="1"/>
  <c r="H8" i="1"/>
  <c r="I8" i="1"/>
  <c r="G9" i="1"/>
  <c r="H9" i="1"/>
  <c r="I9" i="1"/>
  <c r="I7" i="1"/>
  <c r="H7" i="1"/>
  <c r="G7" i="1"/>
  <c r="I6" i="1"/>
  <c r="H6" i="1"/>
  <c r="G6" i="1"/>
  <c r="L7" i="1" l="1"/>
  <c r="K6" i="1"/>
  <c r="I25" i="1" s="1"/>
  <c r="M25" i="1" s="1"/>
  <c r="L6" i="1"/>
  <c r="M7" i="1"/>
  <c r="M9" i="1"/>
  <c r="L8" i="1"/>
  <c r="K9" i="1"/>
  <c r="K7" i="1"/>
  <c r="L9" i="1"/>
  <c r="K8" i="1"/>
  <c r="I27" i="1" s="1"/>
  <c r="M27" i="1" s="1"/>
  <c r="M6" i="1"/>
  <c r="M8" i="1"/>
  <c r="G27" i="1" l="1"/>
  <c r="K27" i="1" s="1"/>
  <c r="H26" i="1"/>
  <c r="L26" i="1" s="1"/>
  <c r="H28" i="1"/>
  <c r="L28" i="1" s="1"/>
  <c r="H25" i="1"/>
  <c r="L25" i="1" s="1"/>
  <c r="H27" i="1"/>
  <c r="L27" i="1" s="1"/>
  <c r="G34" i="1" s="1"/>
  <c r="H34" i="1" s="1"/>
  <c r="I26" i="1"/>
  <c r="M26" i="1" s="1"/>
  <c r="G26" i="1"/>
  <c r="K26" i="1" s="1"/>
  <c r="G25" i="1"/>
  <c r="K25" i="1" s="1"/>
  <c r="I28" i="1"/>
  <c r="M28" i="1" s="1"/>
  <c r="G28" i="1"/>
  <c r="K28" i="1" s="1"/>
  <c r="G32" i="1"/>
  <c r="H32" i="1" s="1"/>
  <c r="V21" i="1" l="1"/>
  <c r="G38" i="1"/>
  <c r="W38" i="1" s="1"/>
  <c r="R30" i="1"/>
  <c r="Y8" i="1" s="1"/>
  <c r="G40" i="1"/>
  <c r="W40" i="1" s="1"/>
  <c r="G33" i="1"/>
  <c r="H33" i="1" s="1"/>
  <c r="G35" i="1"/>
  <c r="H35" i="1" s="1"/>
  <c r="W23" i="1"/>
  <c r="Y21" i="1"/>
  <c r="Y25" i="1" s="1"/>
  <c r="W33" i="1" s="1"/>
  <c r="W34" i="1" s="1"/>
  <c r="X21" i="1"/>
  <c r="P6" i="1"/>
  <c r="W21" i="1"/>
  <c r="V23" i="1"/>
  <c r="O30" i="1"/>
  <c r="V8" i="1" s="1"/>
  <c r="Q15" i="1"/>
  <c r="Q22" i="1" s="1"/>
  <c r="P15" i="1"/>
  <c r="P22" i="1" s="1"/>
  <c r="Q8" i="1"/>
  <c r="Q30" i="1"/>
  <c r="X8" i="1" s="1"/>
  <c r="P8" i="1"/>
  <c r="O8" i="1"/>
  <c r="O6" i="1"/>
  <c r="Y40" i="1" l="1"/>
  <c r="Z40" i="1"/>
  <c r="X40" i="1"/>
  <c r="Q31" i="1"/>
  <c r="X9" i="1" s="1"/>
  <c r="G41" i="1"/>
  <c r="W41" i="1" s="1"/>
  <c r="Z38" i="1"/>
  <c r="X38" i="1"/>
  <c r="Y38" i="1"/>
  <c r="P30" i="1"/>
  <c r="W8" i="1" s="1"/>
  <c r="O15" i="1"/>
  <c r="O22" i="1" s="1"/>
  <c r="W22" i="1"/>
  <c r="G39" i="1"/>
  <c r="W39" i="1" s="1"/>
  <c r="P16" i="1"/>
  <c r="P23" i="1" s="1"/>
  <c r="P31" i="1"/>
  <c r="W9" i="1" s="1"/>
  <c r="Q6" i="1"/>
  <c r="T36" i="1" s="1"/>
  <c r="AA13" i="1" s="1"/>
  <c r="P9" i="1"/>
  <c r="V22" i="1"/>
  <c r="O16" i="1"/>
  <c r="O23" i="1" s="1"/>
  <c r="Q14" i="1"/>
  <c r="Q21" i="1" s="1"/>
  <c r="O9" i="1"/>
  <c r="O39" i="1" s="1"/>
  <c r="V16" i="1" s="1"/>
  <c r="O31" i="1"/>
  <c r="V9" i="1" s="1"/>
  <c r="W24" i="1"/>
  <c r="W25" i="1" s="1"/>
  <c r="W30" i="1" s="1"/>
  <c r="R31" i="1"/>
  <c r="Y9" i="1" s="1"/>
  <c r="Q16" i="1"/>
  <c r="Q23" i="1" s="1"/>
  <c r="V24" i="1"/>
  <c r="O7" i="1"/>
  <c r="R37" i="1" s="1"/>
  <c r="Y14" i="1" s="1"/>
  <c r="P7" i="1"/>
  <c r="O14" i="1"/>
  <c r="O21" i="1" s="1"/>
  <c r="Q29" i="1"/>
  <c r="X7" i="1" s="1"/>
  <c r="R36" i="1"/>
  <c r="Y13" i="1" s="1"/>
  <c r="O36" i="1"/>
  <c r="V13" i="1" s="1"/>
  <c r="Q28" i="1"/>
  <c r="X6" i="1" s="1"/>
  <c r="O28" i="1"/>
  <c r="V6" i="1" s="1"/>
  <c r="Q13" i="1"/>
  <c r="Q20" i="1" s="1"/>
  <c r="O13" i="1"/>
  <c r="O20" i="1" s="1"/>
  <c r="R28" i="1"/>
  <c r="Y6" i="1" s="1"/>
  <c r="P28" i="1"/>
  <c r="W6" i="1" s="1"/>
  <c r="P13" i="1"/>
  <c r="P20" i="1" s="1"/>
  <c r="Q36" i="1"/>
  <c r="X13" i="1" s="1"/>
  <c r="P38" i="1"/>
  <c r="W15" i="1" s="1"/>
  <c r="S38" i="1"/>
  <c r="Z15" i="1" s="1"/>
  <c r="X23" i="1"/>
  <c r="Y23" i="1"/>
  <c r="R39" i="1"/>
  <c r="Y16" i="1" s="1"/>
  <c r="S36" i="1"/>
  <c r="Z13" i="1" s="1"/>
  <c r="P36" i="1"/>
  <c r="W13" i="1" s="1"/>
  <c r="R38" i="1"/>
  <c r="Y15" i="1" s="1"/>
  <c r="O38" i="1"/>
  <c r="V15" i="1" s="1"/>
  <c r="T38" i="1"/>
  <c r="AA15" i="1" s="1"/>
  <c r="Q38" i="1"/>
  <c r="X15" i="1" s="1"/>
  <c r="S37" i="1"/>
  <c r="Z14" i="1" s="1"/>
  <c r="P37" i="1"/>
  <c r="W14" i="1" s="1"/>
  <c r="P39" i="1"/>
  <c r="W16" i="1" s="1"/>
  <c r="S39" i="1"/>
  <c r="Z16" i="1" s="1"/>
  <c r="O37" i="1" l="1"/>
  <c r="V14" i="1" s="1"/>
  <c r="X42" i="1"/>
  <c r="X47" i="1" s="1"/>
  <c r="Z42" i="1"/>
  <c r="X50" i="1" s="1"/>
  <c r="X51" i="1" s="1"/>
  <c r="Q9" i="1"/>
  <c r="Z39" i="1"/>
  <c r="X39" i="1"/>
  <c r="Y39" i="1"/>
  <c r="Y42" i="1" s="1"/>
  <c r="X48" i="1" s="1"/>
  <c r="X49" i="1" s="1"/>
  <c r="W42" i="1"/>
  <c r="Z41" i="1"/>
  <c r="X41" i="1"/>
  <c r="Y41" i="1"/>
  <c r="P14" i="1"/>
  <c r="P21" i="1" s="1"/>
  <c r="P29" i="1"/>
  <c r="W7" i="1" s="1"/>
  <c r="Q7" i="1"/>
  <c r="R29" i="1"/>
  <c r="Y7" i="1" s="1"/>
  <c r="O29" i="1"/>
  <c r="V7" i="1" s="1"/>
  <c r="X22" i="1"/>
  <c r="Y22" i="1"/>
  <c r="X24" i="1"/>
  <c r="X25" i="1" s="1"/>
  <c r="W31" i="1" s="1"/>
  <c r="W32" i="1" s="1"/>
  <c r="Y24" i="1"/>
  <c r="V25" i="1"/>
  <c r="T39" i="1" l="1"/>
  <c r="AA16" i="1" s="1"/>
  <c r="Q39" i="1"/>
  <c r="X16" i="1" s="1"/>
  <c r="Q37" i="1"/>
  <c r="X14" i="1" s="1"/>
  <c r="T37" i="1"/>
  <c r="AA14" i="1" s="1"/>
</calcChain>
</file>

<file path=xl/sharedStrings.xml><?xml version="1.0" encoding="utf-8"?>
<sst xmlns="http://schemas.openxmlformats.org/spreadsheetml/2006/main" count="206" uniqueCount="105">
  <si>
    <t>Tanggal</t>
  </si>
  <si>
    <t>LME Aluminium Cash</t>
  </si>
  <si>
    <t>LME Aluminium 3 Months</t>
  </si>
  <si>
    <t>LME Alumina 3 Months</t>
  </si>
  <si>
    <t>Time Series per 3 Days (LME Aluminium Cash)</t>
  </si>
  <si>
    <t>max</t>
  </si>
  <si>
    <t>min</t>
  </si>
  <si>
    <t>x1</t>
  </si>
  <si>
    <t>x1= max from 3 values, x2 = min</t>
  </si>
  <si>
    <t>x2</t>
  </si>
  <si>
    <t>y</t>
  </si>
  <si>
    <t>Min-Max</t>
  </si>
  <si>
    <t>Learning Rate</t>
  </si>
  <si>
    <t>Bobot dan bias input ke hidden</t>
  </si>
  <si>
    <t>b</t>
  </si>
  <si>
    <t>V11</t>
  </si>
  <si>
    <t>V12</t>
  </si>
  <si>
    <t>V13</t>
  </si>
  <si>
    <t>V21</t>
  </si>
  <si>
    <t>V22</t>
  </si>
  <si>
    <t>V23</t>
  </si>
  <si>
    <t>Bobot dan bias hidden ke output</t>
  </si>
  <si>
    <t>w1</t>
  </si>
  <si>
    <t>w2</t>
  </si>
  <si>
    <t>w3</t>
  </si>
  <si>
    <t>Z_net1</t>
  </si>
  <si>
    <t>Z_net2</t>
  </si>
  <si>
    <t>Z_net3</t>
  </si>
  <si>
    <t>Aktivasi Hidden</t>
  </si>
  <si>
    <t>Z1</t>
  </si>
  <si>
    <t>Z2</t>
  </si>
  <si>
    <t>Z3</t>
  </si>
  <si>
    <t>FeedForward dan Aktivasi Output</t>
  </si>
  <si>
    <t>FeedForward Propagation Hidden</t>
  </si>
  <si>
    <t>Y_net1</t>
  </si>
  <si>
    <t>Y</t>
  </si>
  <si>
    <t>Backpropagation Output dan Target</t>
  </si>
  <si>
    <t>δY</t>
  </si>
  <si>
    <t>Tahap 1</t>
  </si>
  <si>
    <t>Tahap 2</t>
  </si>
  <si>
    <t>Tahap 3</t>
  </si>
  <si>
    <t>Tahap 4</t>
  </si>
  <si>
    <t>Backpropagation dengan Learning Rate dan Hidden</t>
  </si>
  <si>
    <t>δ1</t>
  </si>
  <si>
    <t>δ2</t>
  </si>
  <si>
    <t>δ3</t>
  </si>
  <si>
    <t>Hidden error pada target (Y)</t>
  </si>
  <si>
    <t>δnet1</t>
  </si>
  <si>
    <t>δnet3</t>
  </si>
  <si>
    <t>δnet2</t>
  </si>
  <si>
    <t>Hidden error pada Z</t>
  </si>
  <si>
    <t>δnetZ1</t>
  </si>
  <si>
    <t>δnetZ2</t>
  </si>
  <si>
    <t>δnetZ3</t>
  </si>
  <si>
    <t>Tahap 5</t>
  </si>
  <si>
    <t>Koreksi bias dan bobot pada output</t>
  </si>
  <si>
    <t>△b</t>
  </si>
  <si>
    <t>△w1</t>
  </si>
  <si>
    <t>△w2</t>
  </si>
  <si>
    <t>△w3</t>
  </si>
  <si>
    <t>Koreksi bias dan bobot input ke hidden</t>
  </si>
  <si>
    <t>X1</t>
  </si>
  <si>
    <t>X2</t>
  </si>
  <si>
    <t>△V11</t>
  </si>
  <si>
    <t>△V12</t>
  </si>
  <si>
    <t>△V13</t>
  </si>
  <si>
    <t>△V22</t>
  </si>
  <si>
    <t>△V21</t>
  </si>
  <si>
    <t>△V23</t>
  </si>
  <si>
    <t>Tahap 6</t>
  </si>
  <si>
    <t>Perubahan bobot hidden ke output (Output Bayangan)</t>
  </si>
  <si>
    <t>b'</t>
  </si>
  <si>
    <t>w1'</t>
  </si>
  <si>
    <t>w2'</t>
  </si>
  <si>
    <t>w3'</t>
  </si>
  <si>
    <t>Perubahan bobot input ke hidden</t>
  </si>
  <si>
    <t>V11'</t>
  </si>
  <si>
    <t>V12'</t>
  </si>
  <si>
    <t>V13'</t>
  </si>
  <si>
    <t>V21'</t>
  </si>
  <si>
    <t>V22'</t>
  </si>
  <si>
    <t>V23'</t>
  </si>
  <si>
    <t>Tahap 7</t>
  </si>
  <si>
    <t>FeedForward Error Evaluation</t>
  </si>
  <si>
    <t>n = banyak data</t>
  </si>
  <si>
    <r>
      <t>Y-Y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 xml:space="preserve"> </t>
    </r>
  </si>
  <si>
    <r>
      <t>|Y-Y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 xml:space="preserve">| </t>
    </r>
  </si>
  <si>
    <r>
      <t>(Y-Y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 xml:space="preserve">) ^ 2 </t>
    </r>
  </si>
  <si>
    <r>
      <t>|(Y-Y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 xml:space="preserve">)/Y| </t>
    </r>
  </si>
  <si>
    <t>Total</t>
  </si>
  <si>
    <t>Evaluation</t>
  </si>
  <si>
    <t>n</t>
  </si>
  <si>
    <t>MAD</t>
  </si>
  <si>
    <t>MSE</t>
  </si>
  <si>
    <t>RMSE</t>
  </si>
  <si>
    <t>MAPE</t>
  </si>
  <si>
    <t>Akurasi</t>
  </si>
  <si>
    <t>Denormalisasi</t>
  </si>
  <si>
    <t>Evaluasi tanpa menggunakan data normalisasi. Sebenernya cara ini salah tapi gapapa biar tau aja</t>
  </si>
  <si>
    <t>Hasil DIV/0 karena ada pembagian dengan y asli (target) bernilai 0 atau paling minimum di y</t>
  </si>
  <si>
    <t>Data Latih ke 1</t>
  </si>
  <si>
    <t>b01, 02, 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</si>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</sst>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[$$-409]#,##0"/>
    <numFmt numFmtId="166" formatCode="[$$-409]#,##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0688C"/>
        <bgColor indexed="64"/>
      </patternFill>
    </fill>
    <fill>
      <patternFill patternType="solid">
        <fgColor rgb="FFA0688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CAE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/>
    <xf numFmtId="0" fontId="0" fillId="0" borderId="2" xfId="0" applyBorder="1"/>
    <xf numFmtId="14" fontId="0" fillId="0" borderId="3" xfId="0" applyNumberFormat="1" applyBorder="1"/>
    <xf numFmtId="164" fontId="0" fillId="0" borderId="3" xfId="0" applyNumberFormat="1" applyBorder="1"/>
    <xf numFmtId="14" fontId="0" fillId="0" borderId="4" xfId="0" applyNumberFormat="1" applyBorder="1"/>
    <xf numFmtId="164" fontId="0" fillId="0" borderId="4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2" fillId="20" borderId="1" xfId="0" applyFont="1" applyFill="1" applyBorder="1" applyAlignment="1">
      <alignment horizontal="center"/>
    </xf>
    <xf numFmtId="0" fontId="0" fillId="21" borderId="1" xfId="0" applyFill="1" applyBorder="1"/>
    <xf numFmtId="10" fontId="0" fillId="0" borderId="0" xfId="0" applyNumberFormat="1"/>
    <xf numFmtId="0" fontId="0" fillId="0" borderId="0" xfId="0" applyNumberFormat="1"/>
    <xf numFmtId="166" fontId="0" fillId="0" borderId="0" xfId="0" applyNumberFormat="1"/>
    <xf numFmtId="165" fontId="0" fillId="0" borderId="2" xfId="0" applyNumberFormat="1" applyBorder="1"/>
    <xf numFmtId="0" fontId="0" fillId="1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17" borderId="5" xfId="0" applyFill="1" applyBorder="1" applyAlignment="1">
      <alignment horizontal="center"/>
    </xf>
    <xf numFmtId="0" fontId="0" fillId="1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left"/>
    </xf>
    <xf numFmtId="10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AEFF"/>
      <color rgb="FFA0688C"/>
      <color rgb="FF971F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F07B-25C5-634C-9B99-4750FCBE9A51}">
  <dimension ref="A1:AC51"/>
  <sheetViews>
    <sheetView topLeftCell="F1" zoomScale="75" zoomScaleNormal="57" workbookViewId="0">
      <selection activeCell="W31" sqref="W31"/>
    </sheetView>
  </sheetViews>
  <sheetFormatPr baseColWidth="10" defaultRowHeight="16" x14ac:dyDescent="0.2"/>
  <cols>
    <col min="2" max="2" width="18.33203125" customWidth="1"/>
    <col min="3" max="3" width="23.6640625" customWidth="1"/>
    <col min="4" max="4" width="21.1640625" customWidth="1"/>
    <col min="7" max="7" width="10.83203125" customWidth="1"/>
  </cols>
  <sheetData>
    <row r="1" spans="1:27" x14ac:dyDescent="0.2">
      <c r="A1" s="8" t="s">
        <v>0</v>
      </c>
      <c r="B1" s="9" t="s">
        <v>1</v>
      </c>
      <c r="C1" s="9" t="s">
        <v>2</v>
      </c>
      <c r="D1" s="9" t="s">
        <v>3</v>
      </c>
    </row>
    <row r="2" spans="1:27" x14ac:dyDescent="0.2">
      <c r="A2" s="3">
        <v>43983</v>
      </c>
      <c r="B2" s="4">
        <v>1551.5</v>
      </c>
      <c r="C2" s="4">
        <v>1540</v>
      </c>
      <c r="D2" s="4">
        <v>255.75</v>
      </c>
      <c r="G2" t="s">
        <v>38</v>
      </c>
    </row>
    <row r="3" spans="1:27" x14ac:dyDescent="0.2">
      <c r="A3" s="3">
        <v>43984</v>
      </c>
      <c r="B3" s="4">
        <v>1499.5</v>
      </c>
      <c r="C3" s="4">
        <v>1529</v>
      </c>
      <c r="D3" s="4">
        <v>255.75</v>
      </c>
      <c r="G3" t="s">
        <v>8</v>
      </c>
      <c r="O3" t="s">
        <v>41</v>
      </c>
      <c r="V3" t="s">
        <v>69</v>
      </c>
    </row>
    <row r="4" spans="1:27" x14ac:dyDescent="0.2">
      <c r="A4" s="3">
        <v>43985</v>
      </c>
      <c r="B4" s="4">
        <v>1526</v>
      </c>
      <c r="C4" s="4">
        <v>1555.5</v>
      </c>
      <c r="D4" s="4">
        <v>255.75</v>
      </c>
      <c r="G4" t="s">
        <v>4</v>
      </c>
      <c r="K4" t="s">
        <v>11</v>
      </c>
      <c r="O4" t="s">
        <v>42</v>
      </c>
      <c r="V4" t="s">
        <v>70</v>
      </c>
    </row>
    <row r="5" spans="1:27" x14ac:dyDescent="0.2">
      <c r="A5" s="3">
        <v>43986</v>
      </c>
      <c r="B5" s="4">
        <v>1535</v>
      </c>
      <c r="C5" s="4">
        <v>1560.5</v>
      </c>
      <c r="D5" s="4">
        <v>255.75</v>
      </c>
      <c r="G5" s="10" t="s">
        <v>7</v>
      </c>
      <c r="H5" s="10" t="s">
        <v>9</v>
      </c>
      <c r="I5" s="10" t="s">
        <v>10</v>
      </c>
      <c r="K5" s="13" t="s">
        <v>7</v>
      </c>
      <c r="L5" s="13" t="s">
        <v>9</v>
      </c>
      <c r="M5" s="13" t="s">
        <v>10</v>
      </c>
      <c r="O5" s="20" t="s">
        <v>43</v>
      </c>
      <c r="P5" s="21" t="s">
        <v>44</v>
      </c>
      <c r="Q5" s="21" t="s">
        <v>45</v>
      </c>
      <c r="V5" s="26" t="s">
        <v>71</v>
      </c>
      <c r="W5" s="26" t="s">
        <v>72</v>
      </c>
      <c r="X5" s="26" t="s">
        <v>73</v>
      </c>
      <c r="Y5" s="26" t="s">
        <v>74</v>
      </c>
    </row>
    <row r="6" spans="1:27" x14ac:dyDescent="0.2">
      <c r="A6" s="3">
        <v>43987</v>
      </c>
      <c r="B6" s="4">
        <v>1553.5</v>
      </c>
      <c r="C6" s="4">
        <v>1579</v>
      </c>
      <c r="D6" s="4">
        <v>255.75</v>
      </c>
      <c r="G6" s="4">
        <f>MAX(B2:B4)</f>
        <v>1551.5</v>
      </c>
      <c r="H6" s="4">
        <f>MIN(B2:B4)</f>
        <v>1499.5</v>
      </c>
      <c r="I6" s="4">
        <f>B5</f>
        <v>1535</v>
      </c>
      <c r="K6" s="11">
        <f>(G6-MIN(G$6:G$9))/(MAX(G$6:G$9)-MIN(G$6:G$9))</f>
        <v>0.89189189189189189</v>
      </c>
      <c r="L6" s="11">
        <f>(H6-MIN(H$6:H$9))/(MAX(H$6:H$9)-MIN(H$6:H$9))</f>
        <v>0</v>
      </c>
      <c r="M6" s="11">
        <f>(I6-MIN(I$6:I$9))/(MAX(I$6:I$9)-MIN(I$6:I$9))</f>
        <v>0</v>
      </c>
      <c r="O6" s="2">
        <f>$H$13*$K32*K25</f>
        <v>-7.9382453430083266E-3</v>
      </c>
      <c r="P6" s="2">
        <f>$H$13*$K32*L25</f>
        <v>-8.2573075366197818E-3</v>
      </c>
      <c r="Q6" s="2">
        <f>$H$13*$K32*M25</f>
        <v>-8.5724609175303734E-3</v>
      </c>
      <c r="V6" s="2">
        <f>O28+G$20</f>
        <v>8.5491825353104539E-2</v>
      </c>
      <c r="W6" s="2">
        <f t="shared" ref="W6:X6" si="0">P28+H$20</f>
        <v>9.2061754656991679E-2</v>
      </c>
      <c r="X6" s="2">
        <f t="shared" si="0"/>
        <v>0.19174269246338022</v>
      </c>
      <c r="Y6" s="2">
        <f>R28+J$20</f>
        <v>0.2914275390824696</v>
      </c>
    </row>
    <row r="7" spans="1:27" x14ac:dyDescent="0.2">
      <c r="A7" s="3">
        <v>43988</v>
      </c>
      <c r="B7" s="4">
        <v>1553.5</v>
      </c>
      <c r="C7" s="4">
        <v>1579</v>
      </c>
      <c r="D7" s="4">
        <v>255.75</v>
      </c>
      <c r="G7" s="4">
        <f>MAX(B3:B5)</f>
        <v>1535</v>
      </c>
      <c r="H7" s="4">
        <f>MIN(B3:B5)</f>
        <v>1499.5</v>
      </c>
      <c r="I7" s="4">
        <f>B6</f>
        <v>1553.5</v>
      </c>
      <c r="K7" s="11">
        <f t="shared" ref="K7:K9" si="1">(G7-MIN(G$6:G$9))/(MAX(G$6:G$9)-MIN(G$6:G$9))</f>
        <v>0</v>
      </c>
      <c r="L7" s="11">
        <f t="shared" ref="L7:L9" si="2">(H7-MIN(H$6:H$9))/(MAX(H$6:H$9)-MIN(H$6:H$9))</f>
        <v>0</v>
      </c>
      <c r="M7" s="11">
        <f t="shared" ref="M7:M9" si="3">(I7-MIN(I$6:I$9))/(MAX(I$6:I$9)-MIN(I$6:I$9))</f>
        <v>1</v>
      </c>
      <c r="O7" s="11">
        <f t="shared" ref="O7:Q7" si="4">$H$13*$K33*K26</f>
        <v>5.0013900916879685E-3</v>
      </c>
      <c r="P7" s="11">
        <f t="shared" si="4"/>
        <v>5.0013900916879685E-3</v>
      </c>
      <c r="Q7" s="11">
        <f t="shared" si="4"/>
        <v>5.0013900916879685E-3</v>
      </c>
      <c r="V7" s="11">
        <f t="shared" ref="V7:V9" si="5">O29+G$20</f>
        <v>0.10952683498858501</v>
      </c>
      <c r="W7" s="11">
        <f t="shared" ref="W7:W9" si="6">P29+H$20</f>
        <v>0.10500139009168798</v>
      </c>
      <c r="X7" s="11">
        <f t="shared" ref="X7:Y9" si="7">Q29+I$20</f>
        <v>0.20500139009168797</v>
      </c>
      <c r="Y7" s="11">
        <f t="shared" si="7"/>
        <v>0.30500139009168797</v>
      </c>
    </row>
    <row r="8" spans="1:27" x14ac:dyDescent="0.2">
      <c r="A8" s="5">
        <v>43989</v>
      </c>
      <c r="B8" s="6">
        <v>1553.5</v>
      </c>
      <c r="C8" s="6">
        <v>1579</v>
      </c>
      <c r="D8" s="6">
        <v>255.75</v>
      </c>
      <c r="G8" s="4">
        <f>MAX(B4:B6)</f>
        <v>1553.5</v>
      </c>
      <c r="H8" s="4">
        <f>MIN(B4:B6)</f>
        <v>1526</v>
      </c>
      <c r="I8" s="4">
        <f>B7</f>
        <v>1553.5</v>
      </c>
      <c r="K8" s="11">
        <f t="shared" si="1"/>
        <v>1</v>
      </c>
      <c r="L8" s="11">
        <f t="shared" si="2"/>
        <v>0.74647887323943662</v>
      </c>
      <c r="M8" s="11">
        <f t="shared" si="3"/>
        <v>1</v>
      </c>
      <c r="O8" s="11">
        <f t="shared" ref="O8:Q8" si="8">$H$13*$K34*K27</f>
        <v>5.1542181990147902E-3</v>
      </c>
      <c r="P8" s="11">
        <f t="shared" si="8"/>
        <v>5.5373438008356618E-3</v>
      </c>
      <c r="Q8" s="11">
        <f t="shared" si="8"/>
        <v>5.9060015044135623E-3</v>
      </c>
      <c r="V8" s="11">
        <f t="shared" si="5"/>
        <v>0.10907059742341045</v>
      </c>
      <c r="W8" s="11">
        <f t="shared" si="6"/>
        <v>0.1051542181990148</v>
      </c>
      <c r="X8" s="11">
        <f t="shared" si="7"/>
        <v>0.20553734380083566</v>
      </c>
      <c r="Y8" s="11">
        <f t="shared" ref="Y8:Y9" si="9">R30+J$20</f>
        <v>0.30590600150441355</v>
      </c>
    </row>
    <row r="9" spans="1:27" x14ac:dyDescent="0.2">
      <c r="G9" s="6">
        <f>MAX(B5:B7)</f>
        <v>1553.5</v>
      </c>
      <c r="H9" s="6">
        <f>MIN(B5:B7)</f>
        <v>1535</v>
      </c>
      <c r="I9" s="6">
        <f>B8</f>
        <v>1553.5</v>
      </c>
      <c r="K9" s="12">
        <f t="shared" si="1"/>
        <v>1</v>
      </c>
      <c r="L9" s="12">
        <f t="shared" si="2"/>
        <v>1</v>
      </c>
      <c r="M9" s="12">
        <f t="shared" si="3"/>
        <v>1</v>
      </c>
      <c r="O9" s="12">
        <f t="shared" ref="O9:Q9" si="10">$H$13*$K35*K28</f>
        <v>5.174521901900854E-3</v>
      </c>
      <c r="P9" s="12">
        <f t="shared" si="10"/>
        <v>5.607052660961306E-3</v>
      </c>
      <c r="Q9" s="12">
        <f t="shared" si="10"/>
        <v>6.0189699764252556E-3</v>
      </c>
      <c r="V9" s="12">
        <f t="shared" si="5"/>
        <v>0.1090079020094937</v>
      </c>
      <c r="W9" s="12">
        <f t="shared" si="6"/>
        <v>0.10517452190190085</v>
      </c>
      <c r="X9" s="12">
        <f t="shared" si="7"/>
        <v>0.20560705266096133</v>
      </c>
      <c r="Y9" s="12">
        <f t="shared" si="9"/>
        <v>0.30601896997642525</v>
      </c>
    </row>
    <row r="10" spans="1:27" x14ac:dyDescent="0.2">
      <c r="A10" t="s">
        <v>5</v>
      </c>
      <c r="B10" s="1">
        <f>MAX(B2:B7)</f>
        <v>1553.5</v>
      </c>
    </row>
    <row r="11" spans="1:27" x14ac:dyDescent="0.2">
      <c r="A11" t="s">
        <v>6</v>
      </c>
      <c r="B11" s="1">
        <f>MIN(B2:B7)</f>
        <v>1499.5</v>
      </c>
      <c r="O11" t="s">
        <v>46</v>
      </c>
      <c r="V11" t="s">
        <v>75</v>
      </c>
    </row>
    <row r="12" spans="1:27" x14ac:dyDescent="0.2">
      <c r="G12" t="s">
        <v>39</v>
      </c>
      <c r="O12" s="22" t="s">
        <v>47</v>
      </c>
      <c r="P12" s="22" t="s">
        <v>49</v>
      </c>
      <c r="Q12" s="22" t="s">
        <v>48</v>
      </c>
      <c r="V12" s="27" t="s">
        <v>76</v>
      </c>
      <c r="W12" s="27" t="s">
        <v>77</v>
      </c>
      <c r="X12" s="27" t="s">
        <v>78</v>
      </c>
      <c r="Y12" s="27" t="s">
        <v>79</v>
      </c>
      <c r="Z12" s="27" t="s">
        <v>80</v>
      </c>
      <c r="AA12" s="27" t="s">
        <v>81</v>
      </c>
    </row>
    <row r="13" spans="1:27" x14ac:dyDescent="0.2">
      <c r="G13" t="s">
        <v>12</v>
      </c>
      <c r="H13">
        <v>0.1</v>
      </c>
      <c r="O13" s="2">
        <f>K32*H$20</f>
        <v>-1.450817464689547E-2</v>
      </c>
      <c r="P13" s="2">
        <f>K32*I$20</f>
        <v>-2.901634929379094E-2</v>
      </c>
      <c r="Q13" s="2">
        <f>K32*J$20</f>
        <v>-4.3524523940686406E-2</v>
      </c>
      <c r="V13" s="11">
        <f>H$16+O36</f>
        <v>9.9291994334272229E-2</v>
      </c>
      <c r="W13" s="11">
        <f t="shared" ref="W13:Z13" si="11">I$16+P36</f>
        <v>0.19926353743592312</v>
      </c>
      <c r="X13" s="11">
        <f t="shared" si="11"/>
        <v>0.29923542916140944</v>
      </c>
      <c r="Y13" s="11">
        <f t="shared" si="11"/>
        <v>0.1</v>
      </c>
      <c r="Z13" s="11">
        <f t="shared" si="11"/>
        <v>0.2</v>
      </c>
      <c r="AA13" s="11">
        <f>M$16+T36</f>
        <v>0.3</v>
      </c>
    </row>
    <row r="14" spans="1:27" x14ac:dyDescent="0.2">
      <c r="G14" t="s">
        <v>13</v>
      </c>
      <c r="O14" s="11">
        <f t="shared" ref="O14:O16" si="12">K33*H$20</f>
        <v>9.5268349885850017E-3</v>
      </c>
      <c r="P14" s="11">
        <f t="shared" ref="P14:P16" si="13">K33*I$20</f>
        <v>1.9053669977170003E-2</v>
      </c>
      <c r="Q14" s="11">
        <f t="shared" ref="Q14:Q16" si="14">K33*J$20</f>
        <v>2.8580504965755E-2</v>
      </c>
      <c r="V14" s="11">
        <f t="shared" ref="V14:V16" si="15">H$16+O37</f>
        <v>0.1</v>
      </c>
      <c r="W14" s="11">
        <f t="shared" ref="W14:W16" si="16">I$16+P37</f>
        <v>0.2</v>
      </c>
      <c r="X14" s="11">
        <f t="shared" ref="X14:X16" si="17">J$16+Q37</f>
        <v>0.3</v>
      </c>
      <c r="Y14" s="11">
        <f t="shared" ref="Y14:Y16" si="18">K$16+R37</f>
        <v>0.1</v>
      </c>
      <c r="Z14" s="11">
        <f t="shared" ref="Z14:AA16" si="19">L$16+S37</f>
        <v>0.2</v>
      </c>
      <c r="AA14" s="11">
        <f t="shared" si="19"/>
        <v>0.3</v>
      </c>
    </row>
    <row r="15" spans="1:27" x14ac:dyDescent="0.2">
      <c r="G15" s="14" t="s">
        <v>14</v>
      </c>
      <c r="H15" s="14" t="s">
        <v>15</v>
      </c>
      <c r="I15" s="14" t="s">
        <v>16</v>
      </c>
      <c r="J15" s="14" t="s">
        <v>17</v>
      </c>
      <c r="K15" s="14" t="s">
        <v>18</v>
      </c>
      <c r="L15" s="14" t="s">
        <v>19</v>
      </c>
      <c r="M15" s="14" t="s">
        <v>20</v>
      </c>
      <c r="O15" s="11">
        <f t="shared" si="12"/>
        <v>9.0705974234104488E-3</v>
      </c>
      <c r="P15" s="11">
        <f t="shared" si="13"/>
        <v>1.8141194846820898E-2</v>
      </c>
      <c r="Q15" s="11">
        <f t="shared" si="14"/>
        <v>2.7211792270231343E-2</v>
      </c>
      <c r="V15" s="11">
        <f t="shared" si="15"/>
        <v>0.10051542181990149</v>
      </c>
      <c r="W15" s="11">
        <f t="shared" si="16"/>
        <v>0.20055373438008359</v>
      </c>
      <c r="X15" s="11">
        <f t="shared" si="17"/>
        <v>0.30059060015044137</v>
      </c>
      <c r="Y15" s="11">
        <f t="shared" si="18"/>
        <v>0.10038475149936309</v>
      </c>
      <c r="Z15" s="11">
        <f t="shared" si="19"/>
        <v>0.20041335101611873</v>
      </c>
      <c r="AA15" s="11">
        <f t="shared" ref="AA15:AA16" si="20">M$16+T38</f>
        <v>0.30044087053483648</v>
      </c>
    </row>
    <row r="16" spans="1:27" x14ac:dyDescent="0.2">
      <c r="G16" s="7">
        <v>0.1</v>
      </c>
      <c r="H16" s="7">
        <v>0.1</v>
      </c>
      <c r="I16" s="7">
        <v>0.2</v>
      </c>
      <c r="J16" s="7">
        <v>0.3</v>
      </c>
      <c r="K16" s="7">
        <v>0.1</v>
      </c>
      <c r="L16" s="7">
        <v>0.2</v>
      </c>
      <c r="M16" s="7">
        <v>0.3</v>
      </c>
      <c r="O16" s="12">
        <f t="shared" si="12"/>
        <v>9.0079020094936957E-3</v>
      </c>
      <c r="P16" s="12">
        <f t="shared" si="13"/>
        <v>1.8015804018987391E-2</v>
      </c>
      <c r="Q16" s="12">
        <f t="shared" si="14"/>
        <v>2.7023706028481087E-2</v>
      </c>
      <c r="V16" s="12">
        <f t="shared" si="15"/>
        <v>0.10051745219019009</v>
      </c>
      <c r="W16" s="12">
        <f t="shared" si="16"/>
        <v>0.20056070526609615</v>
      </c>
      <c r="X16" s="12">
        <f t="shared" si="17"/>
        <v>0.3006018969976425</v>
      </c>
      <c r="Y16" s="12">
        <f t="shared" si="18"/>
        <v>0.10051745219019009</v>
      </c>
      <c r="Z16" s="12">
        <f t="shared" si="19"/>
        <v>0.20056070526609615</v>
      </c>
      <c r="AA16" s="12">
        <f t="shared" si="20"/>
        <v>0.3006018969976425</v>
      </c>
    </row>
    <row r="18" spans="7:29" x14ac:dyDescent="0.2">
      <c r="G18" t="s">
        <v>21</v>
      </c>
      <c r="O18" t="s">
        <v>50</v>
      </c>
      <c r="V18" t="s">
        <v>82</v>
      </c>
    </row>
    <row r="19" spans="7:29" x14ac:dyDescent="0.2">
      <c r="G19" s="15" t="s">
        <v>14</v>
      </c>
      <c r="H19" s="15" t="s">
        <v>22</v>
      </c>
      <c r="I19" s="15" t="s">
        <v>23</v>
      </c>
      <c r="J19" s="15" t="s">
        <v>24</v>
      </c>
      <c r="O19" s="23" t="s">
        <v>51</v>
      </c>
      <c r="P19" s="23" t="s">
        <v>52</v>
      </c>
      <c r="Q19" s="23" t="s">
        <v>53</v>
      </c>
      <c r="V19" t="s">
        <v>83</v>
      </c>
      <c r="AA19" s="35" t="s">
        <v>84</v>
      </c>
      <c r="AB19" s="35"/>
      <c r="AC19">
        <v>4</v>
      </c>
    </row>
    <row r="20" spans="7:29" ht="18" x14ac:dyDescent="0.25">
      <c r="G20" s="7">
        <v>0.1</v>
      </c>
      <c r="H20" s="7">
        <v>0.1</v>
      </c>
      <c r="I20" s="7">
        <v>0.2</v>
      </c>
      <c r="J20" s="7">
        <v>0.3</v>
      </c>
      <c r="O20" s="2">
        <f>K25*(1-K25)*O13</f>
        <v>-3.59478100931437E-3</v>
      </c>
      <c r="P20" s="2">
        <f>L25*(1-L25)*P13</f>
        <v>-7.1153447427148332E-3</v>
      </c>
      <c r="Q20" s="2">
        <f>M25*(1-M25)*Q13</f>
        <v>-1.0521724862235323E-2</v>
      </c>
      <c r="V20" s="28" t="s">
        <v>85</v>
      </c>
      <c r="W20" s="28" t="s">
        <v>86</v>
      </c>
      <c r="X20" s="28" t="s">
        <v>87</v>
      </c>
      <c r="Y20" s="28" t="s">
        <v>88</v>
      </c>
    </row>
    <row r="21" spans="7:29" x14ac:dyDescent="0.2">
      <c r="O21" s="11">
        <f t="shared" ref="O21:Q21" si="21">K26*(1-K26)*O14</f>
        <v>2.3757643850176946E-3</v>
      </c>
      <c r="P21" s="11">
        <f t="shared" si="21"/>
        <v>4.7515287700353893E-3</v>
      </c>
      <c r="Q21" s="11">
        <f t="shared" si="21"/>
        <v>7.127293155053083E-3</v>
      </c>
      <c r="V21" s="2">
        <f>M6-H32</f>
        <v>-0.60964178329729668</v>
      </c>
      <c r="W21" s="2">
        <f>ABS(M6-H32)</f>
        <v>0.60964178329729668</v>
      </c>
      <c r="X21" s="2">
        <f>V21^2</f>
        <v>0.37166310394190805</v>
      </c>
      <c r="Y21" s="2" t="e">
        <f>ABS(V21/M6)</f>
        <v>#DIV/0!</v>
      </c>
    </row>
    <row r="22" spans="7:29" x14ac:dyDescent="0.2">
      <c r="G22" t="s">
        <v>40</v>
      </c>
      <c r="O22" s="11">
        <f t="shared" ref="O22:Q22" si="22">K27*(1-K27)*O15</f>
        <v>2.2254182531048611E-3</v>
      </c>
      <c r="P22" s="11">
        <f t="shared" si="22"/>
        <v>4.3139032922460954E-3</v>
      </c>
      <c r="Q22" s="11">
        <f t="shared" si="22"/>
        <v>6.1815470534120603E-3</v>
      </c>
      <c r="V22" s="11">
        <f t="shared" ref="V22:V24" si="23">M7-H33</f>
        <v>0.39771681428483963</v>
      </c>
      <c r="W22" s="11">
        <f t="shared" ref="W22:W24" si="24">ABS(M7-H33)</f>
        <v>0.39771681428483963</v>
      </c>
      <c r="X22" s="11">
        <f t="shared" ref="X22:X24" si="25">V22^2</f>
        <v>0.15817866436488162</v>
      </c>
      <c r="Y22" s="11">
        <f t="shared" ref="Y22:Y24" si="26">ABS(V22/M7)</f>
        <v>0.39771681428483963</v>
      </c>
    </row>
    <row r="23" spans="7:29" x14ac:dyDescent="0.2">
      <c r="G23" t="s">
        <v>33</v>
      </c>
      <c r="K23" t="s">
        <v>28</v>
      </c>
      <c r="O23" s="12">
        <f t="shared" ref="O23:Q23" si="27">K28*(1-K28)*O16</f>
        <v>2.2020565170607492E-3</v>
      </c>
      <c r="P23" s="12">
        <f t="shared" si="27"/>
        <v>4.2337808224645309E-3</v>
      </c>
      <c r="Q23" s="12">
        <f t="shared" si="27"/>
        <v>5.9915035098031047E-3</v>
      </c>
      <c r="V23" s="11">
        <f t="shared" si="23"/>
        <v>0.38361030015032371</v>
      </c>
      <c r="W23" s="11">
        <f t="shared" si="24"/>
        <v>0.38361030015032371</v>
      </c>
      <c r="X23" s="11">
        <f t="shared" si="25"/>
        <v>0.14715686238142145</v>
      </c>
      <c r="Y23" s="11">
        <f t="shared" si="26"/>
        <v>0.38361030015032371</v>
      </c>
    </row>
    <row r="24" spans="7:29" x14ac:dyDescent="0.2">
      <c r="G24" s="16" t="s">
        <v>25</v>
      </c>
      <c r="H24" s="16" t="s">
        <v>26</v>
      </c>
      <c r="I24" s="16" t="s">
        <v>27</v>
      </c>
      <c r="K24" s="17" t="s">
        <v>29</v>
      </c>
      <c r="L24" s="17" t="s">
        <v>30</v>
      </c>
      <c r="M24" s="17" t="s">
        <v>31</v>
      </c>
      <c r="V24" s="11">
        <f t="shared" si="23"/>
        <v>0.38168734240031599</v>
      </c>
      <c r="W24" s="11">
        <f t="shared" si="24"/>
        <v>0.38168734240031599</v>
      </c>
      <c r="X24" s="11">
        <f t="shared" si="25"/>
        <v>0.14568522734861605</v>
      </c>
      <c r="Y24" s="11">
        <f t="shared" si="26"/>
        <v>0.38168734240031599</v>
      </c>
    </row>
    <row r="25" spans="7:29" x14ac:dyDescent="0.2">
      <c r="G25" s="11">
        <f>$G$16+$K6*H16+$L6*K16</f>
        <v>0.1891891891891892</v>
      </c>
      <c r="H25" s="11">
        <f>$G$16+$K6*I16+$L6*L16</f>
        <v>0.27837837837837842</v>
      </c>
      <c r="I25" s="11">
        <f>$G$16+$K6*J16+$L6*M16</f>
        <v>0.36756756756756759</v>
      </c>
      <c r="K25" s="11">
        <f>1/(1+(2.71828183^-G25))</f>
        <v>0.54715672620518052</v>
      </c>
      <c r="L25" s="11">
        <f t="shared" ref="L25:M25" si="28">1/(1+(2.71828183^-H25))</f>
        <v>0.56914861707890463</v>
      </c>
      <c r="M25" s="11">
        <f t="shared" si="28"/>
        <v>0.59087108655427922</v>
      </c>
      <c r="O25" t="s">
        <v>54</v>
      </c>
      <c r="U25" t="s">
        <v>89</v>
      </c>
      <c r="V25" s="29">
        <f>SUM(V21:V24)</f>
        <v>0.55337267353818265</v>
      </c>
      <c r="W25" s="29">
        <f>SUM(W21:W24)</f>
        <v>1.7726562401327759</v>
      </c>
      <c r="X25" s="29">
        <f>SUM(X21:X24)</f>
        <v>0.8226838580368272</v>
      </c>
      <c r="Y25" s="29" t="e">
        <f>SUM(Y21:Y24)</f>
        <v>#DIV/0!</v>
      </c>
    </row>
    <row r="26" spans="7:29" x14ac:dyDescent="0.2">
      <c r="G26" s="11">
        <f>$G$16+$K7*H16+$L7*K16</f>
        <v>0.1</v>
      </c>
      <c r="H26" s="11">
        <f>$G$16+$K7*I16+$L7*L16</f>
        <v>0.1</v>
      </c>
      <c r="I26" s="11">
        <f>$G$16+$K7*J16+$L7*M16</f>
        <v>0.1</v>
      </c>
      <c r="K26" s="11">
        <f t="shared" ref="K26:K28" si="29">1/(1+(2.71828183^-G26))</f>
        <v>0.5249791874930767</v>
      </c>
      <c r="L26" s="11">
        <f t="shared" ref="L26:L28" si="30">1/(1+(2.71828183^-H26))</f>
        <v>0.5249791874930767</v>
      </c>
      <c r="M26" s="11">
        <f t="shared" ref="M26:M28" si="31">1/(1+(2.71828183^-I26))</f>
        <v>0.5249791874930767</v>
      </c>
      <c r="O26" t="s">
        <v>55</v>
      </c>
    </row>
    <row r="27" spans="7:29" x14ac:dyDescent="0.2">
      <c r="G27" s="11">
        <f>$G$16+$K8*H16+$L8*K16</f>
        <v>0.27464788732394368</v>
      </c>
      <c r="H27" s="11">
        <f>$G$16+$K8*I16+$L8*L16</f>
        <v>0.44929577464788739</v>
      </c>
      <c r="I27" s="11">
        <f>$G$16+$K8*J16+$L8*M16</f>
        <v>0.62394366197183104</v>
      </c>
      <c r="K27" s="11">
        <f t="shared" si="29"/>
        <v>0.5682335967983968</v>
      </c>
      <c r="L27" s="11">
        <f t="shared" si="30"/>
        <v>0.61047178508267197</v>
      </c>
      <c r="M27" s="11">
        <f t="shared" si="31"/>
        <v>0.651114940805406</v>
      </c>
      <c r="O27" s="24" t="s">
        <v>56</v>
      </c>
      <c r="P27" s="24" t="s">
        <v>57</v>
      </c>
      <c r="Q27" s="24" t="s">
        <v>58</v>
      </c>
      <c r="R27" s="24" t="s">
        <v>59</v>
      </c>
    </row>
    <row r="28" spans="7:29" x14ac:dyDescent="0.2">
      <c r="G28" s="12">
        <f>$G$16+$K9*H16+$L9*K16</f>
        <v>0.30000000000000004</v>
      </c>
      <c r="H28" s="12">
        <f>$G$16+$K9*I16+$L9*L16</f>
        <v>0.5</v>
      </c>
      <c r="I28" s="12">
        <f>$G$16+$K9*J16+$L9*M16</f>
        <v>0.7</v>
      </c>
      <c r="K28" s="12">
        <f t="shared" si="29"/>
        <v>0.574442516853233</v>
      </c>
      <c r="L28" s="12">
        <f t="shared" si="30"/>
        <v>0.62245933126846476</v>
      </c>
      <c r="M28" s="12">
        <f t="shared" si="31"/>
        <v>0.66818777225614623</v>
      </c>
      <c r="O28" s="11">
        <f>K32*$H$13</f>
        <v>-1.450817464689547E-2</v>
      </c>
      <c r="P28" s="11">
        <f>$K32*$H$13*K25</f>
        <v>-7.9382453430083266E-3</v>
      </c>
      <c r="Q28" s="11">
        <f t="shared" ref="Q28:R28" si="32">$K32*$H$13*L25</f>
        <v>-8.2573075366197818E-3</v>
      </c>
      <c r="R28" s="11">
        <f t="shared" si="32"/>
        <v>-8.5724609175303734E-3</v>
      </c>
      <c r="V28" t="s">
        <v>90</v>
      </c>
    </row>
    <row r="29" spans="7:29" x14ac:dyDescent="0.2">
      <c r="O29" s="11">
        <f t="shared" ref="O29:O31" si="33">K33*$H$13</f>
        <v>9.5268349885850017E-3</v>
      </c>
      <c r="P29" s="11">
        <f t="shared" ref="P29:P31" si="34">$K33*$H$13*K26</f>
        <v>5.0013900916879685E-3</v>
      </c>
      <c r="Q29" s="11">
        <f t="shared" ref="Q29:Q31" si="35">$K33*$H$13*L26</f>
        <v>5.0013900916879685E-3</v>
      </c>
      <c r="R29" s="11">
        <f t="shared" ref="R29:R31" si="36">$K33*$H$13*M26</f>
        <v>5.0013900916879685E-3</v>
      </c>
      <c r="V29" t="s">
        <v>91</v>
      </c>
      <c r="W29">
        <v>4</v>
      </c>
    </row>
    <row r="30" spans="7:29" x14ac:dyDescent="0.2">
      <c r="G30" t="s">
        <v>32</v>
      </c>
      <c r="K30" t="s">
        <v>36</v>
      </c>
      <c r="O30" s="11">
        <f t="shared" si="33"/>
        <v>9.0705974234104488E-3</v>
      </c>
      <c r="P30" s="11">
        <f t="shared" si="34"/>
        <v>5.1542181990147902E-3</v>
      </c>
      <c r="Q30" s="11">
        <f t="shared" si="35"/>
        <v>5.5373438008356618E-3</v>
      </c>
      <c r="R30" s="11">
        <f t="shared" si="36"/>
        <v>5.9060015044135623E-3</v>
      </c>
      <c r="V30" t="s">
        <v>92</v>
      </c>
      <c r="W30">
        <f>W25/W29</f>
        <v>0.44316406003319397</v>
      </c>
    </row>
    <row r="31" spans="7:29" x14ac:dyDescent="0.2">
      <c r="G31" s="18" t="s">
        <v>34</v>
      </c>
      <c r="H31" s="18" t="s">
        <v>35</v>
      </c>
      <c r="K31" s="19" t="s">
        <v>37</v>
      </c>
      <c r="O31" s="12">
        <f t="shared" si="33"/>
        <v>9.0079020094936957E-3</v>
      </c>
      <c r="P31" s="12">
        <f t="shared" si="34"/>
        <v>5.174521901900854E-3</v>
      </c>
      <c r="Q31" s="12">
        <f t="shared" si="35"/>
        <v>5.607052660961306E-3</v>
      </c>
      <c r="R31" s="12">
        <f t="shared" si="36"/>
        <v>6.0189699764252556E-3</v>
      </c>
      <c r="V31" t="s">
        <v>93</v>
      </c>
      <c r="W31">
        <f>X25/W29</f>
        <v>0.2056709645092068</v>
      </c>
    </row>
    <row r="32" spans="7:29" x14ac:dyDescent="0.2">
      <c r="G32" s="2">
        <f>$G$20+K25*$H$20+L25*$I$20+M25*$J$20</f>
        <v>0.44580672200258276</v>
      </c>
      <c r="H32" s="2">
        <f>1/(1+(2.71828183^-G32))</f>
        <v>0.60964178329729668</v>
      </c>
      <c r="K32" s="7">
        <f>(M6-H32)*(1/(1+2.71828183^-G32))*(1-1/(1+2.71828183^-G32))</f>
        <v>-0.14508174646895469</v>
      </c>
      <c r="V32" t="s">
        <v>94</v>
      </c>
      <c r="W32">
        <f>SQRT(W31)</f>
        <v>0.45350960795688422</v>
      </c>
    </row>
    <row r="33" spans="7:26" x14ac:dyDescent="0.2">
      <c r="G33" s="11">
        <f t="shared" ref="G33:G35" si="37">$G$20+K26*$H$20+L26*$I$20+M26*$J$20</f>
        <v>0.41498751249584603</v>
      </c>
      <c r="H33" s="11">
        <f t="shared" ref="H33:H35" si="38">1/(1+(2.71828183^-G33))</f>
        <v>0.60228318571516037</v>
      </c>
      <c r="K33" s="7">
        <f t="shared" ref="K33:K35" si="39">(M7-H33)*(1/(1+2.71828183^-G33))*(1-1/(1+2.71828183^-G33))</f>
        <v>9.5268349885850007E-2</v>
      </c>
      <c r="O33" t="s">
        <v>60</v>
      </c>
      <c r="V33" t="s">
        <v>95</v>
      </c>
      <c r="W33" t="e">
        <f>Y25/W29</f>
        <v>#DIV/0!</v>
      </c>
    </row>
    <row r="34" spans="7:26" x14ac:dyDescent="0.2">
      <c r="G34" s="11">
        <f t="shared" si="37"/>
        <v>0.47425219893799586</v>
      </c>
      <c r="H34" s="11">
        <f t="shared" si="38"/>
        <v>0.61638969984967629</v>
      </c>
      <c r="K34" s="7">
        <f t="shared" si="39"/>
        <v>9.0705974234104481E-2</v>
      </c>
      <c r="O34" s="34" t="s">
        <v>61</v>
      </c>
      <c r="P34" s="34"/>
      <c r="Q34" s="34"/>
      <c r="R34" s="34" t="s">
        <v>62</v>
      </c>
      <c r="S34" s="34"/>
      <c r="T34" s="34"/>
      <c r="V34" t="s">
        <v>96</v>
      </c>
      <c r="W34" s="31" t="e">
        <f>100%-W33</f>
        <v>#DIV/0!</v>
      </c>
      <c r="Z34" t="s">
        <v>99</v>
      </c>
    </row>
    <row r="35" spans="7:26" x14ac:dyDescent="0.2">
      <c r="G35" s="12">
        <f t="shared" si="37"/>
        <v>0.48239244961586014</v>
      </c>
      <c r="H35" s="12">
        <f t="shared" si="38"/>
        <v>0.61831265759968401</v>
      </c>
      <c r="K35" s="7">
        <f t="shared" si="39"/>
        <v>9.0079020094936957E-2</v>
      </c>
      <c r="O35" s="25" t="s">
        <v>63</v>
      </c>
      <c r="P35" s="25" t="s">
        <v>64</v>
      </c>
      <c r="Q35" s="25" t="s">
        <v>65</v>
      </c>
      <c r="R35" s="25" t="s">
        <v>67</v>
      </c>
      <c r="S35" s="25" t="s">
        <v>66</v>
      </c>
      <c r="T35" s="25" t="s">
        <v>68</v>
      </c>
    </row>
    <row r="36" spans="7:26" x14ac:dyDescent="0.2">
      <c r="O36" s="2">
        <f>$H$13*O6*K6</f>
        <v>-7.0800566572776973E-4</v>
      </c>
      <c r="P36" s="2">
        <f>$H$13*P6*K6</f>
        <v>-7.3646256407689946E-4</v>
      </c>
      <c r="Q36" s="2">
        <f>$H$13*Q6*K6</f>
        <v>-7.6457083859054684E-4</v>
      </c>
      <c r="R36" s="2">
        <f>$H$13*O6*L6</f>
        <v>0</v>
      </c>
      <c r="S36" s="2">
        <f>$H$13*P6*L6</f>
        <v>0</v>
      </c>
      <c r="T36" s="2">
        <f>$H$13*Q6*L6</f>
        <v>0</v>
      </c>
      <c r="V36" t="s">
        <v>98</v>
      </c>
    </row>
    <row r="37" spans="7:26" ht="18" x14ac:dyDescent="0.25">
      <c r="G37" t="s">
        <v>97</v>
      </c>
      <c r="O37" s="11">
        <f t="shared" ref="O37:O38" si="40">$H$13*O7*K7</f>
        <v>0</v>
      </c>
      <c r="P37" s="11">
        <f t="shared" ref="P37:P38" si="41">$H$13*P7*K7</f>
        <v>0</v>
      </c>
      <c r="Q37" s="11">
        <f t="shared" ref="Q37:Q38" si="42">$H$13*Q7*K7</f>
        <v>0</v>
      </c>
      <c r="R37" s="11">
        <f t="shared" ref="R37:R39" si="43">$H$13*O7*L7</f>
        <v>0</v>
      </c>
      <c r="S37" s="11">
        <f t="shared" ref="S37:S39" si="44">$H$13*P7*L7</f>
        <v>0</v>
      </c>
      <c r="T37" s="11">
        <f t="shared" ref="T37:T39" si="45">$H$13*Q7*L7</f>
        <v>0</v>
      </c>
      <c r="W37" s="28" t="s">
        <v>85</v>
      </c>
      <c r="X37" s="28" t="s">
        <v>86</v>
      </c>
      <c r="Y37" s="28" t="s">
        <v>87</v>
      </c>
      <c r="Z37" s="28" t="s">
        <v>88</v>
      </c>
    </row>
    <row r="38" spans="7:26" x14ac:dyDescent="0.2">
      <c r="G38" s="32">
        <f>MIN($I$6:$I$9)+H32*(MAX($I$6:$I$9)-MIN($I$6:$I$9))</f>
        <v>1546.278372991</v>
      </c>
      <c r="O38" s="11">
        <f t="shared" si="40"/>
        <v>5.1542181990147902E-4</v>
      </c>
      <c r="P38" s="11">
        <f t="shared" si="41"/>
        <v>5.5373438008356625E-4</v>
      </c>
      <c r="Q38" s="11">
        <f t="shared" si="42"/>
        <v>5.9060015044135625E-4</v>
      </c>
      <c r="R38" s="11">
        <f t="shared" si="43"/>
        <v>3.8475149936307592E-4</v>
      </c>
      <c r="S38" s="11">
        <f t="shared" si="44"/>
        <v>4.1335101611871845E-4</v>
      </c>
      <c r="T38" s="11">
        <f t="shared" si="45"/>
        <v>4.4087053483650538E-4</v>
      </c>
      <c r="W38" s="33">
        <f>I6-G38</f>
        <v>-11.278372990999969</v>
      </c>
      <c r="X38" s="2">
        <f>ABS(W38)</f>
        <v>11.278372990999969</v>
      </c>
      <c r="Y38" s="2">
        <f>W38^2</f>
        <v>127.20169732411759</v>
      </c>
      <c r="Z38" s="2">
        <f>ABS(W38/I6)</f>
        <v>7.3474742612377646E-3</v>
      </c>
    </row>
    <row r="39" spans="7:26" x14ac:dyDescent="0.2">
      <c r="G39" s="32">
        <f t="shared" ref="G39:G41" si="46">MIN($I$6:$I$9)+H33*(MAX($I$6:$I$9)-MIN($I$6:$I$9))</f>
        <v>1546.1422389357306</v>
      </c>
      <c r="O39" s="12">
        <f>$H$13*O9*K9</f>
        <v>5.1745219019008542E-4</v>
      </c>
      <c r="P39" s="12">
        <f>$H$13*P9*K9</f>
        <v>5.6070526609613058E-4</v>
      </c>
      <c r="Q39" s="12">
        <f>$H$13*Q9*K9</f>
        <v>6.0189699764252565E-4</v>
      </c>
      <c r="R39" s="12">
        <f t="shared" si="43"/>
        <v>5.1745219019008542E-4</v>
      </c>
      <c r="S39" s="12">
        <f t="shared" si="44"/>
        <v>5.6070526609613058E-4</v>
      </c>
      <c r="T39" s="12">
        <f t="shared" si="45"/>
        <v>6.0189699764252565E-4</v>
      </c>
      <c r="W39" s="33">
        <f t="shared" ref="W39:W41" si="47">I7-G39</f>
        <v>7.3577610642694253</v>
      </c>
      <c r="X39" s="2">
        <f t="shared" ref="X39:X41" si="48">ABS(W39)</f>
        <v>7.3577610642694253</v>
      </c>
      <c r="Y39" s="11">
        <f t="shared" ref="Y39:Y41" si="49">W39^2</f>
        <v>54.136647878879145</v>
      </c>
      <c r="Z39" s="2">
        <f t="shared" ref="Z39:Z41" si="50">ABS(W39/I7)</f>
        <v>4.7362478688570487E-3</v>
      </c>
    </row>
    <row r="40" spans="7:26" x14ac:dyDescent="0.2">
      <c r="G40" s="32">
        <f t="shared" si="46"/>
        <v>1546.4032094472191</v>
      </c>
      <c r="W40" s="33">
        <f t="shared" si="47"/>
        <v>7.0967905527809307</v>
      </c>
      <c r="X40" s="2">
        <f t="shared" si="48"/>
        <v>7.0967905527809307</v>
      </c>
      <c r="Y40" s="11">
        <f t="shared" si="49"/>
        <v>50.364436150040667</v>
      </c>
      <c r="Z40" s="2">
        <f t="shared" si="50"/>
        <v>4.5682591263475573E-3</v>
      </c>
    </row>
    <row r="41" spans="7:26" x14ac:dyDescent="0.2">
      <c r="G41" s="32">
        <f t="shared" si="46"/>
        <v>1546.4387841655941</v>
      </c>
      <c r="W41" s="33">
        <f t="shared" si="47"/>
        <v>7.0612158344058571</v>
      </c>
      <c r="X41" s="2">
        <f t="shared" si="48"/>
        <v>7.0612158344058571</v>
      </c>
      <c r="Y41" s="11">
        <f t="shared" si="49"/>
        <v>49.860769060064001</v>
      </c>
      <c r="Z41" s="2">
        <f t="shared" si="50"/>
        <v>4.5453594041878704E-3</v>
      </c>
    </row>
    <row r="42" spans="7:26" x14ac:dyDescent="0.2">
      <c r="V42" t="s">
        <v>89</v>
      </c>
      <c r="W42" s="29">
        <f>SUM(W38:W41)</f>
        <v>10.237394460456244</v>
      </c>
      <c r="X42" s="29">
        <f>SUM(X38:X41)</f>
        <v>32.794140442456182</v>
      </c>
      <c r="Y42" s="29">
        <f>SUM(Y38:Y41)</f>
        <v>281.56355041310138</v>
      </c>
      <c r="Z42" s="29">
        <f>SUM(Z38:Z41)</f>
        <v>2.119734066063024E-2</v>
      </c>
    </row>
    <row r="45" spans="7:26" x14ac:dyDescent="0.2">
      <c r="W45" t="s">
        <v>90</v>
      </c>
    </row>
    <row r="46" spans="7:26" x14ac:dyDescent="0.2">
      <c r="W46" t="s">
        <v>91</v>
      </c>
      <c r="X46">
        <v>4</v>
      </c>
    </row>
    <row r="47" spans="7:26" x14ac:dyDescent="0.2">
      <c r="W47" t="s">
        <v>92</v>
      </c>
      <c r="X47">
        <f>X42/X46</f>
        <v>8.1985351106140456</v>
      </c>
    </row>
    <row r="48" spans="7:26" x14ac:dyDescent="0.2">
      <c r="W48" t="s">
        <v>93</v>
      </c>
      <c r="X48">
        <f>Y42/X46</f>
        <v>70.390887603275345</v>
      </c>
    </row>
    <row r="49" spans="23:24" x14ac:dyDescent="0.2">
      <c r="W49" t="s">
        <v>94</v>
      </c>
      <c r="X49">
        <f>SQRT(X48)</f>
        <v>8.3899277472023162</v>
      </c>
    </row>
    <row r="50" spans="23:24" x14ac:dyDescent="0.2">
      <c r="W50" t="s">
        <v>95</v>
      </c>
      <c r="X50">
        <f>(Z42/X46)*100</f>
        <v>0.52993351651575604</v>
      </c>
    </row>
    <row r="51" spans="23:24" x14ac:dyDescent="0.2">
      <c r="W51" t="s">
        <v>96</v>
      </c>
      <c r="X51" s="30">
        <f>1-X50</f>
        <v>0.47006648348424396</v>
      </c>
    </row>
  </sheetData>
  <mergeCells count="3">
    <mergeCell ref="O34:Q34"/>
    <mergeCell ref="R34:T34"/>
    <mergeCell ref="AA19:A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5014-7863-D04E-9ABE-1EF9840AC7A5}">
  <dimension ref="A1:AH53"/>
  <sheetViews>
    <sheetView tabSelected="1" workbookViewId="0">
      <selection activeCell="G39" sqref="G39"/>
    </sheetView>
  </sheetViews>
  <sheetFormatPr baseColWidth="10" defaultRowHeight="16" x14ac:dyDescent="0.2"/>
  <cols>
    <col min="4" max="4" width="21.5" customWidth="1"/>
    <col min="16" max="16" width="12.83203125" bestFit="1" customWidth="1"/>
  </cols>
  <sheetData>
    <row r="1" spans="1:27" x14ac:dyDescent="0.2">
      <c r="A1" s="8" t="s">
        <v>0</v>
      </c>
      <c r="B1" s="9" t="s">
        <v>1</v>
      </c>
      <c r="C1" s="9" t="s">
        <v>2</v>
      </c>
      <c r="D1" s="9" t="s">
        <v>3</v>
      </c>
    </row>
    <row r="2" spans="1:27" x14ac:dyDescent="0.2">
      <c r="A2" s="3">
        <v>43983</v>
      </c>
      <c r="B2" s="4">
        <v>1551.5</v>
      </c>
      <c r="C2" s="4">
        <v>1540</v>
      </c>
      <c r="D2" s="4">
        <v>255.75</v>
      </c>
      <c r="G2" t="s">
        <v>38</v>
      </c>
    </row>
    <row r="3" spans="1:27" x14ac:dyDescent="0.2">
      <c r="A3" s="3">
        <v>43984</v>
      </c>
      <c r="B3" s="4">
        <v>1499.5</v>
      </c>
      <c r="C3" s="4">
        <v>1529</v>
      </c>
      <c r="D3" s="4">
        <v>255.75</v>
      </c>
      <c r="G3" t="s">
        <v>8</v>
      </c>
      <c r="O3" t="s">
        <v>41</v>
      </c>
      <c r="V3" t="s">
        <v>69</v>
      </c>
    </row>
    <row r="4" spans="1:27" x14ac:dyDescent="0.2">
      <c r="A4" s="3">
        <v>43985</v>
      </c>
      <c r="B4" s="4">
        <v>1526</v>
      </c>
      <c r="C4" s="4">
        <v>1555.5</v>
      </c>
      <c r="D4" s="4">
        <v>255.75</v>
      </c>
      <c r="G4" t="s">
        <v>4</v>
      </c>
      <c r="K4" t="s">
        <v>11</v>
      </c>
      <c r="O4" t="s">
        <v>42</v>
      </c>
      <c r="V4" t="s">
        <v>70</v>
      </c>
    </row>
    <row r="5" spans="1:27" x14ac:dyDescent="0.2">
      <c r="A5" s="3">
        <v>43986</v>
      </c>
      <c r="B5" s="4">
        <v>1535</v>
      </c>
      <c r="C5" s="4">
        <v>1560.5</v>
      </c>
      <c r="D5" s="4">
        <v>255.75</v>
      </c>
      <c r="G5" s="10" t="s">
        <v>7</v>
      </c>
      <c r="H5" s="10" t="s">
        <v>9</v>
      </c>
      <c r="I5" s="10" t="s">
        <v>10</v>
      </c>
      <c r="K5" s="13" t="s">
        <v>7</v>
      </c>
      <c r="L5" s="13" t="s">
        <v>9</v>
      </c>
      <c r="M5" s="13" t="s">
        <v>10</v>
      </c>
      <c r="O5" s="20" t="s">
        <v>43</v>
      </c>
      <c r="P5" s="21" t="s">
        <v>44</v>
      </c>
      <c r="Q5" s="21" t="s">
        <v>45</v>
      </c>
      <c r="V5" s="26" t="s">
        <v>71</v>
      </c>
      <c r="W5" s="26" t="s">
        <v>72</v>
      </c>
      <c r="X5" s="26" t="s">
        <v>73</v>
      </c>
      <c r="Y5" s="26" t="s">
        <v>74</v>
      </c>
    </row>
    <row r="6" spans="1:27" x14ac:dyDescent="0.2">
      <c r="A6" s="3">
        <v>43987</v>
      </c>
      <c r="B6" s="4">
        <v>1553.5</v>
      </c>
      <c r="C6" s="4">
        <v>1579</v>
      </c>
      <c r="D6" s="4">
        <v>255.75</v>
      </c>
      <c r="G6" s="4">
        <f>MAX(B2:B4)</f>
        <v>1551.5</v>
      </c>
      <c r="H6" s="4">
        <f>MIN(B2:B4)</f>
        <v>1499.5</v>
      </c>
      <c r="I6" s="4">
        <f>B5</f>
        <v>1535</v>
      </c>
      <c r="K6" s="11">
        <f>(G6-MIN(G$6:G$9))/(MAX(G$6:G$9)-MIN(G$6:G$9))</f>
        <v>0.89189189189189189</v>
      </c>
      <c r="L6" s="11">
        <f>(H6-MIN(H$6:H$9))/(MAX(H$6:H$9)-MIN(H$6:H$9))</f>
        <v>0</v>
      </c>
      <c r="M6" s="11">
        <f>(I6-MIN(I$6:I$9))/(MAX(I$6:I$9)-MIN(I$6:I$9))</f>
        <v>0</v>
      </c>
      <c r="O6" s="2">
        <f>$H$13*$K32*K25</f>
        <v>-7.9382453430083266E-3</v>
      </c>
      <c r="P6" s="2">
        <f>$H$13*$K32*L25</f>
        <v>-8.2573075366197818E-3</v>
      </c>
      <c r="Q6" s="2">
        <f>$H$13*$K32*M25</f>
        <v>-8.5724609175303734E-3</v>
      </c>
      <c r="R6">
        <f>$H$13*$K32*G20</f>
        <v>-1.4508174646895471E-3</v>
      </c>
      <c r="V6" s="2">
        <f>R6+G$20</f>
        <v>9.8549182535310462E-2</v>
      </c>
      <c r="W6" s="2">
        <f>O6+H$20</f>
        <v>9.2061754656991679E-2</v>
      </c>
      <c r="X6" s="2">
        <f t="shared" ref="X6:Y6" si="0">P6+I$20</f>
        <v>0.19174269246338022</v>
      </c>
      <c r="Y6" s="2">
        <f t="shared" si="0"/>
        <v>0.2914275390824696</v>
      </c>
    </row>
    <row r="7" spans="1:27" x14ac:dyDescent="0.2">
      <c r="A7" s="3">
        <v>43988</v>
      </c>
      <c r="B7" s="4">
        <v>1553.5</v>
      </c>
      <c r="C7" s="4">
        <v>1579</v>
      </c>
      <c r="D7" s="4">
        <v>255.75</v>
      </c>
      <c r="G7" s="4">
        <f>MAX(B3:B5)</f>
        <v>1535</v>
      </c>
      <c r="H7" s="4">
        <f>MIN(B3:B5)</f>
        <v>1499.5</v>
      </c>
      <c r="I7" s="4">
        <f>B6</f>
        <v>1553.5</v>
      </c>
      <c r="K7" s="11">
        <f t="shared" ref="K7:M9" si="1">(G7-MIN(G$6:G$9))/(MAX(G$6:G$9)-MIN(G$6:G$9))</f>
        <v>0</v>
      </c>
      <c r="L7" s="11">
        <f t="shared" si="1"/>
        <v>0</v>
      </c>
      <c r="M7" s="11">
        <f t="shared" si="1"/>
        <v>1</v>
      </c>
      <c r="O7" s="11"/>
      <c r="P7" s="11"/>
      <c r="Q7" s="11"/>
      <c r="V7" s="11"/>
      <c r="W7" s="11"/>
      <c r="X7" s="11"/>
      <c r="Y7" s="11"/>
    </row>
    <row r="8" spans="1:27" x14ac:dyDescent="0.2">
      <c r="A8" s="5">
        <v>43989</v>
      </c>
      <c r="B8" s="6">
        <v>1553.5</v>
      </c>
      <c r="C8" s="6">
        <v>1579</v>
      </c>
      <c r="D8" s="6">
        <v>255.75</v>
      </c>
      <c r="G8" s="4">
        <f>MAX(B4:B6)</f>
        <v>1553.5</v>
      </c>
      <c r="H8" s="4">
        <f>MIN(B4:B6)</f>
        <v>1526</v>
      </c>
      <c r="I8" s="4">
        <f>B7</f>
        <v>1553.5</v>
      </c>
      <c r="K8" s="11">
        <f t="shared" si="1"/>
        <v>1</v>
      </c>
      <c r="L8" s="11">
        <f t="shared" si="1"/>
        <v>0.74647887323943662</v>
      </c>
      <c r="M8" s="11">
        <f t="shared" si="1"/>
        <v>1</v>
      </c>
      <c r="O8" s="11"/>
      <c r="P8" s="11"/>
      <c r="Q8" s="11"/>
      <c r="V8" s="11"/>
      <c r="W8" s="11"/>
      <c r="X8" s="11"/>
      <c r="Y8" s="11"/>
    </row>
    <row r="9" spans="1:27" x14ac:dyDescent="0.2">
      <c r="G9" s="6">
        <f>MAX(B5:B7)</f>
        <v>1553.5</v>
      </c>
      <c r="H9" s="6">
        <f>MIN(B5:B7)</f>
        <v>1535</v>
      </c>
      <c r="I9" s="6">
        <f>B8</f>
        <v>1553.5</v>
      </c>
      <c r="K9" s="12">
        <f t="shared" si="1"/>
        <v>1</v>
      </c>
      <c r="L9" s="12">
        <f t="shared" si="1"/>
        <v>1</v>
      </c>
      <c r="M9" s="12">
        <f t="shared" si="1"/>
        <v>1</v>
      </c>
      <c r="O9" s="12"/>
      <c r="P9" s="12"/>
      <c r="Q9" s="12"/>
      <c r="V9" s="12"/>
      <c r="W9" s="12"/>
      <c r="X9" s="12"/>
      <c r="Y9" s="12"/>
    </row>
    <row r="10" spans="1:27" x14ac:dyDescent="0.2">
      <c r="A10" t="s">
        <v>5</v>
      </c>
      <c r="B10" s="1">
        <f>MAX(B2:B7)</f>
        <v>1553.5</v>
      </c>
    </row>
    <row r="11" spans="1:27" x14ac:dyDescent="0.2">
      <c r="A11" t="s">
        <v>6</v>
      </c>
      <c r="B11" s="1">
        <f>MIN(B2:B7)</f>
        <v>1499.5</v>
      </c>
      <c r="G11" t="s">
        <v>100</v>
      </c>
      <c r="O11" t="s">
        <v>46</v>
      </c>
      <c r="V11" t="s">
        <v>75</v>
      </c>
    </row>
    <row r="12" spans="1:27" x14ac:dyDescent="0.2">
      <c r="G12" t="s">
        <v>39</v>
      </c>
      <c r="O12" s="22" t="s">
        <v>47</v>
      </c>
      <c r="P12" s="22" t="s">
        <v>49</v>
      </c>
      <c r="Q12" s="22" t="s">
        <v>48</v>
      </c>
      <c r="V12" s="27" t="s">
        <v>76</v>
      </c>
      <c r="W12" s="27" t="s">
        <v>77</v>
      </c>
      <c r="X12" s="27" t="s">
        <v>78</v>
      </c>
      <c r="Y12" s="27" t="s">
        <v>79</v>
      </c>
      <c r="Z12" s="27" t="s">
        <v>80</v>
      </c>
      <c r="AA12" s="27" t="s">
        <v>81</v>
      </c>
    </row>
    <row r="13" spans="1:27" x14ac:dyDescent="0.2">
      <c r="G13" t="s">
        <v>12</v>
      </c>
      <c r="H13">
        <v>0.1</v>
      </c>
      <c r="O13" s="2">
        <f>K32*H$20</f>
        <v>-1.450817464689547E-2</v>
      </c>
      <c r="P13" s="2">
        <f>K32*I$20</f>
        <v>-2.901634929379094E-2</v>
      </c>
      <c r="Q13" s="2">
        <f>K32*J$20</f>
        <v>-4.3524523940686406E-2</v>
      </c>
      <c r="V13" s="11">
        <f>H$16+O36</f>
        <v>9.9679384396466564E-2</v>
      </c>
      <c r="W13" s="11">
        <f t="shared" ref="W13:AA16" si="2">I$16+P36</f>
        <v>0.19936538817159571</v>
      </c>
      <c r="X13" s="11">
        <f t="shared" si="2"/>
        <v>0.29906157589066551</v>
      </c>
      <c r="Y13" s="11">
        <f t="shared" si="2"/>
        <v>0.1</v>
      </c>
      <c r="Z13" s="11">
        <f t="shared" si="2"/>
        <v>0.2</v>
      </c>
      <c r="AA13" s="11">
        <f>M$16+T36</f>
        <v>0.3</v>
      </c>
    </row>
    <row r="14" spans="1:27" x14ac:dyDescent="0.2">
      <c r="G14" t="s">
        <v>13</v>
      </c>
      <c r="O14" s="11"/>
      <c r="P14" s="11"/>
      <c r="Q14" s="11"/>
      <c r="V14" s="11"/>
      <c r="W14" s="11"/>
      <c r="X14" s="11"/>
      <c r="Y14" s="11"/>
      <c r="Z14" s="11"/>
      <c r="AA14" s="11"/>
    </row>
    <row r="15" spans="1:27" x14ac:dyDescent="0.2">
      <c r="G15" s="14" t="s">
        <v>101</v>
      </c>
      <c r="H15" s="14" t="s">
        <v>15</v>
      </c>
      <c r="I15" s="14" t="s">
        <v>16</v>
      </c>
      <c r="J15" s="14" t="s">
        <v>17</v>
      </c>
      <c r="K15" s="14" t="s">
        <v>18</v>
      </c>
      <c r="L15" s="14" t="s">
        <v>19</v>
      </c>
      <c r="M15" s="14" t="s">
        <v>20</v>
      </c>
      <c r="O15" s="11"/>
      <c r="P15" s="11"/>
      <c r="Q15" s="11"/>
      <c r="V15" s="11"/>
      <c r="W15" s="11"/>
      <c r="X15" s="11"/>
      <c r="Y15" s="11"/>
      <c r="Z15" s="11"/>
      <c r="AA15" s="11"/>
    </row>
    <row r="16" spans="1:27" x14ac:dyDescent="0.2">
      <c r="G16" s="7">
        <v>0.1</v>
      </c>
      <c r="H16" s="7">
        <v>0.1</v>
      </c>
      <c r="I16" s="7">
        <v>0.2</v>
      </c>
      <c r="J16" s="7">
        <v>0.3</v>
      </c>
      <c r="K16" s="7">
        <v>0.1</v>
      </c>
      <c r="L16" s="7">
        <v>0.2</v>
      </c>
      <c r="M16" s="7">
        <v>0.3</v>
      </c>
      <c r="O16" s="12"/>
      <c r="P16" s="12"/>
      <c r="Q16" s="12"/>
      <c r="V16" s="11"/>
      <c r="W16" s="11"/>
      <c r="X16" s="11"/>
      <c r="Y16" s="11"/>
      <c r="Z16" s="11"/>
      <c r="AA16" s="11"/>
    </row>
    <row r="17" spans="7:34" x14ac:dyDescent="0.2"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</row>
    <row r="18" spans="7:34" x14ac:dyDescent="0.2">
      <c r="G18" t="s">
        <v>21</v>
      </c>
      <c r="O18" t="s">
        <v>50</v>
      </c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</row>
    <row r="19" spans="7:34" x14ac:dyDescent="0.2">
      <c r="G19" s="15" t="s">
        <v>14</v>
      </c>
      <c r="H19" s="15" t="s">
        <v>22</v>
      </c>
      <c r="I19" s="15" t="s">
        <v>23</v>
      </c>
      <c r="J19" s="15" t="s">
        <v>24</v>
      </c>
      <c r="O19" s="23" t="s">
        <v>51</v>
      </c>
      <c r="P19" s="23" t="s">
        <v>52</v>
      </c>
      <c r="Q19" s="23" t="s">
        <v>53</v>
      </c>
      <c r="U19" s="41"/>
      <c r="V19" s="44" t="s">
        <v>102</v>
      </c>
      <c r="W19" s="44">
        <f>G16+P41</f>
        <v>9.9964052189906866E-2</v>
      </c>
      <c r="X19" s="44"/>
      <c r="Y19" s="44"/>
      <c r="Z19" s="44"/>
      <c r="AA19" s="45"/>
      <c r="AB19" s="42"/>
      <c r="AC19" s="41"/>
      <c r="AD19" s="41"/>
      <c r="AE19" s="41"/>
      <c r="AF19" s="41"/>
      <c r="AG19" s="41"/>
      <c r="AH19" s="41"/>
    </row>
    <row r="20" spans="7:34" x14ac:dyDescent="0.2">
      <c r="G20" s="7">
        <v>0.1</v>
      </c>
      <c r="H20" s="7">
        <v>0.1</v>
      </c>
      <c r="I20" s="7">
        <v>0.2</v>
      </c>
      <c r="J20" s="7">
        <v>0.3</v>
      </c>
      <c r="O20" s="2">
        <f>O13*(1-K25)*K25</f>
        <v>-3.59478100931437E-3</v>
      </c>
      <c r="P20" s="2">
        <f t="shared" ref="P20:Q20" si="3">P13*(1-L25)*L25</f>
        <v>-7.1153447427148332E-3</v>
      </c>
      <c r="Q20" s="2">
        <f t="shared" si="3"/>
        <v>-1.0521724862235323E-2</v>
      </c>
      <c r="U20" s="41"/>
      <c r="V20" s="53" t="s">
        <v>103</v>
      </c>
      <c r="W20" s="46">
        <f>G16+P42</f>
        <v>9.992884655257285E-2</v>
      </c>
      <c r="X20" s="46"/>
      <c r="Y20" s="46"/>
      <c r="Z20" s="44"/>
      <c r="AA20" s="44"/>
      <c r="AB20" s="41"/>
      <c r="AC20" s="41"/>
      <c r="AD20" s="41"/>
      <c r="AE20" s="41"/>
      <c r="AF20" s="41"/>
      <c r="AG20" s="41"/>
      <c r="AH20" s="41"/>
    </row>
    <row r="21" spans="7:34" x14ac:dyDescent="0.2">
      <c r="O21" s="11"/>
      <c r="P21" s="11"/>
      <c r="Q21" s="11"/>
      <c r="U21" s="41"/>
      <c r="V21" s="44" t="s">
        <v>104</v>
      </c>
      <c r="W21" s="44">
        <f>G16+P43</f>
        <v>9.9894782751377656E-2</v>
      </c>
      <c r="X21" s="44"/>
      <c r="Y21" s="44"/>
      <c r="Z21" s="44"/>
      <c r="AA21" s="44"/>
      <c r="AB21" s="41"/>
      <c r="AC21" s="41"/>
      <c r="AD21" s="41"/>
      <c r="AE21" s="41"/>
      <c r="AF21" s="41"/>
      <c r="AG21" s="41"/>
      <c r="AH21" s="41"/>
    </row>
    <row r="22" spans="7:34" x14ac:dyDescent="0.2">
      <c r="G22" t="s">
        <v>40</v>
      </c>
      <c r="O22" s="11"/>
      <c r="P22" s="11"/>
      <c r="Q22" s="11"/>
      <c r="U22" s="41"/>
      <c r="V22" s="44"/>
      <c r="W22" s="44"/>
      <c r="X22" s="44"/>
      <c r="Y22" s="44"/>
      <c r="Z22" s="44"/>
      <c r="AA22" s="44"/>
      <c r="AB22" s="41"/>
      <c r="AC22" s="41"/>
      <c r="AD22" s="41"/>
      <c r="AE22" s="41"/>
      <c r="AF22" s="41"/>
      <c r="AG22" s="41"/>
      <c r="AH22" s="41"/>
    </row>
    <row r="23" spans="7:34" x14ac:dyDescent="0.2">
      <c r="G23" t="s">
        <v>33</v>
      </c>
      <c r="K23" t="s">
        <v>28</v>
      </c>
      <c r="O23" s="12"/>
      <c r="P23" s="12"/>
      <c r="Q23" s="12"/>
      <c r="U23" s="41"/>
      <c r="V23" s="44"/>
      <c r="W23" s="44"/>
      <c r="X23" s="44"/>
      <c r="Y23" s="44"/>
      <c r="Z23" s="44"/>
      <c r="AA23" s="44"/>
      <c r="AB23" s="41"/>
      <c r="AC23" s="41"/>
      <c r="AD23" s="41"/>
      <c r="AE23" s="41"/>
      <c r="AF23" s="41"/>
      <c r="AG23" s="41"/>
      <c r="AH23" s="41"/>
    </row>
    <row r="24" spans="7:34" x14ac:dyDescent="0.2">
      <c r="G24" s="16" t="s">
        <v>25</v>
      </c>
      <c r="H24" s="16" t="s">
        <v>26</v>
      </c>
      <c r="I24" s="16" t="s">
        <v>27</v>
      </c>
      <c r="K24" s="17" t="s">
        <v>29</v>
      </c>
      <c r="L24" s="17" t="s">
        <v>30</v>
      </c>
      <c r="M24" s="17" t="s">
        <v>31</v>
      </c>
      <c r="U24" s="41"/>
      <c r="V24" s="44"/>
      <c r="W24" s="44"/>
      <c r="X24" s="44"/>
      <c r="Y24" s="44"/>
      <c r="Z24" s="44"/>
      <c r="AA24" s="44"/>
      <c r="AB24" s="41"/>
      <c r="AC24" s="41"/>
      <c r="AD24" s="41"/>
      <c r="AE24" s="41"/>
      <c r="AF24" s="41"/>
      <c r="AG24" s="41"/>
      <c r="AH24" s="41"/>
    </row>
    <row r="25" spans="7:34" x14ac:dyDescent="0.2">
      <c r="G25" s="11">
        <f>$G$16+$K6*H16+$L6*K16</f>
        <v>0.1891891891891892</v>
      </c>
      <c r="H25" s="11">
        <f>$G$16+$K6*I16+$L6*L16</f>
        <v>0.27837837837837842</v>
      </c>
      <c r="I25" s="11">
        <f>$G$16+$K6*J16+$L6*M16</f>
        <v>0.36756756756756759</v>
      </c>
      <c r="K25" s="11">
        <f>1/(1+(2.71828183^-G25))</f>
        <v>0.54715672620518052</v>
      </c>
      <c r="L25" s="11">
        <f t="shared" ref="L25:M28" si="4">1/(1+(2.71828183^-H25))</f>
        <v>0.56914861707890463</v>
      </c>
      <c r="M25" s="11">
        <f t="shared" si="4"/>
        <v>0.59087108655427922</v>
      </c>
      <c r="O25" t="s">
        <v>54</v>
      </c>
      <c r="U25" s="41"/>
      <c r="V25" s="44"/>
      <c r="W25" s="44"/>
      <c r="X25" s="44"/>
      <c r="Y25" s="44"/>
      <c r="Z25" s="44"/>
      <c r="AA25" s="44"/>
      <c r="AB25" s="41"/>
      <c r="AC25" s="41"/>
      <c r="AD25" s="41"/>
      <c r="AE25" s="41"/>
      <c r="AF25" s="41"/>
      <c r="AG25" s="41"/>
      <c r="AH25" s="41"/>
    </row>
    <row r="26" spans="7:34" x14ac:dyDescent="0.2">
      <c r="G26" s="11"/>
      <c r="H26" s="11"/>
      <c r="I26" s="11"/>
      <c r="K26" s="11"/>
      <c r="L26" s="11"/>
      <c r="M26" s="11"/>
      <c r="O26" s="49"/>
      <c r="P26" s="49"/>
      <c r="Q26" s="49"/>
      <c r="R26" s="49"/>
      <c r="S26" s="49"/>
      <c r="T26" s="49"/>
      <c r="U26" s="41"/>
      <c r="V26" s="44"/>
      <c r="W26" s="44"/>
      <c r="X26" s="44"/>
      <c r="Y26" s="44"/>
      <c r="Z26" s="44"/>
      <c r="AA26" s="44"/>
      <c r="AB26" s="41"/>
      <c r="AC26" s="41"/>
      <c r="AD26" s="41"/>
      <c r="AE26" s="41"/>
      <c r="AF26" s="41"/>
      <c r="AG26" s="41"/>
      <c r="AH26" s="41"/>
    </row>
    <row r="27" spans="7:34" x14ac:dyDescent="0.2">
      <c r="G27" s="11"/>
      <c r="H27" s="11"/>
      <c r="I27" s="11"/>
      <c r="K27" s="11"/>
      <c r="L27" s="11"/>
      <c r="M27" s="11"/>
      <c r="O27" s="50"/>
      <c r="P27" s="50"/>
      <c r="Q27" s="50"/>
      <c r="R27" s="50"/>
      <c r="S27" s="49"/>
      <c r="T27" s="49"/>
      <c r="U27" s="41"/>
      <c r="V27" s="44"/>
      <c r="W27" s="44"/>
      <c r="X27" s="44"/>
      <c r="Y27" s="44"/>
      <c r="Z27" s="44"/>
      <c r="AA27" s="44"/>
      <c r="AB27" s="41"/>
      <c r="AC27" s="41"/>
      <c r="AD27" s="41"/>
      <c r="AE27" s="41"/>
      <c r="AF27" s="41"/>
      <c r="AG27" s="41"/>
      <c r="AH27" s="41"/>
    </row>
    <row r="28" spans="7:34" x14ac:dyDescent="0.2">
      <c r="G28" s="12"/>
      <c r="H28" s="12"/>
      <c r="I28" s="12"/>
      <c r="K28" s="12"/>
      <c r="L28" s="12"/>
      <c r="M28" s="12"/>
      <c r="O28" s="51"/>
      <c r="P28" s="51"/>
      <c r="Q28" s="51"/>
      <c r="R28" s="51"/>
      <c r="S28" s="49"/>
      <c r="T28" s="49"/>
      <c r="U28" s="41"/>
      <c r="V28" s="44"/>
      <c r="W28" s="44"/>
      <c r="X28" s="44"/>
      <c r="Y28" s="44"/>
      <c r="Z28" s="44"/>
      <c r="AA28" s="44"/>
      <c r="AB28" s="41"/>
      <c r="AC28" s="41"/>
      <c r="AD28" s="41"/>
      <c r="AE28" s="41"/>
      <c r="AF28" s="41"/>
      <c r="AG28" s="41"/>
      <c r="AH28" s="41"/>
    </row>
    <row r="29" spans="7:34" x14ac:dyDescent="0.2">
      <c r="O29" s="51"/>
      <c r="P29" s="51"/>
      <c r="Q29" s="51"/>
      <c r="R29" s="51"/>
      <c r="S29" s="49"/>
      <c r="T29" s="49"/>
      <c r="U29" s="41"/>
      <c r="V29" s="44"/>
      <c r="W29" s="44"/>
      <c r="X29" s="44"/>
      <c r="Y29" s="44"/>
      <c r="Z29" s="44"/>
      <c r="AA29" s="44"/>
      <c r="AB29" s="41"/>
      <c r="AC29" s="41"/>
      <c r="AD29" s="41"/>
      <c r="AE29" s="41"/>
      <c r="AF29" s="41"/>
      <c r="AG29" s="41"/>
      <c r="AH29" s="41"/>
    </row>
    <row r="30" spans="7:34" x14ac:dyDescent="0.2">
      <c r="G30" t="s">
        <v>32</v>
      </c>
      <c r="K30" t="s">
        <v>36</v>
      </c>
      <c r="O30" s="51"/>
      <c r="P30" s="51"/>
      <c r="Q30" s="51"/>
      <c r="R30" s="51"/>
      <c r="S30" s="49"/>
      <c r="T30" s="49"/>
      <c r="U30" s="41"/>
      <c r="V30" s="44"/>
      <c r="W30" s="44"/>
      <c r="X30" s="44"/>
      <c r="Y30" s="44"/>
      <c r="Z30" s="44"/>
      <c r="AA30" s="44"/>
      <c r="AB30" s="41"/>
      <c r="AC30" s="41"/>
      <c r="AD30" s="41"/>
      <c r="AE30" s="41"/>
      <c r="AF30" s="41"/>
      <c r="AG30" s="41"/>
      <c r="AH30" s="41"/>
    </row>
    <row r="31" spans="7:34" x14ac:dyDescent="0.2">
      <c r="G31" s="18" t="s">
        <v>34</v>
      </c>
      <c r="H31" s="18" t="s">
        <v>35</v>
      </c>
      <c r="K31" s="19" t="s">
        <v>37</v>
      </c>
      <c r="O31" s="52"/>
      <c r="P31" s="52"/>
      <c r="Q31" s="52"/>
      <c r="R31" s="52"/>
      <c r="S31" s="49"/>
      <c r="T31" s="49"/>
      <c r="U31" s="41"/>
      <c r="V31" s="44"/>
      <c r="W31" s="44"/>
      <c r="X31" s="44"/>
      <c r="Y31" s="44"/>
      <c r="Z31" s="44"/>
      <c r="AA31" s="44"/>
      <c r="AB31" s="41"/>
      <c r="AC31" s="41"/>
      <c r="AD31" s="41"/>
      <c r="AE31" s="41"/>
      <c r="AF31" s="41"/>
      <c r="AG31" s="41"/>
      <c r="AH31" s="41"/>
    </row>
    <row r="32" spans="7:34" x14ac:dyDescent="0.2">
      <c r="G32" s="2">
        <f>$G$20+K25*$H$20+L25*$I$20+M25*$J$20</f>
        <v>0.44580672200258276</v>
      </c>
      <c r="H32" s="2">
        <f>1/(1+(2.71828183^-G32))</f>
        <v>0.60964178329729668</v>
      </c>
      <c r="K32" s="7">
        <f>(M6-H32)*(1/(1+2.71828183^-G32))*(1-1/(1+2.71828183^-G32))</f>
        <v>-0.14508174646895469</v>
      </c>
      <c r="U32" s="41"/>
      <c r="V32" s="44"/>
      <c r="W32" s="44"/>
      <c r="X32" s="44"/>
      <c r="Y32" s="44"/>
      <c r="Z32" s="44"/>
      <c r="AA32" s="44"/>
      <c r="AB32" s="41"/>
      <c r="AC32" s="41"/>
      <c r="AD32" s="41"/>
      <c r="AE32" s="41"/>
      <c r="AF32" s="41"/>
      <c r="AG32" s="41"/>
      <c r="AH32" s="41"/>
    </row>
    <row r="33" spans="7:34" x14ac:dyDescent="0.2">
      <c r="G33" s="11"/>
      <c r="H33" s="11"/>
      <c r="K33" s="7"/>
      <c r="O33" t="s">
        <v>60</v>
      </c>
      <c r="U33" s="41"/>
      <c r="V33" s="44"/>
      <c r="W33" s="44"/>
      <c r="X33" s="44"/>
      <c r="Y33" s="44"/>
      <c r="Z33" s="44"/>
      <c r="AA33" s="44"/>
      <c r="AB33" s="41"/>
      <c r="AC33" s="41"/>
      <c r="AD33" s="41"/>
      <c r="AE33" s="41"/>
      <c r="AF33" s="41"/>
      <c r="AG33" s="41"/>
      <c r="AH33" s="41"/>
    </row>
    <row r="34" spans="7:34" x14ac:dyDescent="0.2">
      <c r="G34" s="11"/>
      <c r="H34" s="11"/>
      <c r="K34" s="7"/>
      <c r="O34" s="34" t="s">
        <v>61</v>
      </c>
      <c r="P34" s="34"/>
      <c r="Q34" s="34"/>
      <c r="R34" s="34" t="s">
        <v>62</v>
      </c>
      <c r="S34" s="34"/>
      <c r="T34" s="36"/>
      <c r="U34" s="41"/>
      <c r="V34" s="44"/>
      <c r="W34" s="47"/>
      <c r="X34" s="44"/>
      <c r="Y34" s="44"/>
      <c r="Z34" s="44"/>
      <c r="AA34" s="44"/>
      <c r="AB34" s="41"/>
      <c r="AC34" s="41"/>
      <c r="AD34" s="41"/>
      <c r="AE34" s="41"/>
      <c r="AF34" s="41"/>
      <c r="AG34" s="41"/>
      <c r="AH34" s="41"/>
    </row>
    <row r="35" spans="7:34" x14ac:dyDescent="0.2">
      <c r="G35" s="12"/>
      <c r="H35" s="12"/>
      <c r="K35" s="7"/>
      <c r="O35" s="25" t="s">
        <v>63</v>
      </c>
      <c r="P35" s="25" t="s">
        <v>64</v>
      </c>
      <c r="Q35" s="25" t="s">
        <v>65</v>
      </c>
      <c r="R35" s="25" t="s">
        <v>67</v>
      </c>
      <c r="S35" s="25" t="s">
        <v>66</v>
      </c>
      <c r="T35" s="37" t="s">
        <v>68</v>
      </c>
      <c r="U35" s="41"/>
      <c r="V35" s="44"/>
      <c r="W35" s="44"/>
      <c r="X35" s="44"/>
      <c r="Y35" s="44"/>
      <c r="Z35" s="44"/>
      <c r="AA35" s="44"/>
      <c r="AB35" s="41"/>
      <c r="AC35" s="41"/>
      <c r="AD35" s="41"/>
      <c r="AE35" s="41"/>
      <c r="AF35" s="41"/>
      <c r="AG35" s="41"/>
      <c r="AH35" s="41"/>
    </row>
    <row r="36" spans="7:34" x14ac:dyDescent="0.2">
      <c r="O36" s="2">
        <f>$H$13*O20*K6</f>
        <v>-3.2061560353344382E-4</v>
      </c>
      <c r="P36" s="2">
        <f>$H$13*P20*K6</f>
        <v>-6.3461182840429599E-4</v>
      </c>
      <c r="Q36" s="2">
        <f>$H$13*Q20*K6</f>
        <v>-9.3842410933450172E-4</v>
      </c>
      <c r="R36" s="2">
        <f>$H$13*O20*L6</f>
        <v>0</v>
      </c>
      <c r="S36" s="2">
        <f>$H$13*P20*L6</f>
        <v>0</v>
      </c>
      <c r="T36" s="38">
        <f>$H$13*Q20*L6</f>
        <v>0</v>
      </c>
      <c r="U36" s="41"/>
      <c r="V36" s="44"/>
      <c r="W36" s="44"/>
      <c r="X36" s="44"/>
      <c r="Y36" s="44"/>
      <c r="Z36" s="44"/>
      <c r="AA36" s="44"/>
      <c r="AB36" s="41"/>
      <c r="AC36" s="41"/>
      <c r="AD36" s="41"/>
      <c r="AE36" s="41"/>
      <c r="AF36" s="41"/>
      <c r="AG36" s="41"/>
      <c r="AH36" s="41"/>
    </row>
    <row r="37" spans="7:34" x14ac:dyDescent="0.2">
      <c r="G37" t="s">
        <v>97</v>
      </c>
      <c r="O37" s="11"/>
      <c r="P37" s="11"/>
      <c r="Q37" s="11"/>
      <c r="R37" s="11"/>
      <c r="S37" s="11"/>
      <c r="T37" s="39"/>
      <c r="U37" s="41"/>
      <c r="V37" s="44"/>
      <c r="W37" s="46"/>
      <c r="X37" s="46"/>
      <c r="Y37" s="46"/>
      <c r="Z37" s="46"/>
      <c r="AA37" s="44"/>
      <c r="AB37" s="41"/>
      <c r="AC37" s="41"/>
      <c r="AD37" s="41"/>
      <c r="AE37" s="41"/>
      <c r="AF37" s="41"/>
      <c r="AG37" s="41"/>
      <c r="AH37" s="41"/>
    </row>
    <row r="38" spans="7:34" x14ac:dyDescent="0.2">
      <c r="G38" s="32">
        <f>MIN($I$6:$I$9)+H32*(MAX($I$6:$I$9)-MIN($I$6:$I$9))</f>
        <v>1546.278372991</v>
      </c>
      <c r="O38" s="11"/>
      <c r="P38" s="11"/>
      <c r="Q38" s="11"/>
      <c r="R38" s="11"/>
      <c r="S38" s="11"/>
      <c r="T38" s="39"/>
      <c r="U38" s="41"/>
      <c r="V38" s="44"/>
      <c r="W38" s="48"/>
      <c r="X38" s="44"/>
      <c r="Y38" s="44"/>
      <c r="Z38" s="44"/>
      <c r="AA38" s="44"/>
      <c r="AB38" s="41"/>
      <c r="AC38" s="41"/>
      <c r="AD38" s="41"/>
      <c r="AE38" s="41"/>
      <c r="AF38" s="41"/>
      <c r="AG38" s="41"/>
      <c r="AH38" s="41"/>
    </row>
    <row r="39" spans="7:34" x14ac:dyDescent="0.2">
      <c r="G39" s="32">
        <f t="shared" ref="G39:G41" si="5">MIN($I$6:$I$9)+H33*(MAX($I$6:$I$9)-MIN($I$6:$I$9))</f>
        <v>1535</v>
      </c>
      <c r="O39" s="12"/>
      <c r="P39" s="12"/>
      <c r="Q39" s="12"/>
      <c r="R39" s="12"/>
      <c r="S39" s="12"/>
      <c r="T39" s="40"/>
      <c r="U39" s="41"/>
      <c r="V39" s="44"/>
      <c r="W39" s="48"/>
      <c r="X39" s="44"/>
      <c r="Y39" s="44"/>
      <c r="Z39" s="44"/>
      <c r="AA39" s="44"/>
      <c r="AB39" s="41"/>
      <c r="AC39" s="41"/>
      <c r="AD39" s="41"/>
      <c r="AE39" s="41"/>
      <c r="AF39" s="41"/>
      <c r="AG39" s="41"/>
      <c r="AH39" s="41"/>
    </row>
    <row r="40" spans="7:34" x14ac:dyDescent="0.2">
      <c r="G40" s="32">
        <f t="shared" si="5"/>
        <v>1535</v>
      </c>
      <c r="U40" s="41"/>
      <c r="V40" s="44"/>
      <c r="W40" s="48"/>
      <c r="X40" s="44"/>
      <c r="Y40" s="44"/>
      <c r="Z40" s="44"/>
      <c r="AA40" s="44"/>
      <c r="AB40" s="41"/>
      <c r="AC40" s="41"/>
      <c r="AD40" s="41"/>
      <c r="AE40" s="41"/>
      <c r="AF40" s="41"/>
      <c r="AG40" s="41"/>
      <c r="AH40" s="41"/>
    </row>
    <row r="41" spans="7:34" x14ac:dyDescent="0.2">
      <c r="G41" s="32">
        <f t="shared" si="5"/>
        <v>1535</v>
      </c>
      <c r="O41" t="s">
        <v>102</v>
      </c>
      <c r="P41">
        <f>$H$13*O20*G16</f>
        <v>-3.5947810093143703E-5</v>
      </c>
      <c r="U41" s="41"/>
      <c r="V41" s="44"/>
      <c r="W41" s="48"/>
      <c r="X41" s="44"/>
      <c r="Y41" s="44"/>
      <c r="Z41" s="44"/>
      <c r="AA41" s="44"/>
      <c r="AB41" s="41"/>
      <c r="AC41" s="41"/>
      <c r="AD41" s="41"/>
      <c r="AE41" s="41"/>
      <c r="AF41" s="41"/>
      <c r="AG41" s="41"/>
      <c r="AH41" s="41"/>
    </row>
    <row r="42" spans="7:34" x14ac:dyDescent="0.2">
      <c r="O42" t="s">
        <v>103</v>
      </c>
      <c r="P42">
        <f>$H$13*P20*G16</f>
        <v>-7.1153447427148338E-5</v>
      </c>
      <c r="U42" s="41"/>
      <c r="V42" s="44"/>
      <c r="W42" s="44"/>
      <c r="X42" s="44"/>
      <c r="Y42" s="44"/>
      <c r="Z42" s="44"/>
      <c r="AA42" s="44"/>
      <c r="AB42" s="41"/>
      <c r="AC42" s="41"/>
      <c r="AD42" s="41"/>
      <c r="AE42" s="41"/>
      <c r="AF42" s="41"/>
      <c r="AG42" s="41"/>
      <c r="AH42" s="41"/>
    </row>
    <row r="43" spans="7:34" x14ac:dyDescent="0.2">
      <c r="G43" t="s">
        <v>93</v>
      </c>
      <c r="H43">
        <f>(M6-H32)^2</f>
        <v>0.37166310394190805</v>
      </c>
      <c r="O43" t="s">
        <v>104</v>
      </c>
      <c r="P43">
        <f>$H$13*Q20*G16</f>
        <v>-1.0521724862235323E-4</v>
      </c>
      <c r="U43" s="41"/>
      <c r="V43" s="44"/>
      <c r="W43" s="44"/>
      <c r="X43" s="44"/>
      <c r="Y43" s="44"/>
      <c r="Z43" s="44"/>
      <c r="AA43" s="44"/>
      <c r="AB43" s="41"/>
      <c r="AC43" s="41"/>
      <c r="AD43" s="41"/>
      <c r="AE43" s="41"/>
      <c r="AF43" s="41"/>
      <c r="AG43" s="41"/>
      <c r="AH43" s="41"/>
    </row>
    <row r="44" spans="7:34" x14ac:dyDescent="0.2"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</row>
    <row r="45" spans="7:34" x14ac:dyDescent="0.2"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</row>
    <row r="46" spans="7:34" x14ac:dyDescent="0.2"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</row>
    <row r="47" spans="7:34" x14ac:dyDescent="0.2"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</row>
    <row r="48" spans="7:34" x14ac:dyDescent="0.2"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</row>
    <row r="49" spans="21:34" x14ac:dyDescent="0.2"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</row>
    <row r="50" spans="21:34" x14ac:dyDescent="0.2"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</row>
    <row r="51" spans="21:34" x14ac:dyDescent="0.2">
      <c r="U51" s="41"/>
      <c r="V51" s="41"/>
      <c r="W51" s="41"/>
      <c r="X51" s="43"/>
      <c r="Y51" s="41"/>
      <c r="Z51" s="41"/>
      <c r="AA51" s="41"/>
      <c r="AB51" s="41"/>
      <c r="AC51" s="41"/>
      <c r="AD51" s="41"/>
      <c r="AE51" s="41"/>
      <c r="AF51" s="41"/>
      <c r="AG51" s="41"/>
      <c r="AH51" s="41"/>
    </row>
    <row r="52" spans="21:34" x14ac:dyDescent="0.2"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</row>
    <row r="53" spans="21:34" x14ac:dyDescent="0.2"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</row>
  </sheetData>
  <mergeCells count="3">
    <mergeCell ref="AA19:AB19"/>
    <mergeCell ref="O34:Q34"/>
    <mergeCell ref="R34:T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</vt:lpstr>
      <vt:lpstr>Benerr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2020-08-03T06:10:05Z</dcterms:created>
  <dcterms:modified xsi:type="dcterms:W3CDTF">2020-08-05T14:18:52Z</dcterms:modified>
</cp:coreProperties>
</file>