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IT\hk6\SCM\"/>
    </mc:Choice>
  </mc:AlternateContent>
  <xr:revisionPtr revIDLastSave="0" documentId="13_ncr:1_{F0C5A218-A16C-40AA-B945-F7910C96EF99}" xr6:coauthVersionLast="47" xr6:coauthVersionMax="47" xr10:uidLastSave="{00000000-0000-0000-0000-000000000000}"/>
  <bookViews>
    <workbookView xWindow="-108" yWindow="-108" windowWidth="23256" windowHeight="12456" tabRatio="1000" firstSheet="5" activeTab="13" xr2:uid="{00000000-000D-0000-FFFF-FFFF00000000}"/>
  </bookViews>
  <sheets>
    <sheet name="Chi phí ban đầu" sheetId="2" r:id="rId1"/>
    <sheet name="Chi phí hằng tháng" sheetId="3" r:id="rId2"/>
    <sheet name="Nhân sự" sheetId="4" r:id="rId3"/>
    <sheet name="Sản phẩm" sheetId="5" r:id="rId4"/>
    <sheet name="Doanh thu, chi TB hàng tháng" sheetId="7" r:id="rId5"/>
    <sheet name="EOQ" sheetId="13" r:id="rId6"/>
    <sheet name="ELS" sheetId="12" r:id="rId7"/>
    <sheet name="Dự đoán doanh thu" sheetId="8" r:id="rId8"/>
    <sheet name="Dự đoán lỗ-lãi" sheetId="9" r:id="rId9"/>
    <sheet name="Điểm hòa vốn" sheetId="14" r:id="rId10"/>
    <sheet name="Hiệu quả nội bộ" sheetId="6" r:id="rId11"/>
    <sheet name="Dịch vụ khách hàng" sheetId="1" r:id="rId12"/>
    <sheet name="Linh hoạt đáp ứng nhu cầu" sheetId="10" r:id="rId13"/>
    <sheet name="Phát triển sản phẩm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2" i="11"/>
  <c r="A47" i="13"/>
  <c r="A44" i="13"/>
  <c r="A41" i="13"/>
  <c r="A38" i="13"/>
  <c r="A35" i="13"/>
  <c r="A29" i="13"/>
  <c r="A32" i="13"/>
  <c r="A26" i="13"/>
  <c r="Q38" i="7"/>
  <c r="Q34" i="7"/>
  <c r="Q19" i="7"/>
  <c r="Q20" i="7"/>
  <c r="Q17" i="7"/>
  <c r="Q12" i="7"/>
  <c r="Q7" i="7"/>
  <c r="Q3" i="7"/>
  <c r="A49" i="12"/>
  <c r="A46" i="12"/>
  <c r="A43" i="12"/>
  <c r="A40" i="12"/>
  <c r="A37" i="12"/>
  <c r="A34" i="12"/>
  <c r="A19" i="13"/>
  <c r="O59" i="7"/>
  <c r="A10" i="13"/>
  <c r="L35" i="5"/>
  <c r="O10" i="7"/>
  <c r="A16" i="13"/>
  <c r="A20" i="13"/>
  <c r="P2" i="7"/>
  <c r="N2" i="7"/>
  <c r="O2" i="7"/>
  <c r="M2" i="7"/>
  <c r="P52" i="7"/>
  <c r="Q52" i="7" s="1"/>
  <c r="P54" i="7"/>
  <c r="Q54" i="7" s="1"/>
  <c r="P58" i="7"/>
  <c r="Q58" i="7" s="1"/>
  <c r="P59" i="7"/>
  <c r="Q59" i="7" s="1"/>
  <c r="P60" i="7"/>
  <c r="Q60" i="7" s="1"/>
  <c r="P63" i="7"/>
  <c r="Q63" i="7" s="1"/>
  <c r="C20" i="13" s="1"/>
  <c r="F20" i="13" s="1"/>
  <c r="P64" i="7"/>
  <c r="Q64" i="7" s="1"/>
  <c r="P65" i="7"/>
  <c r="Q65" i="7" s="1"/>
  <c r="O65" i="7"/>
  <c r="O51" i="7"/>
  <c r="O52" i="7"/>
  <c r="O53" i="7"/>
  <c r="O54" i="7"/>
  <c r="O55" i="7"/>
  <c r="O56" i="7"/>
  <c r="O58" i="7"/>
  <c r="O60" i="7"/>
  <c r="O63" i="7"/>
  <c r="O64" i="7"/>
  <c r="M52" i="5"/>
  <c r="O52" i="5" s="1"/>
  <c r="M53" i="5"/>
  <c r="O53" i="5" s="1"/>
  <c r="M54" i="5"/>
  <c r="O54" i="5" s="1"/>
  <c r="M55" i="5"/>
  <c r="P55" i="7" s="1"/>
  <c r="Q55" i="7" s="1"/>
  <c r="M51" i="5"/>
  <c r="P51" i="7" s="1"/>
  <c r="Q51" i="7" s="1"/>
  <c r="P4" i="7"/>
  <c r="Q4" i="7" s="1"/>
  <c r="P5" i="7"/>
  <c r="Q5" i="7" s="1"/>
  <c r="P6" i="7"/>
  <c r="Q6" i="7" s="1"/>
  <c r="P7" i="7"/>
  <c r="P10" i="7"/>
  <c r="Q10" i="7" s="1"/>
  <c r="P11" i="7"/>
  <c r="Q11" i="7" s="1"/>
  <c r="P12" i="7"/>
  <c r="P13" i="7"/>
  <c r="Q13" i="7" s="1"/>
  <c r="P14" i="7"/>
  <c r="Q14" i="7" s="1"/>
  <c r="P17" i="7"/>
  <c r="P18" i="7"/>
  <c r="Q18" i="7" s="1"/>
  <c r="P19" i="7"/>
  <c r="P20" i="7"/>
  <c r="P21" i="7"/>
  <c r="Q21" i="7" s="1"/>
  <c r="P24" i="7"/>
  <c r="Q24" i="7" s="1"/>
  <c r="P25" i="7"/>
  <c r="Q25" i="7" s="1"/>
  <c r="P26" i="7"/>
  <c r="Q26" i="7" s="1"/>
  <c r="P27" i="7"/>
  <c r="Q27" i="7" s="1"/>
  <c r="P28" i="7"/>
  <c r="Q28" i="7" s="1"/>
  <c r="P32" i="7"/>
  <c r="Q32" i="7" s="1"/>
  <c r="P33" i="7"/>
  <c r="Q33" i="7" s="1"/>
  <c r="P34" i="7"/>
  <c r="P35" i="7"/>
  <c r="Q35" i="7" s="1"/>
  <c r="P38" i="7"/>
  <c r="P39" i="7"/>
  <c r="Q39" i="7" s="1"/>
  <c r="P40" i="7"/>
  <c r="Q40" i="7" s="1"/>
  <c r="P41" i="7"/>
  <c r="Q41" i="7" s="1"/>
  <c r="P44" i="7"/>
  <c r="Q44" i="7" s="1"/>
  <c r="P45" i="7"/>
  <c r="Q45" i="7" s="1"/>
  <c r="P46" i="7"/>
  <c r="Q46" i="7" s="1"/>
  <c r="P47" i="7"/>
  <c r="Q47" i="7" s="1"/>
  <c r="P48" i="7"/>
  <c r="Q48" i="7" s="1"/>
  <c r="P3" i="7"/>
  <c r="O4" i="7"/>
  <c r="O5" i="7"/>
  <c r="O6" i="7"/>
  <c r="O7" i="7"/>
  <c r="O8" i="7"/>
  <c r="O11" i="7"/>
  <c r="O12" i="7"/>
  <c r="O13" i="7"/>
  <c r="O14" i="7"/>
  <c r="O15" i="7"/>
  <c r="O17" i="7"/>
  <c r="O18" i="7"/>
  <c r="O19" i="7"/>
  <c r="O20" i="7"/>
  <c r="O21" i="7"/>
  <c r="O22" i="7"/>
  <c r="O24" i="7"/>
  <c r="O25" i="7"/>
  <c r="O26" i="7"/>
  <c r="O27" i="7"/>
  <c r="O28" i="7"/>
  <c r="O29" i="7"/>
  <c r="O32" i="7"/>
  <c r="O33" i="7"/>
  <c r="O34" i="7"/>
  <c r="O35" i="7"/>
  <c r="O36" i="7"/>
  <c r="O38" i="7"/>
  <c r="O39" i="7"/>
  <c r="O40" i="7"/>
  <c r="O41" i="7"/>
  <c r="O42" i="7"/>
  <c r="O44" i="7"/>
  <c r="O45" i="7"/>
  <c r="O46" i="7"/>
  <c r="O47" i="7"/>
  <c r="O48" i="7"/>
  <c r="O49" i="7"/>
  <c r="O3" i="7"/>
  <c r="D65" i="7"/>
  <c r="C65" i="7"/>
  <c r="C44" i="7"/>
  <c r="D20" i="7"/>
  <c r="F20" i="7" s="1"/>
  <c r="C20" i="7"/>
  <c r="B20" i="7"/>
  <c r="B44" i="7" s="1"/>
  <c r="D10" i="7"/>
  <c r="F10" i="7" s="1"/>
  <c r="B10" i="7"/>
  <c r="B34" i="7" s="1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10" i="13"/>
  <c r="A11" i="13"/>
  <c r="A12" i="13"/>
  <c r="A13" i="13"/>
  <c r="A14" i="13"/>
  <c r="A15" i="13"/>
  <c r="A17" i="13"/>
  <c r="A18" i="13"/>
  <c r="A21" i="13"/>
  <c r="A22" i="13"/>
  <c r="A23" i="13"/>
  <c r="N9" i="13"/>
  <c r="D8" i="13" s="1"/>
  <c r="M66" i="5"/>
  <c r="C9" i="5" s="1"/>
  <c r="M61" i="5"/>
  <c r="M49" i="5"/>
  <c r="C12" i="5" s="1"/>
  <c r="M42" i="5"/>
  <c r="C11" i="5" s="1"/>
  <c r="O34" i="5"/>
  <c r="M36" i="5"/>
  <c r="P36" i="7" s="1"/>
  <c r="M29" i="5"/>
  <c r="P29" i="7" s="1"/>
  <c r="M22" i="5"/>
  <c r="P22" i="7" s="1"/>
  <c r="M15" i="5"/>
  <c r="P15" i="7" s="1"/>
  <c r="M8" i="5"/>
  <c r="P8" i="7" s="1"/>
  <c r="J3" i="7"/>
  <c r="D16" i="8" s="1"/>
  <c r="A23" i="7"/>
  <c r="C2" i="12"/>
  <c r="H6" i="3"/>
  <c r="I5" i="3" s="1"/>
  <c r="C9" i="3"/>
  <c r="F8" i="4"/>
  <c r="F6" i="4"/>
  <c r="E2" i="13"/>
  <c r="O58" i="5"/>
  <c r="O59" i="5"/>
  <c r="D2" i="8" l="1"/>
  <c r="D27" i="8"/>
  <c r="C22" i="13"/>
  <c r="F22" i="13" s="1"/>
  <c r="D13" i="8"/>
  <c r="D26" i="8"/>
  <c r="D10" i="8"/>
  <c r="D24" i="8"/>
  <c r="C17" i="13"/>
  <c r="F17" i="13" s="1"/>
  <c r="D9" i="8"/>
  <c r="D23" i="8"/>
  <c r="C18" i="13"/>
  <c r="F18" i="13" s="1"/>
  <c r="C10" i="13"/>
  <c r="F10" i="13" s="1"/>
  <c r="D8" i="8"/>
  <c r="D22" i="8"/>
  <c r="D11" i="8"/>
  <c r="D25" i="8"/>
  <c r="C14" i="13"/>
  <c r="F14" i="13" s="1"/>
  <c r="D7" i="8"/>
  <c r="D21" i="8"/>
  <c r="C23" i="13"/>
  <c r="F23" i="13" s="1"/>
  <c r="C21" i="13"/>
  <c r="F21" i="13" s="1"/>
  <c r="C15" i="13"/>
  <c r="F15" i="13" s="1"/>
  <c r="C19" i="13"/>
  <c r="F19" i="13" s="1"/>
  <c r="D6" i="8"/>
  <c r="D20" i="8"/>
  <c r="C12" i="13"/>
  <c r="F12" i="13" s="1"/>
  <c r="D5" i="8"/>
  <c r="D19" i="8"/>
  <c r="C16" i="13"/>
  <c r="F16" i="13" s="1"/>
  <c r="C13" i="13"/>
  <c r="F13" i="13" s="1"/>
  <c r="C11" i="13"/>
  <c r="F11" i="13" s="1"/>
  <c r="D4" i="8"/>
  <c r="D18" i="8"/>
  <c r="D3" i="8"/>
  <c r="D17" i="8"/>
  <c r="D12" i="8"/>
  <c r="G14" i="11"/>
  <c r="D28" i="8"/>
  <c r="B1" i="11" s="1"/>
  <c r="D7" i="13"/>
  <c r="D5" i="13"/>
  <c r="D6" i="13"/>
  <c r="D4" i="13"/>
  <c r="D3" i="13"/>
  <c r="D2" i="13"/>
  <c r="D9" i="13"/>
  <c r="P53" i="7"/>
  <c r="Q53" i="7" s="1"/>
  <c r="O51" i="5"/>
  <c r="O55" i="5"/>
  <c r="M56" i="5"/>
  <c r="P56" i="7" s="1"/>
  <c r="Q56" i="7" s="1"/>
  <c r="C14" i="5"/>
  <c r="C3" i="5"/>
  <c r="C6" i="5"/>
  <c r="C10" i="5"/>
  <c r="C10" i="7" s="1"/>
  <c r="C4" i="5"/>
  <c r="P42" i="7"/>
  <c r="C5" i="5"/>
  <c r="C8" i="5"/>
  <c r="P49" i="7"/>
  <c r="D14" i="8" l="1"/>
  <c r="O56" i="5"/>
  <c r="C7" i="5"/>
  <c r="C13" i="5"/>
  <c r="J11" i="13"/>
  <c r="J12" i="13"/>
  <c r="J13" i="13"/>
  <c r="J14" i="13"/>
  <c r="J15" i="13"/>
  <c r="J16" i="13"/>
  <c r="J17" i="13"/>
  <c r="J18" i="13"/>
  <c r="J19" i="13"/>
  <c r="J20" i="13"/>
  <c r="J21" i="13"/>
  <c r="J10" i="13"/>
  <c r="C9" i="13"/>
  <c r="C8" i="13"/>
  <c r="C7" i="13"/>
  <c r="C6" i="13"/>
  <c r="C5" i="13"/>
  <c r="C4" i="13"/>
  <c r="C3" i="13"/>
  <c r="C2" i="13"/>
  <c r="E9" i="13"/>
  <c r="E8" i="13"/>
  <c r="E7" i="13"/>
  <c r="E6" i="13"/>
  <c r="E5" i="13"/>
  <c r="E4" i="13"/>
  <c r="E3" i="13"/>
  <c r="Q7" i="12"/>
  <c r="Q6" i="12"/>
  <c r="O3" i="12"/>
  <c r="Q3" i="12" s="1"/>
  <c r="Q4" i="12"/>
  <c r="Q5" i="12"/>
  <c r="Q8" i="12"/>
  <c r="O63" i="5"/>
  <c r="O65" i="5"/>
  <c r="O64" i="5"/>
  <c r="O60" i="5"/>
  <c r="O48" i="5"/>
  <c r="O47" i="5"/>
  <c r="O46" i="5"/>
  <c r="O45" i="5"/>
  <c r="O44" i="5"/>
  <c r="O39" i="5"/>
  <c r="O40" i="5"/>
  <c r="O41" i="5"/>
  <c r="O38" i="5"/>
  <c r="O33" i="5"/>
  <c r="O35" i="5"/>
  <c r="O32" i="5"/>
  <c r="O25" i="5"/>
  <c r="O26" i="5"/>
  <c r="O27" i="5"/>
  <c r="O28" i="5"/>
  <c r="O24" i="5"/>
  <c r="O17" i="5"/>
  <c r="O19" i="5"/>
  <c r="O20" i="5"/>
  <c r="O21" i="5"/>
  <c r="O18" i="5"/>
  <c r="O11" i="5"/>
  <c r="O12" i="5"/>
  <c r="O13" i="5"/>
  <c r="O14" i="5"/>
  <c r="O10" i="5"/>
  <c r="O4" i="5"/>
  <c r="O5" i="5"/>
  <c r="O6" i="5"/>
  <c r="O7" i="5"/>
  <c r="O3" i="5"/>
  <c r="F20" i="5"/>
  <c r="C6" i="14"/>
  <c r="F4" i="4"/>
  <c r="D17" i="2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4" i="14"/>
  <c r="A3" i="12"/>
  <c r="A4" i="12"/>
  <c r="A22" i="12" s="1"/>
  <c r="A5" i="12"/>
  <c r="A6" i="12"/>
  <c r="A28" i="12" s="1"/>
  <c r="A7" i="12"/>
  <c r="A31" i="12" s="1"/>
  <c r="A8" i="12"/>
  <c r="A9" i="12"/>
  <c r="A10" i="12"/>
  <c r="A11" i="12"/>
  <c r="A12" i="12"/>
  <c r="A13" i="12"/>
  <c r="A2" i="12"/>
  <c r="A16" i="12" s="1"/>
  <c r="D4" i="7"/>
  <c r="D5" i="7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1" i="7"/>
  <c r="D22" i="7"/>
  <c r="D3" i="7"/>
  <c r="C4" i="7"/>
  <c r="C5" i="7"/>
  <c r="C6" i="7"/>
  <c r="C7" i="7"/>
  <c r="C8" i="7"/>
  <c r="C9" i="7"/>
  <c r="C11" i="7"/>
  <c r="C12" i="7"/>
  <c r="C13" i="7"/>
  <c r="C14" i="7"/>
  <c r="C15" i="7"/>
  <c r="C16" i="7"/>
  <c r="C17" i="7"/>
  <c r="C18" i="7"/>
  <c r="C19" i="7"/>
  <c r="C21" i="7"/>
  <c r="C22" i="7"/>
  <c r="C3" i="7"/>
  <c r="B4" i="7"/>
  <c r="B28" i="7" s="1"/>
  <c r="B5" i="7"/>
  <c r="B29" i="7" s="1"/>
  <c r="B6" i="7"/>
  <c r="B30" i="7" s="1"/>
  <c r="B7" i="7"/>
  <c r="B31" i="7" s="1"/>
  <c r="B8" i="7"/>
  <c r="B32" i="7" s="1"/>
  <c r="B9" i="7"/>
  <c r="B33" i="7" s="1"/>
  <c r="B11" i="7"/>
  <c r="B35" i="7" s="1"/>
  <c r="B12" i="7"/>
  <c r="B36" i="7" s="1"/>
  <c r="B13" i="7"/>
  <c r="B37" i="7" s="1"/>
  <c r="B14" i="7"/>
  <c r="B38" i="7" s="1"/>
  <c r="B15" i="7"/>
  <c r="B39" i="7" s="1"/>
  <c r="B16" i="7"/>
  <c r="B40" i="7" s="1"/>
  <c r="B17" i="7"/>
  <c r="B41" i="7" s="1"/>
  <c r="B18" i="7"/>
  <c r="B42" i="7" s="1"/>
  <c r="B19" i="7"/>
  <c r="B43" i="7" s="1"/>
  <c r="B21" i="7"/>
  <c r="B45" i="7" s="1"/>
  <c r="B22" i="7"/>
  <c r="B46" i="7" s="1"/>
  <c r="B3" i="7"/>
  <c r="B2" i="13"/>
  <c r="B3" i="13"/>
  <c r="B4" i="13"/>
  <c r="B5" i="13"/>
  <c r="B6" i="13"/>
  <c r="B7" i="13"/>
  <c r="B8" i="13"/>
  <c r="B9" i="13"/>
  <c r="A2" i="13"/>
  <c r="A3" i="13"/>
  <c r="A4" i="13"/>
  <c r="A5" i="13"/>
  <c r="A6" i="13"/>
  <c r="A7" i="13"/>
  <c r="A8" i="13"/>
  <c r="A9" i="13"/>
  <c r="F5" i="13" l="1"/>
  <c r="B36" i="13" s="1"/>
  <c r="F7" i="13"/>
  <c r="B42" i="13" s="1"/>
  <c r="F8" i="13"/>
  <c r="B45" i="13" s="1"/>
  <c r="F9" i="13"/>
  <c r="B48" i="13" s="1"/>
  <c r="F2" i="13"/>
  <c r="B27" i="13" s="1"/>
  <c r="F3" i="13"/>
  <c r="B30" i="13" s="1"/>
  <c r="F6" i="13"/>
  <c r="B39" i="13" s="1"/>
  <c r="F4" i="13"/>
  <c r="B33" i="13" s="1"/>
  <c r="B27" i="7"/>
  <c r="I10" i="13"/>
  <c r="A25" i="12"/>
  <c r="A19" i="12"/>
  <c r="G11" i="13"/>
  <c r="H11" i="13" s="1"/>
  <c r="G21" i="13"/>
  <c r="H21" i="13" s="1"/>
  <c r="G15" i="13"/>
  <c r="H15" i="13" s="1"/>
  <c r="O8" i="5"/>
  <c r="D3" i="5" s="1"/>
  <c r="O15" i="5"/>
  <c r="D5" i="5" s="1"/>
  <c r="D4" i="12" s="1"/>
  <c r="D29" i="7" s="1"/>
  <c r="O22" i="5"/>
  <c r="D4" i="5" s="1"/>
  <c r="D3" i="12" s="1"/>
  <c r="D28" i="7" s="1"/>
  <c r="I21" i="13"/>
  <c r="I19" i="13"/>
  <c r="I18" i="13"/>
  <c r="I15" i="13"/>
  <c r="O42" i="5"/>
  <c r="D11" i="5" s="1"/>
  <c r="D10" i="12" s="1"/>
  <c r="D35" i="7" s="1"/>
  <c r="I20" i="13"/>
  <c r="I17" i="13"/>
  <c r="I16" i="13"/>
  <c r="O36" i="5"/>
  <c r="D10" i="5" s="1"/>
  <c r="I14" i="13"/>
  <c r="I13" i="13"/>
  <c r="I12" i="13"/>
  <c r="I11" i="13"/>
  <c r="O49" i="5"/>
  <c r="C3" i="12"/>
  <c r="C4" i="12"/>
  <c r="C5" i="12"/>
  <c r="C7" i="12"/>
  <c r="C9" i="12"/>
  <c r="C10" i="12"/>
  <c r="C11" i="12"/>
  <c r="C12" i="12"/>
  <c r="C8" i="12"/>
  <c r="C13" i="12"/>
  <c r="C6" i="12"/>
  <c r="O66" i="5"/>
  <c r="D9" i="5" s="1"/>
  <c r="D8" i="12" s="1"/>
  <c r="D33" i="7" s="1"/>
  <c r="O61" i="5"/>
  <c r="D8" i="5" s="1"/>
  <c r="D7" i="12" s="1"/>
  <c r="D32" i="7" s="1"/>
  <c r="O29" i="5"/>
  <c r="D6" i="5" s="1"/>
  <c r="D5" i="12" s="1"/>
  <c r="D30" i="7" s="1"/>
  <c r="G6" i="7" s="1"/>
  <c r="B3" i="12"/>
  <c r="B4" i="12"/>
  <c r="B5" i="12"/>
  <c r="B6" i="12"/>
  <c r="B7" i="12"/>
  <c r="B8" i="12"/>
  <c r="B9" i="12"/>
  <c r="B10" i="12"/>
  <c r="B11" i="12"/>
  <c r="B12" i="12"/>
  <c r="B13" i="12"/>
  <c r="B2" i="12"/>
  <c r="C5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4" i="14"/>
  <c r="G4" i="13" l="1"/>
  <c r="H4" i="13" s="1"/>
  <c r="G3" i="13"/>
  <c r="H3" i="13" s="1"/>
  <c r="G2" i="13"/>
  <c r="H2" i="13" s="1"/>
  <c r="G9" i="13"/>
  <c r="H9" i="13" s="1"/>
  <c r="G7" i="13"/>
  <c r="H7" i="13" s="1"/>
  <c r="G5" i="13"/>
  <c r="H5" i="13" s="1"/>
  <c r="G6" i="13"/>
  <c r="H6" i="13" s="1"/>
  <c r="B31" i="13"/>
  <c r="B28" i="13"/>
  <c r="B49" i="13"/>
  <c r="B46" i="13"/>
  <c r="G8" i="13"/>
  <c r="H8" i="13" s="1"/>
  <c r="B34" i="13"/>
  <c r="B43" i="13"/>
  <c r="B40" i="13"/>
  <c r="B37" i="13"/>
  <c r="C34" i="7"/>
  <c r="D9" i="12"/>
  <c r="D34" i="7" s="1"/>
  <c r="F10" i="5"/>
  <c r="D12" i="5"/>
  <c r="D11" i="12" s="1"/>
  <c r="D36" i="7" s="1"/>
  <c r="D14" i="5"/>
  <c r="D13" i="12" s="1"/>
  <c r="D38" i="7" s="1"/>
  <c r="D7" i="5"/>
  <c r="D6" i="12" s="1"/>
  <c r="D31" i="7" s="1"/>
  <c r="D2" i="12"/>
  <c r="D27" i="7" s="1"/>
  <c r="G2" i="12"/>
  <c r="G20" i="13"/>
  <c r="H20" i="13" s="1"/>
  <c r="G18" i="13"/>
  <c r="H18" i="13" s="1"/>
  <c r="G19" i="13"/>
  <c r="H19" i="13" s="1"/>
  <c r="G14" i="13"/>
  <c r="H14" i="13" s="1"/>
  <c r="G13" i="13"/>
  <c r="H13" i="13" s="1"/>
  <c r="G22" i="13"/>
  <c r="H22" i="13" s="1"/>
  <c r="G10" i="13"/>
  <c r="H10" i="13" s="1"/>
  <c r="G12" i="13"/>
  <c r="H12" i="13" s="1"/>
  <c r="G17" i="13"/>
  <c r="H17" i="13" s="1"/>
  <c r="G16" i="13"/>
  <c r="H16" i="13" s="1"/>
  <c r="G23" i="13"/>
  <c r="H23" i="13" s="1"/>
  <c r="G3" i="12"/>
  <c r="G4" i="12"/>
  <c r="G5" i="12"/>
  <c r="G6" i="12"/>
  <c r="G7" i="12"/>
  <c r="G8" i="12"/>
  <c r="G9" i="12"/>
  <c r="G10" i="12"/>
  <c r="G11" i="12"/>
  <c r="G12" i="12"/>
  <c r="G13" i="12"/>
  <c r="F3" i="12"/>
  <c r="F4" i="12"/>
  <c r="F5" i="12"/>
  <c r="F7" i="12"/>
  <c r="F8" i="12"/>
  <c r="F10" i="12"/>
  <c r="C51" i="7"/>
  <c r="C52" i="7" s="1"/>
  <c r="C28" i="7"/>
  <c r="C29" i="7"/>
  <c r="C30" i="7"/>
  <c r="C31" i="7"/>
  <c r="C32" i="7"/>
  <c r="C33" i="7"/>
  <c r="C35" i="7"/>
  <c r="C36" i="7"/>
  <c r="C38" i="7"/>
  <c r="C39" i="7"/>
  <c r="D39" i="7" s="1"/>
  <c r="C40" i="7"/>
  <c r="D40" i="7" s="1"/>
  <c r="G16" i="7" s="1"/>
  <c r="C41" i="7"/>
  <c r="D41" i="7" s="1"/>
  <c r="C42" i="7"/>
  <c r="D42" i="7" s="1"/>
  <c r="C43" i="7"/>
  <c r="D43" i="7" s="1"/>
  <c r="D44" i="7"/>
  <c r="C45" i="7"/>
  <c r="D45" i="7" s="1"/>
  <c r="C46" i="7"/>
  <c r="D46" i="7" s="1"/>
  <c r="C27" i="7"/>
  <c r="F11" i="7"/>
  <c r="D12" i="14" s="1"/>
  <c r="F9" i="7"/>
  <c r="D10" i="14" s="1"/>
  <c r="F6" i="7"/>
  <c r="D7" i="14" s="1"/>
  <c r="F5" i="7"/>
  <c r="D6" i="14" s="1"/>
  <c r="F3" i="7"/>
  <c r="D4" i="14" s="1"/>
  <c r="F12" i="7"/>
  <c r="D13" i="14" s="1"/>
  <c r="F13" i="7"/>
  <c r="D14" i="14" s="1"/>
  <c r="F14" i="7"/>
  <c r="D15" i="14" s="1"/>
  <c r="F15" i="7"/>
  <c r="D16" i="14" s="1"/>
  <c r="F16" i="7"/>
  <c r="D17" i="14" s="1"/>
  <c r="F17" i="7"/>
  <c r="D18" i="14" s="1"/>
  <c r="F18" i="7"/>
  <c r="D19" i="14" s="1"/>
  <c r="F19" i="7"/>
  <c r="D20" i="14" s="1"/>
  <c r="D21" i="14"/>
  <c r="F21" i="7"/>
  <c r="D22" i="14" s="1"/>
  <c r="F22" i="7"/>
  <c r="D23" i="14" s="1"/>
  <c r="B7" i="1"/>
  <c r="B6" i="1"/>
  <c r="B11" i="1" s="1"/>
  <c r="B4" i="1"/>
  <c r="B18" i="1"/>
  <c r="B17" i="1"/>
  <c r="B14" i="1"/>
  <c r="B25" i="1"/>
  <c r="B24" i="1"/>
  <c r="F22" i="5"/>
  <c r="F19" i="5"/>
  <c r="F21" i="5"/>
  <c r="F4" i="5"/>
  <c r="F5" i="5"/>
  <c r="F6" i="5"/>
  <c r="F7" i="5"/>
  <c r="F8" i="5"/>
  <c r="F9" i="5"/>
  <c r="F11" i="5"/>
  <c r="F12" i="5"/>
  <c r="F14" i="5"/>
  <c r="F15" i="5"/>
  <c r="F16" i="5"/>
  <c r="F17" i="5"/>
  <c r="F18" i="5"/>
  <c r="F3" i="5"/>
  <c r="D19" i="2"/>
  <c r="D13" i="2"/>
  <c r="D12" i="2"/>
  <c r="D8" i="2"/>
  <c r="D20" i="2" s="1"/>
  <c r="C60" i="7" s="1"/>
  <c r="F3" i="4"/>
  <c r="H4" i="4" s="1"/>
  <c r="F5" i="4"/>
  <c r="H7" i="4" s="1"/>
  <c r="F7" i="4"/>
  <c r="D7" i="2"/>
  <c r="D15" i="2"/>
  <c r="D14" i="2"/>
  <c r="D9" i="2"/>
  <c r="C33" i="13" l="1"/>
  <c r="C45" i="13"/>
  <c r="C36" i="13"/>
  <c r="C48" i="13"/>
  <c r="F6" i="12"/>
  <c r="H6" i="12" s="1"/>
  <c r="B29" i="12" s="1"/>
  <c r="B30" i="12" s="1"/>
  <c r="C27" i="13"/>
  <c r="C39" i="13"/>
  <c r="C42" i="13"/>
  <c r="C30" i="13"/>
  <c r="F9" i="12"/>
  <c r="H9" i="12" s="1"/>
  <c r="F11" i="12"/>
  <c r="H11" i="12" s="1"/>
  <c r="F13" i="12"/>
  <c r="H13" i="12" s="1"/>
  <c r="D13" i="5"/>
  <c r="H7" i="12"/>
  <c r="H4" i="12"/>
  <c r="B23" i="12" s="1"/>
  <c r="H3" i="12"/>
  <c r="B20" i="12" s="1"/>
  <c r="B21" i="12" s="1"/>
  <c r="C20" i="12" s="1"/>
  <c r="C21" i="12" s="1"/>
  <c r="D20" i="12" s="1"/>
  <c r="D21" i="12" s="1"/>
  <c r="E20" i="12" s="1"/>
  <c r="E21" i="12" s="1"/>
  <c r="F20" i="12" s="1"/>
  <c r="F21" i="12" s="1"/>
  <c r="G20" i="12" s="1"/>
  <c r="G21" i="12" s="1"/>
  <c r="H20" i="12" s="1"/>
  <c r="H21" i="12" s="1"/>
  <c r="I20" i="12" s="1"/>
  <c r="I21" i="12" s="1"/>
  <c r="J20" i="12" s="1"/>
  <c r="H10" i="12"/>
  <c r="H8" i="12"/>
  <c r="H5" i="12"/>
  <c r="B26" i="12" s="1"/>
  <c r="B18" i="14"/>
  <c r="E18" i="14" s="1"/>
  <c r="F18" i="14" s="1"/>
  <c r="G18" i="14" s="1"/>
  <c r="G17" i="7"/>
  <c r="H17" i="7" s="1"/>
  <c r="G20" i="7"/>
  <c r="H20" i="7" s="1"/>
  <c r="B21" i="14"/>
  <c r="E21" i="14" s="1"/>
  <c r="F21" i="14" s="1"/>
  <c r="G21" i="14" s="1"/>
  <c r="B20" i="14"/>
  <c r="E20" i="14" s="1"/>
  <c r="F20" i="14" s="1"/>
  <c r="G20" i="14" s="1"/>
  <c r="G19" i="7"/>
  <c r="H19" i="7" s="1"/>
  <c r="H16" i="7"/>
  <c r="B17" i="14"/>
  <c r="E17" i="14" s="1"/>
  <c r="F17" i="14" s="1"/>
  <c r="G17" i="14" s="1"/>
  <c r="B19" i="14"/>
  <c r="E19" i="14" s="1"/>
  <c r="F19" i="14" s="1"/>
  <c r="G19" i="14" s="1"/>
  <c r="G18" i="7"/>
  <c r="H18" i="7" s="1"/>
  <c r="G15" i="7"/>
  <c r="H15" i="7" s="1"/>
  <c r="B16" i="14"/>
  <c r="E16" i="14" s="1"/>
  <c r="F16" i="14" s="1"/>
  <c r="G16" i="14" s="1"/>
  <c r="B23" i="14"/>
  <c r="E23" i="14" s="1"/>
  <c r="F23" i="14" s="1"/>
  <c r="G23" i="14" s="1"/>
  <c r="G22" i="7"/>
  <c r="H22" i="7" s="1"/>
  <c r="B22" i="14"/>
  <c r="E22" i="14" s="1"/>
  <c r="F22" i="14" s="1"/>
  <c r="G22" i="14" s="1"/>
  <c r="G21" i="7"/>
  <c r="H21" i="7" s="1"/>
  <c r="G7" i="7"/>
  <c r="H7" i="7" s="1"/>
  <c r="B8" i="14"/>
  <c r="E8" i="14" s="1"/>
  <c r="F8" i="14" s="1"/>
  <c r="G4" i="7"/>
  <c r="H4" i="7" s="1"/>
  <c r="B5" i="14"/>
  <c r="E5" i="14" s="1"/>
  <c r="F5" i="14" s="1"/>
  <c r="B15" i="14"/>
  <c r="E15" i="14" s="1"/>
  <c r="F15" i="14" s="1"/>
  <c r="G15" i="14" s="1"/>
  <c r="G14" i="7"/>
  <c r="H14" i="7" s="1"/>
  <c r="G8" i="7"/>
  <c r="H8" i="7" s="1"/>
  <c r="B9" i="14"/>
  <c r="E9" i="14" s="1"/>
  <c r="F9" i="14" s="1"/>
  <c r="G5" i="7"/>
  <c r="H5" i="7" s="1"/>
  <c r="B6" i="14"/>
  <c r="E6" i="14" s="1"/>
  <c r="F6" i="14" s="1"/>
  <c r="G6" i="14" s="1"/>
  <c r="B13" i="14"/>
  <c r="E13" i="14" s="1"/>
  <c r="F13" i="14" s="1"/>
  <c r="G13" i="14" s="1"/>
  <c r="G12" i="7"/>
  <c r="H12" i="7" s="1"/>
  <c r="B12" i="14"/>
  <c r="E12" i="14" s="1"/>
  <c r="F12" i="14" s="1"/>
  <c r="G12" i="14" s="1"/>
  <c r="G11" i="7"/>
  <c r="H11" i="7" s="1"/>
  <c r="B10" i="14"/>
  <c r="E10" i="14" s="1"/>
  <c r="F10" i="14" s="1"/>
  <c r="G10" i="14" s="1"/>
  <c r="G9" i="7"/>
  <c r="H9" i="7" s="1"/>
  <c r="G3" i="7"/>
  <c r="H3" i="7" s="1"/>
  <c r="B4" i="14"/>
  <c r="E4" i="14" s="1"/>
  <c r="F4" i="14" s="1"/>
  <c r="G4" i="14" s="1"/>
  <c r="F2" i="12"/>
  <c r="C53" i="7"/>
  <c r="D51" i="7" s="1"/>
  <c r="D52" i="7"/>
  <c r="F7" i="7"/>
  <c r="D8" i="14" s="1"/>
  <c r="F8" i="7"/>
  <c r="D9" i="14" s="1"/>
  <c r="F4" i="7"/>
  <c r="D11" i="14"/>
  <c r="B12" i="1"/>
  <c r="B22" i="1" s="1"/>
  <c r="B13" i="1"/>
  <c r="B16" i="1"/>
  <c r="D5" i="14" l="1"/>
  <c r="H2" i="11"/>
  <c r="H11" i="11"/>
  <c r="H3" i="11"/>
  <c r="H4" i="11"/>
  <c r="H5" i="11"/>
  <c r="H6" i="11"/>
  <c r="H7" i="11"/>
  <c r="H8" i="11"/>
  <c r="H9" i="11"/>
  <c r="H10" i="11"/>
  <c r="H12" i="11"/>
  <c r="H13" i="11"/>
  <c r="I11" i="12"/>
  <c r="B44" i="12"/>
  <c r="I9" i="12"/>
  <c r="B38" i="12"/>
  <c r="C40" i="13"/>
  <c r="C28" i="13"/>
  <c r="I13" i="12"/>
  <c r="B50" i="12"/>
  <c r="C49" i="13"/>
  <c r="I8" i="12"/>
  <c r="B35" i="12"/>
  <c r="C37" i="13"/>
  <c r="I10" i="12"/>
  <c r="B41" i="12"/>
  <c r="C31" i="13"/>
  <c r="C46" i="13"/>
  <c r="C43" i="13"/>
  <c r="C34" i="13"/>
  <c r="I7" i="12"/>
  <c r="B32" i="12"/>
  <c r="B33" i="12" s="1"/>
  <c r="D12" i="12"/>
  <c r="F13" i="5"/>
  <c r="C37" i="7"/>
  <c r="I6" i="12"/>
  <c r="I3" i="12"/>
  <c r="I5" i="12"/>
  <c r="G9" i="14"/>
  <c r="I4" i="12"/>
  <c r="C29" i="12"/>
  <c r="H2" i="12"/>
  <c r="B27" i="12"/>
  <c r="C26" i="12" s="1"/>
  <c r="C27" i="12" s="1"/>
  <c r="G8" i="14"/>
  <c r="G5" i="14"/>
  <c r="B11" i="14"/>
  <c r="E11" i="14" s="1"/>
  <c r="F11" i="14" s="1"/>
  <c r="G11" i="14" s="1"/>
  <c r="G10" i="7"/>
  <c r="H10" i="7" s="1"/>
  <c r="H6" i="7"/>
  <c r="B7" i="14"/>
  <c r="E7" i="14" s="1"/>
  <c r="F7" i="14" s="1"/>
  <c r="G7" i="14" s="1"/>
  <c r="C11" i="3"/>
  <c r="B2" i="14"/>
  <c r="F23" i="7"/>
  <c r="D53" i="7"/>
  <c r="E3" i="8" l="1"/>
  <c r="E16" i="8"/>
  <c r="E4" i="8"/>
  <c r="E5" i="8"/>
  <c r="E12" i="8"/>
  <c r="E6" i="8"/>
  <c r="E7" i="8"/>
  <c r="E8" i="8"/>
  <c r="B9" i="9" s="1"/>
  <c r="E9" i="8"/>
  <c r="E10" i="8"/>
  <c r="E11" i="8"/>
  <c r="E13" i="8"/>
  <c r="B14" i="9" s="1"/>
  <c r="E2" i="8"/>
  <c r="H14" i="11"/>
  <c r="D48" i="13"/>
  <c r="B51" i="12"/>
  <c r="D45" i="13"/>
  <c r="D27" i="13"/>
  <c r="B42" i="12"/>
  <c r="D39" i="13"/>
  <c r="D42" i="13"/>
  <c r="D30" i="13"/>
  <c r="B39" i="12"/>
  <c r="D36" i="13"/>
  <c r="B36" i="12"/>
  <c r="B45" i="12"/>
  <c r="D33" i="13"/>
  <c r="D37" i="7"/>
  <c r="F12" i="12"/>
  <c r="H12" i="12" s="1"/>
  <c r="C32" i="12"/>
  <c r="B17" i="12"/>
  <c r="I2" i="12"/>
  <c r="D26" i="12"/>
  <c r="D27" i="12" s="1"/>
  <c r="E26" i="12" s="1"/>
  <c r="E27" i="12" s="1"/>
  <c r="F26" i="12" s="1"/>
  <c r="F27" i="12" s="1"/>
  <c r="C30" i="12"/>
  <c r="J21" i="12"/>
  <c r="K20" i="12" s="1"/>
  <c r="K21" i="12" s="1"/>
  <c r="B13" i="9"/>
  <c r="H4" i="3"/>
  <c r="I4" i="3" s="1"/>
  <c r="C61" i="7" s="1"/>
  <c r="D61" i="7" s="1"/>
  <c r="D24" i="14"/>
  <c r="D6" i="9"/>
  <c r="D14" i="9"/>
  <c r="D10" i="9"/>
  <c r="D9" i="9"/>
  <c r="D12" i="9"/>
  <c r="D26" i="9"/>
  <c r="D23" i="9"/>
  <c r="D24" i="9"/>
  <c r="D19" i="9"/>
  <c r="D16" i="9"/>
  <c r="D17" i="9"/>
  <c r="D18" i="9"/>
  <c r="D11" i="9"/>
  <c r="D3" i="9"/>
  <c r="D4" i="9"/>
  <c r="D8" i="9"/>
  <c r="D20" i="9"/>
  <c r="D21" i="9"/>
  <c r="D5" i="9"/>
  <c r="D13" i="9"/>
  <c r="D15" i="9"/>
  <c r="D25" i="9"/>
  <c r="D7" i="9"/>
  <c r="D22" i="9"/>
  <c r="E24" i="8"/>
  <c r="B23" i="9" s="1"/>
  <c r="E25" i="8"/>
  <c r="B24" i="9" s="1"/>
  <c r="B5" i="9"/>
  <c r="B15" i="9"/>
  <c r="E17" i="8"/>
  <c r="B16" i="9" s="1"/>
  <c r="B4" i="9"/>
  <c r="E21" i="8"/>
  <c r="B20" i="9" s="1"/>
  <c r="E20" i="8"/>
  <c r="B19" i="9" s="1"/>
  <c r="B7" i="9"/>
  <c r="B12" i="9"/>
  <c r="E27" i="8"/>
  <c r="B26" i="9" s="1"/>
  <c r="E26" i="8"/>
  <c r="B25" i="9" s="1"/>
  <c r="B3" i="9"/>
  <c r="B6" i="9"/>
  <c r="E18" i="8"/>
  <c r="B17" i="9" s="1"/>
  <c r="E23" i="8"/>
  <c r="B22" i="9" s="1"/>
  <c r="B10" i="9"/>
  <c r="E19" i="8"/>
  <c r="B18" i="9" s="1"/>
  <c r="E22" i="8"/>
  <c r="B21" i="9" s="1"/>
  <c r="B11" i="9"/>
  <c r="B8" i="9"/>
  <c r="C35" i="12" l="1"/>
  <c r="D40" i="13"/>
  <c r="C41" i="12"/>
  <c r="D37" i="13"/>
  <c r="C38" i="12"/>
  <c r="D28" i="13"/>
  <c r="I12" i="12"/>
  <c r="B47" i="12"/>
  <c r="D31" i="13"/>
  <c r="D46" i="13"/>
  <c r="D34" i="13"/>
  <c r="C50" i="12"/>
  <c r="C44" i="12"/>
  <c r="D43" i="13"/>
  <c r="D49" i="13"/>
  <c r="G13" i="7"/>
  <c r="H13" i="7" s="1"/>
  <c r="H23" i="7" s="1"/>
  <c r="F19" i="8" s="1"/>
  <c r="C18" i="9" s="1"/>
  <c r="E18" i="9" s="1"/>
  <c r="B14" i="14"/>
  <c r="E14" i="14" s="1"/>
  <c r="F14" i="14" s="1"/>
  <c r="G14" i="14" s="1"/>
  <c r="G24" i="14" s="1"/>
  <c r="C27" i="14" s="1"/>
  <c r="C28" i="14" s="1"/>
  <c r="D29" i="12"/>
  <c r="F22" i="8"/>
  <c r="C21" i="9" s="1"/>
  <c r="E21" i="9" s="1"/>
  <c r="C33" i="12"/>
  <c r="B18" i="12"/>
  <c r="F17" i="8"/>
  <c r="C16" i="9" s="1"/>
  <c r="E16" i="9" s="1"/>
  <c r="D27" i="9"/>
  <c r="E28" i="8"/>
  <c r="B2" i="11" s="1"/>
  <c r="E14" i="8"/>
  <c r="B27" i="9"/>
  <c r="C27" i="9" s="1"/>
  <c r="F25" i="8" l="1"/>
  <c r="C24" i="9" s="1"/>
  <c r="E24" i="9" s="1"/>
  <c r="E27" i="13"/>
  <c r="C39" i="12"/>
  <c r="E33" i="13"/>
  <c r="C42" i="12"/>
  <c r="E45" i="13"/>
  <c r="E36" i="13"/>
  <c r="E39" i="13"/>
  <c r="E48" i="13"/>
  <c r="E30" i="13"/>
  <c r="F3" i="8"/>
  <c r="C4" i="9" s="1"/>
  <c r="E4" i="9" s="1"/>
  <c r="F4" i="8"/>
  <c r="C5" i="9" s="1"/>
  <c r="E5" i="9" s="1"/>
  <c r="F5" i="8"/>
  <c r="C6" i="9" s="1"/>
  <c r="E6" i="9" s="1"/>
  <c r="F6" i="8"/>
  <c r="C7" i="9" s="1"/>
  <c r="E7" i="9" s="1"/>
  <c r="F16" i="8"/>
  <c r="F7" i="8"/>
  <c r="C8" i="9" s="1"/>
  <c r="E8" i="9" s="1"/>
  <c r="F13" i="8"/>
  <c r="F8" i="8"/>
  <c r="C9" i="9" s="1"/>
  <c r="E9" i="9" s="1"/>
  <c r="F9" i="8"/>
  <c r="C10" i="9" s="1"/>
  <c r="E10" i="9" s="1"/>
  <c r="F10" i="8"/>
  <c r="C11" i="9" s="1"/>
  <c r="E11" i="9" s="1"/>
  <c r="F11" i="8"/>
  <c r="C12" i="9" s="1"/>
  <c r="E12" i="9" s="1"/>
  <c r="F12" i="8"/>
  <c r="C13" i="9" s="1"/>
  <c r="E13" i="9" s="1"/>
  <c r="F2" i="8"/>
  <c r="C3" i="9" s="1"/>
  <c r="E3" i="9" s="1"/>
  <c r="F23" i="8"/>
  <c r="C22" i="9" s="1"/>
  <c r="E22" i="9" s="1"/>
  <c r="E42" i="13"/>
  <c r="B48" i="12"/>
  <c r="C36" i="12"/>
  <c r="C51" i="12"/>
  <c r="C45" i="12"/>
  <c r="C14" i="9"/>
  <c r="E14" i="9" s="1"/>
  <c r="F21" i="8"/>
  <c r="C20" i="9" s="1"/>
  <c r="E20" i="9" s="1"/>
  <c r="F20" i="8"/>
  <c r="C19" i="9" s="1"/>
  <c r="E19" i="9" s="1"/>
  <c r="F24" i="8"/>
  <c r="C23" i="9" s="1"/>
  <c r="E23" i="9" s="1"/>
  <c r="F27" i="8"/>
  <c r="C26" i="9" s="1"/>
  <c r="E26" i="9" s="1"/>
  <c r="D30" i="14"/>
  <c r="C15" i="9"/>
  <c r="E15" i="9" s="1"/>
  <c r="F18" i="8"/>
  <c r="C17" i="9" s="1"/>
  <c r="E17" i="9" s="1"/>
  <c r="F26" i="8"/>
  <c r="C25" i="9" s="1"/>
  <c r="E25" i="9" s="1"/>
  <c r="C29" i="14"/>
  <c r="C30" i="14" s="1"/>
  <c r="C68" i="7"/>
  <c r="D68" i="7"/>
  <c r="C5" i="6"/>
  <c r="D30" i="12"/>
  <c r="C17" i="12"/>
  <c r="D32" i="12"/>
  <c r="B5" i="6"/>
  <c r="C58" i="7"/>
  <c r="D58" i="7"/>
  <c r="C47" i="12" l="1"/>
  <c r="E37" i="13"/>
  <c r="E43" i="13"/>
  <c r="E46" i="13"/>
  <c r="D41" i="12"/>
  <c r="D44" i="12"/>
  <c r="E31" i="13"/>
  <c r="E34" i="13"/>
  <c r="D50" i="12"/>
  <c r="E49" i="13"/>
  <c r="D38" i="12"/>
  <c r="D35" i="12"/>
  <c r="E40" i="13"/>
  <c r="E28" i="13"/>
  <c r="E27" i="9"/>
  <c r="F28" i="8"/>
  <c r="C3" i="6" s="1"/>
  <c r="F14" i="8"/>
  <c r="B3" i="6" s="1"/>
  <c r="D33" i="12"/>
  <c r="C18" i="12"/>
  <c r="D47" i="12" s="1"/>
  <c r="D48" i="12" s="1"/>
  <c r="E29" i="12"/>
  <c r="L20" i="12"/>
  <c r="D69" i="7"/>
  <c r="C69" i="7"/>
  <c r="D45" i="12" l="1"/>
  <c r="D39" i="12"/>
  <c r="D42" i="12"/>
  <c r="F48" i="13"/>
  <c r="F45" i="13"/>
  <c r="D51" i="12"/>
  <c r="F42" i="13"/>
  <c r="F43" i="13" s="1"/>
  <c r="G42" i="13" s="1"/>
  <c r="G43" i="13" s="1"/>
  <c r="H42" i="13" s="1"/>
  <c r="H43" i="13" s="1"/>
  <c r="I42" i="13" s="1"/>
  <c r="I43" i="13" s="1"/>
  <c r="J42" i="13" s="1"/>
  <c r="J43" i="13" s="1"/>
  <c r="K42" i="13" s="1"/>
  <c r="K43" i="13" s="1"/>
  <c r="L42" i="13" s="1"/>
  <c r="L43" i="13" s="1"/>
  <c r="M42" i="13" s="1"/>
  <c r="D36" i="12"/>
  <c r="F27" i="13"/>
  <c r="F33" i="13"/>
  <c r="F36" i="13"/>
  <c r="F39" i="13"/>
  <c r="F40" i="13" s="1"/>
  <c r="G39" i="13" s="1"/>
  <c r="G40" i="13" s="1"/>
  <c r="H39" i="13" s="1"/>
  <c r="H40" i="13" s="1"/>
  <c r="I39" i="13" s="1"/>
  <c r="I40" i="13" s="1"/>
  <c r="J39" i="13" s="1"/>
  <c r="J40" i="13" s="1"/>
  <c r="K39" i="13" s="1"/>
  <c r="K40" i="13" s="1"/>
  <c r="L39" i="13" s="1"/>
  <c r="L40" i="13" s="1"/>
  <c r="M39" i="13" s="1"/>
  <c r="F30" i="13"/>
  <c r="C48" i="12"/>
  <c r="C59" i="7"/>
  <c r="C63" i="7" s="1"/>
  <c r="C66" i="7" s="1"/>
  <c r="D59" i="7"/>
  <c r="D70" i="7" s="1"/>
  <c r="C70" i="7"/>
  <c r="E30" i="12"/>
  <c r="D17" i="12"/>
  <c r="E32" i="12"/>
  <c r="L21" i="12"/>
  <c r="M20" i="12" s="1"/>
  <c r="M21" i="12" s="1"/>
  <c r="N21" i="12" s="1"/>
  <c r="C62" i="7" l="1"/>
  <c r="B6" i="6"/>
  <c r="B7" i="6" s="1"/>
  <c r="C67" i="7"/>
  <c r="C64" i="7"/>
  <c r="M43" i="13"/>
  <c r="N43" i="13" s="1"/>
  <c r="N42" i="13"/>
  <c r="F37" i="13"/>
  <c r="F46" i="13"/>
  <c r="E41" i="12"/>
  <c r="F34" i="13"/>
  <c r="F28" i="13"/>
  <c r="M40" i="13"/>
  <c r="N40" i="13" s="1"/>
  <c r="N39" i="13"/>
  <c r="F49" i="13"/>
  <c r="E35" i="12"/>
  <c r="E38" i="12"/>
  <c r="E50" i="12"/>
  <c r="F31" i="13"/>
  <c r="E44" i="12"/>
  <c r="D63" i="7"/>
  <c r="D66" i="7" s="1"/>
  <c r="E33" i="12"/>
  <c r="D18" i="12"/>
  <c r="E47" i="12" s="1"/>
  <c r="F29" i="12"/>
  <c r="N20" i="12"/>
  <c r="O20" i="12" s="1"/>
  <c r="P20" i="12" s="1"/>
  <c r="B24" i="12"/>
  <c r="C23" i="12" s="1"/>
  <c r="C6" i="6" l="1"/>
  <c r="C7" i="6" s="1"/>
  <c r="D67" i="7"/>
  <c r="G30" i="13"/>
  <c r="G31" i="13" s="1"/>
  <c r="H30" i="13" s="1"/>
  <c r="H31" i="13" s="1"/>
  <c r="I30" i="13" s="1"/>
  <c r="I31" i="13" s="1"/>
  <c r="J30" i="13" s="1"/>
  <c r="J31" i="13" s="1"/>
  <c r="K30" i="13" s="1"/>
  <c r="K31" i="13" s="1"/>
  <c r="L30" i="13" s="1"/>
  <c r="L31" i="13" s="1"/>
  <c r="M30" i="13" s="1"/>
  <c r="E42" i="12"/>
  <c r="G33" i="13"/>
  <c r="G34" i="13" s="1"/>
  <c r="H33" i="13" s="1"/>
  <c r="H34" i="13" s="1"/>
  <c r="I33" i="13" s="1"/>
  <c r="I34" i="13" s="1"/>
  <c r="J33" i="13" s="1"/>
  <c r="J34" i="13" s="1"/>
  <c r="K33" i="13" s="1"/>
  <c r="K34" i="13" s="1"/>
  <c r="L33" i="13" s="1"/>
  <c r="L34" i="13" s="1"/>
  <c r="M33" i="13" s="1"/>
  <c r="G45" i="13"/>
  <c r="G46" i="13" s="1"/>
  <c r="H45" i="13" s="1"/>
  <c r="H46" i="13" s="1"/>
  <c r="I45" i="13" s="1"/>
  <c r="I46" i="13" s="1"/>
  <c r="J45" i="13" s="1"/>
  <c r="J46" i="13" s="1"/>
  <c r="K45" i="13" s="1"/>
  <c r="K46" i="13" s="1"/>
  <c r="L45" i="13" s="1"/>
  <c r="L46" i="13" s="1"/>
  <c r="M45" i="13" s="1"/>
  <c r="E48" i="12"/>
  <c r="G48" i="13"/>
  <c r="G49" i="13" s="1"/>
  <c r="H48" i="13" s="1"/>
  <c r="H49" i="13" s="1"/>
  <c r="I48" i="13" s="1"/>
  <c r="I49" i="13" s="1"/>
  <c r="J48" i="13" s="1"/>
  <c r="J49" i="13" s="1"/>
  <c r="K48" i="13" s="1"/>
  <c r="K49" i="13" s="1"/>
  <c r="L48" i="13" s="1"/>
  <c r="L49" i="13" s="1"/>
  <c r="M48" i="13" s="1"/>
  <c r="E45" i="12"/>
  <c r="O39" i="13"/>
  <c r="P39" i="13" s="1"/>
  <c r="E51" i="12"/>
  <c r="E36" i="12"/>
  <c r="G36" i="13"/>
  <c r="G37" i="13" s="1"/>
  <c r="H36" i="13" s="1"/>
  <c r="H37" i="13" s="1"/>
  <c r="I36" i="13" s="1"/>
  <c r="I37" i="13" s="1"/>
  <c r="J36" i="13" s="1"/>
  <c r="J37" i="13" s="1"/>
  <c r="K36" i="13" s="1"/>
  <c r="K37" i="13" s="1"/>
  <c r="L36" i="13" s="1"/>
  <c r="L37" i="13" s="1"/>
  <c r="M36" i="13" s="1"/>
  <c r="G27" i="13"/>
  <c r="G28" i="13" s="1"/>
  <c r="H27" i="13" s="1"/>
  <c r="H28" i="13" s="1"/>
  <c r="I27" i="13" s="1"/>
  <c r="I28" i="13" s="1"/>
  <c r="J27" i="13" s="1"/>
  <c r="J28" i="13" s="1"/>
  <c r="K27" i="13" s="1"/>
  <c r="K28" i="13" s="1"/>
  <c r="L27" i="13" s="1"/>
  <c r="L28" i="13" s="1"/>
  <c r="M27" i="13" s="1"/>
  <c r="E39" i="12"/>
  <c r="O42" i="13"/>
  <c r="P42" i="13" s="1"/>
  <c r="D62" i="7"/>
  <c r="D64" i="7"/>
  <c r="F30" i="12"/>
  <c r="E17" i="12"/>
  <c r="F32" i="12"/>
  <c r="C24" i="12"/>
  <c r="D23" i="12" s="1"/>
  <c r="D24" i="12" s="1"/>
  <c r="E23" i="12" s="1"/>
  <c r="F38" i="12" l="1"/>
  <c r="M28" i="13"/>
  <c r="N28" i="13" s="1"/>
  <c r="N27" i="13"/>
  <c r="F47" i="12"/>
  <c r="M46" i="13"/>
  <c r="N46" i="13" s="1"/>
  <c r="N45" i="13"/>
  <c r="F35" i="12"/>
  <c r="M34" i="13"/>
  <c r="N34" i="13" s="1"/>
  <c r="N33" i="13"/>
  <c r="M37" i="13"/>
  <c r="N37" i="13" s="1"/>
  <c r="N36" i="13"/>
  <c r="F50" i="12"/>
  <c r="M49" i="13"/>
  <c r="N49" i="13" s="1"/>
  <c r="N48" i="13"/>
  <c r="F41" i="12"/>
  <c r="F44" i="12"/>
  <c r="M31" i="13"/>
  <c r="N31" i="13" s="1"/>
  <c r="N30" i="13"/>
  <c r="E18" i="12"/>
  <c r="E24" i="12"/>
  <c r="F23" i="12" s="1"/>
  <c r="F24" i="12" s="1"/>
  <c r="G26" i="12" s="1"/>
  <c r="F33" i="12"/>
  <c r="G29" i="12"/>
  <c r="G30" i="12" s="1"/>
  <c r="H29" i="12" s="1"/>
  <c r="H30" i="12" s="1"/>
  <c r="I29" i="12" s="1"/>
  <c r="I30" i="12" s="1"/>
  <c r="J29" i="12" s="1"/>
  <c r="J30" i="12" s="1"/>
  <c r="K29" i="12" s="1"/>
  <c r="K30" i="12" s="1"/>
  <c r="O30" i="13" l="1"/>
  <c r="P30" i="13" s="1"/>
  <c r="F42" i="12"/>
  <c r="F48" i="12"/>
  <c r="O27" i="13"/>
  <c r="P27" i="13" s="1"/>
  <c r="O33" i="13"/>
  <c r="P33" i="13" s="1"/>
  <c r="O45" i="13"/>
  <c r="P45" i="13" s="1"/>
  <c r="F51" i="12"/>
  <c r="F45" i="12"/>
  <c r="F36" i="12"/>
  <c r="O48" i="13"/>
  <c r="P48" i="13" s="1"/>
  <c r="O36" i="13"/>
  <c r="P36" i="13" s="1"/>
  <c r="F39" i="12"/>
  <c r="L29" i="12"/>
  <c r="L30" i="12" s="1"/>
  <c r="M29" i="12" s="1"/>
  <c r="M30" i="12" s="1"/>
  <c r="N30" i="12" s="1"/>
  <c r="G27" i="12"/>
  <c r="G32" i="12"/>
  <c r="G33" i="12" s="1"/>
  <c r="H32" i="12" s="1"/>
  <c r="F17" i="12"/>
  <c r="G23" i="12"/>
  <c r="G50" i="12" l="1"/>
  <c r="G51" i="12" s="1"/>
  <c r="H50" i="12" s="1"/>
  <c r="H51" i="12" s="1"/>
  <c r="I50" i="12" s="1"/>
  <c r="I51" i="12" s="1"/>
  <c r="J50" i="12" s="1"/>
  <c r="J51" i="12" s="1"/>
  <c r="K50" i="12" s="1"/>
  <c r="K51" i="12" s="1"/>
  <c r="L50" i="12" s="1"/>
  <c r="L51" i="12" s="1"/>
  <c r="M50" i="12" s="1"/>
  <c r="G47" i="12"/>
  <c r="G38" i="12"/>
  <c r="G39" i="12" s="1"/>
  <c r="H38" i="12" s="1"/>
  <c r="H39" i="12" s="1"/>
  <c r="I38" i="12" s="1"/>
  <c r="I39" i="12" s="1"/>
  <c r="J38" i="12" s="1"/>
  <c r="J39" i="12" s="1"/>
  <c r="K38" i="12" s="1"/>
  <c r="K39" i="12" s="1"/>
  <c r="L38" i="12" s="1"/>
  <c r="L39" i="12" s="1"/>
  <c r="M38" i="12" s="1"/>
  <c r="G41" i="12"/>
  <c r="G42" i="12" s="1"/>
  <c r="H41" i="12" s="1"/>
  <c r="H42" i="12" s="1"/>
  <c r="I41" i="12" s="1"/>
  <c r="I42" i="12" s="1"/>
  <c r="J41" i="12" s="1"/>
  <c r="J42" i="12" s="1"/>
  <c r="K41" i="12" s="1"/>
  <c r="K42" i="12" s="1"/>
  <c r="L41" i="12" s="1"/>
  <c r="L42" i="12" s="1"/>
  <c r="M41" i="12" s="1"/>
  <c r="G44" i="12"/>
  <c r="G45" i="12" s="1"/>
  <c r="H44" i="12" s="1"/>
  <c r="H45" i="12" s="1"/>
  <c r="I44" i="12" s="1"/>
  <c r="I45" i="12" s="1"/>
  <c r="J44" i="12" s="1"/>
  <c r="J45" i="12" s="1"/>
  <c r="K44" i="12" s="1"/>
  <c r="K45" i="12" s="1"/>
  <c r="L44" i="12" s="1"/>
  <c r="L45" i="12" s="1"/>
  <c r="M44" i="12" s="1"/>
  <c r="G35" i="12"/>
  <c r="G36" i="12" s="1"/>
  <c r="H35" i="12" s="1"/>
  <c r="H36" i="12" s="1"/>
  <c r="I35" i="12" s="1"/>
  <c r="I36" i="12" s="1"/>
  <c r="J35" i="12" s="1"/>
  <c r="J36" i="12" s="1"/>
  <c r="K35" i="12" s="1"/>
  <c r="K36" i="12" s="1"/>
  <c r="L35" i="12" s="1"/>
  <c r="L36" i="12" s="1"/>
  <c r="M35" i="12" s="1"/>
  <c r="N29" i="12"/>
  <c r="O29" i="12" s="1"/>
  <c r="P29" i="12" s="1"/>
  <c r="F18" i="12"/>
  <c r="H33" i="12"/>
  <c r="I32" i="12" s="1"/>
  <c r="I33" i="12" s="1"/>
  <c r="J32" i="12" s="1"/>
  <c r="J33" i="12" s="1"/>
  <c r="K32" i="12" s="1"/>
  <c r="H26" i="12"/>
  <c r="G24" i="12"/>
  <c r="M36" i="12" l="1"/>
  <c r="N36" i="12" s="1"/>
  <c r="N35" i="12"/>
  <c r="M45" i="12"/>
  <c r="N45" i="12" s="1"/>
  <c r="N44" i="12"/>
  <c r="M42" i="12"/>
  <c r="N42" i="12" s="1"/>
  <c r="N41" i="12"/>
  <c r="G48" i="12"/>
  <c r="M39" i="12"/>
  <c r="N39" i="12" s="1"/>
  <c r="N38" i="12"/>
  <c r="M51" i="12"/>
  <c r="N51" i="12" s="1"/>
  <c r="N50" i="12"/>
  <c r="K33" i="12"/>
  <c r="L32" i="12" s="1"/>
  <c r="L33" i="12" s="1"/>
  <c r="M32" i="12" s="1"/>
  <c r="M33" i="12" s="1"/>
  <c r="N33" i="12" s="1"/>
  <c r="H27" i="12"/>
  <c r="G17" i="12"/>
  <c r="G18" i="12" s="1"/>
  <c r="H23" i="12"/>
  <c r="O41" i="12" l="1"/>
  <c r="P41" i="12" s="1"/>
  <c r="O35" i="12"/>
  <c r="P35" i="12" s="1"/>
  <c r="O44" i="12"/>
  <c r="P44" i="12" s="1"/>
  <c r="O50" i="12"/>
  <c r="P50" i="12" s="1"/>
  <c r="H17" i="12"/>
  <c r="H18" i="12" s="1"/>
  <c r="H47" i="12"/>
  <c r="H48" i="12" s="1"/>
  <c r="O38" i="12"/>
  <c r="P38" i="12" s="1"/>
  <c r="N32" i="12"/>
  <c r="O32" i="12" s="1"/>
  <c r="P32" i="12" s="1"/>
  <c r="I26" i="12"/>
  <c r="I27" i="12" s="1"/>
  <c r="J26" i="12" s="1"/>
  <c r="J27" i="12" s="1"/>
  <c r="K26" i="12" s="1"/>
  <c r="K27" i="12" s="1"/>
  <c r="L26" i="12" s="1"/>
  <c r="L27" i="12" s="1"/>
  <c r="M26" i="12" s="1"/>
  <c r="H24" i="12"/>
  <c r="I17" i="12" l="1"/>
  <c r="I47" i="12"/>
  <c r="I48" i="12" s="1"/>
  <c r="J47" i="12" s="1"/>
  <c r="J48" i="12" s="1"/>
  <c r="K47" i="12" s="1"/>
  <c r="K48" i="12" s="1"/>
  <c r="M27" i="12"/>
  <c r="N27" i="12" s="1"/>
  <c r="N26" i="12"/>
  <c r="I23" i="12"/>
  <c r="I18" i="12" l="1"/>
  <c r="J17" i="12" s="1"/>
  <c r="J18" i="12" s="1"/>
  <c r="K17" i="12" s="1"/>
  <c r="K18" i="12" s="1"/>
  <c r="O26" i="12"/>
  <c r="P26" i="12" s="1"/>
  <c r="I24" i="12"/>
  <c r="L17" i="12" l="1"/>
  <c r="L47" i="12"/>
  <c r="L48" i="12" s="1"/>
  <c r="J23" i="12"/>
  <c r="L18" i="12" l="1"/>
  <c r="J24" i="12"/>
  <c r="M17" i="12" l="1"/>
  <c r="M47" i="12"/>
  <c r="K23" i="12"/>
  <c r="M48" i="12" l="1"/>
  <c r="N48" i="12" s="1"/>
  <c r="O47" i="12" s="1"/>
  <c r="P47" i="12" s="1"/>
  <c r="N47" i="12"/>
  <c r="M18" i="12"/>
  <c r="N18" i="12" s="1"/>
  <c r="N17" i="12"/>
  <c r="K24" i="12"/>
  <c r="O17" i="12" l="1"/>
  <c r="P17" i="12" s="1"/>
  <c r="L23" i="12"/>
  <c r="L24" i="12" s="1"/>
  <c r="M23" i="12" l="1"/>
  <c r="M24" i="12" l="1"/>
  <c r="N24" i="12" s="1"/>
  <c r="N23" i="12"/>
  <c r="O23" i="12" l="1"/>
  <c r="P23" i="12" s="1"/>
  <c r="B2" i="6" s="1"/>
  <c r="C2" i="6" l="1"/>
  <c r="C4" i="6" s="1"/>
  <c r="C8" i="6" s="1"/>
  <c r="C11" i="6" s="1"/>
  <c r="B4" i="6"/>
  <c r="B8" i="6" s="1"/>
  <c r="B1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tc={F3C8931A-87E0-4A1F-AADB-DACCEEDA6959}</author>
  </authors>
  <commentList>
    <comment ref="G2" authorId="0" shapeId="0" xr:uid="{F3C8931A-87E0-4A1F-AADB-DACCEEDA6959}">
      <text>
        <t>[Threaded comment]
Your version of Excel allows you to read this threaded comment; however, any edits to it will get removed if the file is opened in a newer version of Excel. Learn more: https://go.microsoft.com/fwlink/?linkid=870924
Comment:
    Tại sao lại có con số 1.3</t>
      </text>
    </comment>
  </commentList>
</comments>
</file>

<file path=xl/sharedStrings.xml><?xml version="1.0" encoding="utf-8"?>
<sst xmlns="http://schemas.openxmlformats.org/spreadsheetml/2006/main" count="450" uniqueCount="320">
  <si>
    <t>Tổng số đơn hàng dự kiến trong 1 tháng</t>
  </si>
  <si>
    <t>Số đơn hàng bị người bán hủy</t>
  </si>
  <si>
    <t>Số đơn hàng bị người mua hủy</t>
  </si>
  <si>
    <t>Số đơn hàng đã giao cho đơn vị vận chuyển</t>
  </si>
  <si>
    <t>Số đơn hàng bị yêu cầu hoàn trả</t>
  </si>
  <si>
    <t>Số đơn hàng hoàn thành</t>
  </si>
  <si>
    <t>Số đơn hàng giao đúng hạn</t>
  </si>
  <si>
    <t>Số đơn hàng trễ hạn</t>
  </si>
  <si>
    <t xml:space="preserve">Sản xuất để dự trữ (Build to stock - BTS) </t>
  </si>
  <si>
    <t>Tỷ lệ hoàn thành đơn hàng = số đơn hoàn thành / tổng đơn</t>
  </si>
  <si>
    <t>Tỷ lệ giao hàng đúng hạn = số đơn đúng hạn / số đơn đã giao cho đơn vị vận chuyển</t>
  </si>
  <si>
    <t>Tần suất/Tỷ lệ giao hàng trễ (LSR) = số đơn trễ / số đơn đã giao cho đơn vị vận chuyển</t>
  </si>
  <si>
    <t>Giá trị tổng đơn hàng chưa được giao vì lý do chậm trễ (giá trị trung bình mỗi đơn là 200,000 VND)</t>
  </si>
  <si>
    <t>Thời hạn đơn hàng chậm trễ</t>
  </si>
  <si>
    <t>Tỷ suất thu hồi dòng sản phẩm = số đơn hàng hoàn trả / số đơn đã giao</t>
  </si>
  <si>
    <t xml:space="preserve">Tỷ lệ đơn hàng bị hủy = số đơn bị hủy (người bán + người mua) / tổng số đơn hàng  </t>
  </si>
  <si>
    <t>Tỷ lệ đơn hàng không thành công (NFR) = đơn hàng không thành công do lỗi người bán / (đơn hàng thành công + đơn hàng không thành công do lỗi người bán)</t>
  </si>
  <si>
    <t>CHI PHÍ ĐẦU TƯ BAN ĐẦU</t>
  </si>
  <si>
    <t>STT</t>
  </si>
  <si>
    <t>Hạng mục</t>
  </si>
  <si>
    <t>Ghi chú</t>
  </si>
  <si>
    <t>Chi phí dự tính</t>
  </si>
  <si>
    <t>Chi phí đăng ký kinh doanh</t>
  </si>
  <si>
    <t>Lệ phí đăng ký kinh doanh</t>
  </si>
  <si>
    <t>Tất cả thủ tục, giấy phép cần thiết</t>
  </si>
  <si>
    <t>Phí đăng ký nhãn hiệu</t>
  </si>
  <si>
    <t>Chi phí đầu tư năm 0
(Khấu hao trong thời gian 5 năm)</t>
  </si>
  <si>
    <t>Biển hiệu</t>
  </si>
  <si>
    <t>Tiền cọc mặt bằng</t>
  </si>
  <si>
    <t>3 tháng</t>
  </si>
  <si>
    <t>Thiết bị thu ngân</t>
  </si>
  <si>
    <t>Máy tính, bàn phím, chuột, máy quét, máy in hóa đơn, bàn ghế thu ngân</t>
  </si>
  <si>
    <t>Vật dụng trang trí</t>
  </si>
  <si>
    <t>Sơn, đèn, cửa, dây điện, cây cối, decor....</t>
  </si>
  <si>
    <t>Kệ kho</t>
  </si>
  <si>
    <t>Camera</t>
  </si>
  <si>
    <t>2 cái</t>
  </si>
  <si>
    <t>Thiết bị nhà vệ sinh</t>
  </si>
  <si>
    <t>1 bồn cầu INAX C-117VA 2 khối xả gạt nắp thường + vòi xịt toilet INAX CFV-102A bằng nhựa + 1 chậu rửa Lavabo INAX L-280V treo tường cỡ nhỏ + gương soi CEASAR M116 450 x 600</t>
  </si>
  <si>
    <t>Điều hòa</t>
  </si>
  <si>
    <t>Chạy quảng cáo trên mạng xã hội</t>
  </si>
  <si>
    <t>Tổng cộng:</t>
  </si>
  <si>
    <t>1 bảng hiệu led 2 mặt, 1 biển quảng cáo đèn Neon</t>
  </si>
  <si>
    <t>CHI PHÍ CỐ ĐỊNH HÀNG THÁNG</t>
  </si>
  <si>
    <t>Hoạt động</t>
  </si>
  <si>
    <t>Tiền thuê mặt bằng cửa hàng</t>
  </si>
  <si>
    <t>Tiền thuê kho</t>
  </si>
  <si>
    <t>Tiền internet</t>
  </si>
  <si>
    <t>Lương nhân viên</t>
  </si>
  <si>
    <t>Khấu hao cơ sở vật chất</t>
  </si>
  <si>
    <t>Thành tiền (VND)</t>
  </si>
  <si>
    <t>Nước</t>
  </si>
  <si>
    <t>Công việc</t>
  </si>
  <si>
    <t>Chi tiết công việc</t>
  </si>
  <si>
    <t xml:space="preserve">Lương </t>
  </si>
  <si>
    <t>Số lượng</t>
  </si>
  <si>
    <t>Tổng (theo tháng)</t>
  </si>
  <si>
    <t>Nhân viên bán hàng</t>
  </si>
  <si>
    <t>Quản lý</t>
  </si>
  <si>
    <t>Tư vấn, xác nhận đơn hàng, lên đơn hàng</t>
  </si>
  <si>
    <t>Nhân viên kho vận</t>
  </si>
  <si>
    <t>Quản lý kho vận, xử lý các vấn đề vận chuyển, mua hàng</t>
  </si>
  <si>
    <t>Vận hành hoạt động, quản lý bộ phận kho vận và bán hàng</t>
  </si>
  <si>
    <t>CHI PHÍ NHÂN SỰ HÀNG THÁNG</t>
  </si>
  <si>
    <t>4 kệ gỗ ép lớn + 4 Kệ sắt lớn</t>
  </si>
  <si>
    <t>8 kệ trung tải 4 tầng</t>
  </si>
  <si>
    <t>Bàn ghế showroom</t>
  </si>
  <si>
    <t>2 bộ bàn ghế</t>
  </si>
  <si>
    <t>Marketing  khai trương</t>
  </si>
  <si>
    <t>Kệ showroom</t>
  </si>
  <si>
    <t>Cải tạo showroom</t>
  </si>
  <si>
    <t>Phí vệ sinh</t>
  </si>
  <si>
    <t>Hoạt động Marketing</t>
  </si>
  <si>
    <t>Sản phẩm</t>
  </si>
  <si>
    <t>Đơn vị</t>
  </si>
  <si>
    <t>Giá bán</t>
  </si>
  <si>
    <t>Giá nhập và bán của sản phẩm</t>
  </si>
  <si>
    <t>Giá nhập</t>
  </si>
  <si>
    <t>Túi</t>
  </si>
  <si>
    <t>Gói</t>
  </si>
  <si>
    <t>Hộp</t>
  </si>
  <si>
    <t>Lợi nhuận</t>
  </si>
  <si>
    <t>Cỏ mèo</t>
  </si>
  <si>
    <t>Sản xuất theo đơn đặt hàng (Build to order - BTO)</t>
  </si>
  <si>
    <t>Thời gian đáp ứng yêu cầu khách hàng nội thành</t>
  </si>
  <si>
    <t>Tỷ lệ giao hàng đúng hạn</t>
  </si>
  <si>
    <t>Giá trị trung bình của đơn hàng muộn</t>
  </si>
  <si>
    <t>Số đơn muộn</t>
  </si>
  <si>
    <t>Thời hạn của đơn hàng muộn</t>
  </si>
  <si>
    <t>Số lượng thu hồi bảo hành và sửa chữa</t>
  </si>
  <si>
    <t>1-3 ngày</t>
  </si>
  <si>
    <t>Năm 1</t>
  </si>
  <si>
    <t>Năm 2</t>
  </si>
  <si>
    <t xml:space="preserve">Giá trị hàng tồn kho trung bình </t>
  </si>
  <si>
    <t xml:space="preserve">Vòng quay hàng tồn kho </t>
  </si>
  <si>
    <t xml:space="preserve">Doanh thu </t>
  </si>
  <si>
    <t>Tỷ suất lợi nhuận ROS (Return on sales)</t>
  </si>
  <si>
    <t>Số ngày lưu trữ hàng tồn kho (ngày)</t>
  </si>
  <si>
    <t>Số ngày nhận được tiền hàng (ngày)</t>
  </si>
  <si>
    <t>Thời hạn thanh toán trung bình trên những lần mua hàng (ngày)</t>
  </si>
  <si>
    <t>Thời gian chu kỳ tiền mặt sinh tiền mặt (ngày)</t>
  </si>
  <si>
    <t>Trong vòng 16 tiếng</t>
  </si>
  <si>
    <t>Doanh thu</t>
  </si>
  <si>
    <t>Doanh thu trung bình hàng tháng</t>
  </si>
  <si>
    <t>GIÁ VỐN HÀNG BÁN</t>
  </si>
  <si>
    <t>Giá vốn hàng bán</t>
  </si>
  <si>
    <t>Tên sản phẩm</t>
  </si>
  <si>
    <t>KHẤU HAO TÀI SẢN</t>
  </si>
  <si>
    <t>Giá trị tài sản đầu kỳ</t>
  </si>
  <si>
    <t>Khấu hao trong kỳ</t>
  </si>
  <si>
    <t>Giá trị tài sản cuối kỳ</t>
  </si>
  <si>
    <t>Tháng</t>
  </si>
  <si>
    <t>Hiệu suất</t>
  </si>
  <si>
    <t xml:space="preserve">Đạt TB do nhu cầu bình ổn </t>
  </si>
  <si>
    <t>Tổng doanh thu năm thứ nhất</t>
  </si>
  <si>
    <t>Đạt TB do nhu cầu bình ổn</t>
  </si>
  <si>
    <t>Tổng doanh thu năm thứ 2</t>
  </si>
  <si>
    <t>Năm thứ nhất (1/12/2024 - 30/11/2025)</t>
  </si>
  <si>
    <t>Năm thứ hai (1/12/2025 - 30/11/2026)</t>
  </si>
  <si>
    <t>Dưới mức TB 50% do mới mở cửa</t>
  </si>
  <si>
    <t>Dưới mức TB 40% do vẫn là 1 tên tuổi mới</t>
  </si>
  <si>
    <t>Đạt mức trung do đến thời gian tết, mọi người cần chuẩn bị nhiều thức ăn</t>
  </si>
  <si>
    <t>Bắt đầu mùa nóng, giảm 10% mặt hàng hạt nhưng tăng 20% mặt hàng pate</t>
  </si>
  <si>
    <t>Giữ mức trung bình do đã quen, ổn định với thị trường</t>
  </si>
  <si>
    <t>Trên mức TB 10% vì cuối năm cần chuẩn bị thêm thức ăn dự trữ</t>
  </si>
  <si>
    <t>Dưới mức trung bình 20% do các nhà bán lẻ đã tích trữ hàng từ năm ngoái</t>
  </si>
  <si>
    <t>Trên mức TB 10% do nhu cầu mua hàng chuẩn bị cho tết</t>
  </si>
  <si>
    <t>Dưới mức TB 20% do sau tết mọi người đã có thức ăn mua trước tết</t>
  </si>
  <si>
    <t>Trên mức TB 20% do nhu cầu mua đồ sau tết</t>
  </si>
  <si>
    <t>Trên mức TB 10% do đến mua thi sinh viên cần mua nhiều để chuẩn bị trước</t>
  </si>
  <si>
    <t>Đạt TB doanh nghiệp dần ổn định</t>
  </si>
  <si>
    <t>Trên mức trung bình 10% do các nhà bán lẻ cần nhập hàng sau tết</t>
  </si>
  <si>
    <t>Giữ mức TB  do đã được nhiều bên bán lẻ biết đến</t>
  </si>
  <si>
    <t>Trên mức trung bình 10% do thời điểm hè thường nhiều người quyết định nuôi thú cưng</t>
  </si>
  <si>
    <t>BẢNG THU NHẬP DỰ TRÙ</t>
  </si>
  <si>
    <t>Tổng doanh thu</t>
  </si>
  <si>
    <t>Lợi nhuận ròng trước thuế</t>
  </si>
  <si>
    <t>Thuế suất</t>
  </si>
  <si>
    <t xml:space="preserve">Thuế </t>
  </si>
  <si>
    <t xml:space="preserve">Lợi nhuận ròng </t>
  </si>
  <si>
    <t>Doanh thu hòa vốn</t>
  </si>
  <si>
    <t>Doanh thu phụ trội</t>
  </si>
  <si>
    <t>Tỷ suất giá vốn</t>
  </si>
  <si>
    <t>Dự đoán lãi lỗ</t>
  </si>
  <si>
    <t>Doanh thu bán hàng</t>
  </si>
  <si>
    <t>Giá vốn bán hàng</t>
  </si>
  <si>
    <t>Chi phí cố định</t>
  </si>
  <si>
    <t>Lãi/lỗ</t>
  </si>
  <si>
    <t>Tổng</t>
  </si>
  <si>
    <t>Giá vốn</t>
  </si>
  <si>
    <t>Tổng vốn</t>
  </si>
  <si>
    <t>Tổng tiền vốn</t>
  </si>
  <si>
    <t>Vốn</t>
  </si>
  <si>
    <t>Tổng thời gian phát triển và phân phối sản phẩm mới</t>
  </si>
  <si>
    <t>2 tháng</t>
  </si>
  <si>
    <t>Loại sản phẩm</t>
  </si>
  <si>
    <t>Tổng nhu cầu trong năm (D)</t>
  </si>
  <si>
    <t>Chi phí thiết lập (Co)</t>
  </si>
  <si>
    <t>I</t>
  </si>
  <si>
    <t>Chi phí lưu trữ hàng tồn kho (Ch)</t>
  </si>
  <si>
    <t>Năng lực sản xuất/năm (P)</t>
  </si>
  <si>
    <t>ELS</t>
  </si>
  <si>
    <t>Loại vật liệu</t>
  </si>
  <si>
    <t>Chi phí đặt hàng (S)</t>
  </si>
  <si>
    <t>Lượng tồn kho tối ưu (Q*)</t>
  </si>
  <si>
    <t>Thời gian hoàn vốn kỳ vọng</t>
  </si>
  <si>
    <t>24 tháng</t>
  </si>
  <si>
    <t>Khấu hao cơ sở vật chất hàng tháng</t>
  </si>
  <si>
    <t xml:space="preserve">Lợi nhuận gộp </t>
  </si>
  <si>
    <t>Tỷ suất lợi nhuận gộp</t>
  </si>
  <si>
    <t>Hạt khô vị nguyên bản LuxPaws</t>
  </si>
  <si>
    <t>Hạt khô vị bò LuxPaws</t>
  </si>
  <si>
    <t>Hạt khô vị heo LuxPaws</t>
  </si>
  <si>
    <t>Hạt khô bổ sung rau củ LuxPaws</t>
  </si>
  <si>
    <t>Combo 4 loại hỗn hợp LuxPaws</t>
  </si>
  <si>
    <t>Sữa hạt lanh LuxPaws</t>
  </si>
  <si>
    <t>Súp thưởng LuxPaws cho mèo</t>
  </si>
  <si>
    <t>Sữa bột pha sẵn LuxPaws</t>
  </si>
  <si>
    <t>Pate gà LuxPaws</t>
  </si>
  <si>
    <t>Pate heo LuxPaws</t>
  </si>
  <si>
    <t>Pate hỗn hợp LuxPaws</t>
  </si>
  <si>
    <t>Combo 3 loại pate LuxPaws</t>
  </si>
  <si>
    <t>Pate gói nhỏ LuxPaws</t>
  </si>
  <si>
    <t>Tinh dầu dưỡng lông LuxPaws</t>
  </si>
  <si>
    <t xml:space="preserve">Nước hoa cho thú cưng hương Oải hương </t>
  </si>
  <si>
    <t>Combo tinh dầu nước hoa LuxPaws</t>
  </si>
  <si>
    <t>Sữa tắm chó mèo LuxPaws</t>
  </si>
  <si>
    <t>Phấn tắm khô LuxPaw</t>
  </si>
  <si>
    <t>Bình</t>
  </si>
  <si>
    <t>Bánh thưởng LuxPaws</t>
  </si>
  <si>
    <t>1 máy Panasonic 2HP Inverter</t>
  </si>
  <si>
    <t>Nhân viên chăm sóc thú cưng</t>
  </si>
  <si>
    <t>Chăm sóc, tắm, sấy, tỉa lông thú cưng</t>
  </si>
  <si>
    <t>Thiết kế - thi công nội thất – trang trí nội/ngoại thất
Quét vôi, sơn tường, bả tường
Lắp đặt vách kính cường lực, cửa kính
Lót sàn: gạch trắng
Lắp đặt cửa kính
Chống thấm nước sàn, tường, mái, nhà vệ sinh/ chống dột, chống nứt công trình, chống mối mọt,…
Sửa chữa, thay hệ thống đèn điện, hệ thống điều hòa, hệ thống mạng,…</t>
  </si>
  <si>
    <t xml:space="preserve"> </t>
  </si>
  <si>
    <t xml:space="preserve">Giá nguyên liệu </t>
  </si>
  <si>
    <t>Nhóm sản phẩm</t>
  </si>
  <si>
    <t>Nguyên liệu chính</t>
  </si>
  <si>
    <t>Giá VND/kg</t>
  </si>
  <si>
    <t>Chi phí (VND)</t>
  </si>
  <si>
    <t>Pate</t>
  </si>
  <si>
    <t>Sữa</t>
  </si>
  <si>
    <t>Hạt khô vị heo</t>
  </si>
  <si>
    <t>Hạt khô</t>
  </si>
  <si>
    <t xml:space="preserve">Hạt khô vị nguyên bản </t>
  </si>
  <si>
    <t xml:space="preserve">Khối lượng (kg) </t>
  </si>
  <si>
    <t xml:space="preserve">Hạt khô vị bò </t>
  </si>
  <si>
    <t>Hạt khô rau củ</t>
  </si>
  <si>
    <t xml:space="preserve">Pate gà </t>
  </si>
  <si>
    <t>Pate heo</t>
  </si>
  <si>
    <t>Pate hỗn hợp</t>
  </si>
  <si>
    <t xml:space="preserve">Sữa hạt lanh </t>
  </si>
  <si>
    <t>Sửa bột pha sẵn</t>
  </si>
  <si>
    <t xml:space="preserve">Giá nhập là giá nhập hàng cho sản phẩm nhập </t>
  </si>
  <si>
    <t>Giáp nhập là  tổng chi phí nguyên liệu cho sản phẩm sản xuất</t>
  </si>
  <si>
    <t>Cửa hàng</t>
  </si>
  <si>
    <t>Xưởng</t>
  </si>
  <si>
    <t>Giả định/Thông số</t>
  </si>
  <si>
    <t>Tổng chi phí thiết lập (S)</t>
  </si>
  <si>
    <t>Chi phí thiếp lập Co</t>
  </si>
  <si>
    <t>Đơn giá</t>
  </si>
  <si>
    <r>
      <t xml:space="preserve">Khoản mục cấu thành </t>
    </r>
    <r>
      <rPr>
        <i/>
        <sz val="14"/>
        <color theme="1"/>
        <rFont val="Calibri"/>
        <family val="2"/>
        <scheme val="minor"/>
      </rPr>
      <t>S</t>
    </r>
  </si>
  <si>
    <t>Khấu hao dụng cụ đặc thù.</t>
  </si>
  <si>
    <t>Khấu hao gioăng/đệm silicone.</t>
  </si>
  <si>
    <t>Tẩy rửa, làm sạch thiết bị.</t>
  </si>
  <si>
    <t>Hao hụt nguyên liệu chạy thử.</t>
  </si>
  <si>
    <t>Nhân công kỹ thuật đổi khuôn.</t>
  </si>
  <si>
    <t>Nhu cầu năm (D)</t>
  </si>
  <si>
    <t>Chi phí tồn trữ 1 đơn vị (H)</t>
  </si>
  <si>
    <t>kg</t>
  </si>
  <si>
    <t xml:space="preserve">Tổng </t>
  </si>
  <si>
    <t>Pate gói nhỏ</t>
  </si>
  <si>
    <t>Thời gian nhập (tháng)</t>
  </si>
  <si>
    <t>Chi vốn hàng bán</t>
  </si>
  <si>
    <t xml:space="preserve">Doanh thu hòa vốn </t>
  </si>
  <si>
    <t>Doanh thu tháng</t>
  </si>
  <si>
    <t>Tổng lợi nhuận gộp tháng</t>
  </si>
  <si>
    <t>Lợi nhuận ròng</t>
  </si>
  <si>
    <t>Giá nhập/Giá nvl</t>
  </si>
  <si>
    <t>Thời gian sản xuất</t>
  </si>
  <si>
    <t xml:space="preserve">Nhân viên dây chuyền </t>
  </si>
  <si>
    <t>Vận hành website (hosting, tên miền, bảo trì web,…..)</t>
  </si>
  <si>
    <t>Giá vốn Cp</t>
  </si>
  <si>
    <t xml:space="preserve">Chi phí biến đổi </t>
  </si>
  <si>
    <t xml:space="preserve">Hoạt động </t>
  </si>
  <si>
    <t>Stt</t>
  </si>
  <si>
    <t>trực dây chuyền sản xuất</t>
  </si>
  <si>
    <t xml:space="preserve">Điện nước </t>
  </si>
  <si>
    <t xml:space="preserve">Ngoài sản xuất </t>
  </si>
  <si>
    <t>Sản xuất</t>
  </si>
  <si>
    <t>Hoa hồng sàn</t>
  </si>
  <si>
    <t>Tiền thuê nhà xưởng</t>
  </si>
  <si>
    <t>Tổng vốn hàng bán</t>
  </si>
  <si>
    <t>Chi phí bán đầu</t>
  </si>
  <si>
    <t>Chi phí hằng năm</t>
  </si>
  <si>
    <t>Tỷ suất lợi nhuận ròng</t>
  </si>
  <si>
    <t>Lợi nhuận tích lũy</t>
  </si>
  <si>
    <t>Tồn kho trung bình cho 1 năm</t>
  </si>
  <si>
    <t>Cao</t>
  </si>
  <si>
    <t>Trung bình</t>
  </si>
  <si>
    <t>Tính linh hoạt bên ngoài</t>
  </si>
  <si>
    <t>Tính linh hoạt hướng lên</t>
  </si>
  <si>
    <t xml:space="preserve">Thịt gà </t>
  </si>
  <si>
    <t>Tinh bột ngô</t>
  </si>
  <si>
    <t xml:space="preserve">Bột lúa mì </t>
  </si>
  <si>
    <t xml:space="preserve">Bột gạo lứt </t>
  </si>
  <si>
    <t xml:space="preserve">Dầu đậu nành </t>
  </si>
  <si>
    <t>Thịt heo</t>
  </si>
  <si>
    <t>Thịt bò</t>
  </si>
  <si>
    <t>Rau củ sấy khô</t>
  </si>
  <si>
    <t>Dầu cá hồi</t>
  </si>
  <si>
    <t>Khoai tây nghiền</t>
  </si>
  <si>
    <t>Gạo lứt</t>
  </si>
  <si>
    <t xml:space="preserve">Thịt bò </t>
  </si>
  <si>
    <t>Thịt gà</t>
  </si>
  <si>
    <t xml:space="preserve">Dầu cá hồi </t>
  </si>
  <si>
    <t>Bột yến mạch</t>
  </si>
  <si>
    <t xml:space="preserve">Hạt lanh xay nhuyễn </t>
  </si>
  <si>
    <t xml:space="preserve">Nước </t>
  </si>
  <si>
    <t xml:space="preserve">Dầu thực vật </t>
  </si>
  <si>
    <t>Máy sản xuất</t>
  </si>
  <si>
    <t>Lương nhân công</t>
  </si>
  <si>
    <t xml:space="preserve">Chi phí đặt hàng </t>
  </si>
  <si>
    <t xml:space="preserve">Thu mua lập và phê duyệt PO </t>
  </si>
  <si>
    <t xml:space="preserve">Nhận hàng và kiểm hàng nhanh </t>
  </si>
  <si>
    <t>Nhập kho, dán mã</t>
  </si>
  <si>
    <t>Chi phí</t>
  </si>
  <si>
    <t xml:space="preserve">protein thịt gà </t>
  </si>
  <si>
    <t>protein thịt heo</t>
  </si>
  <si>
    <t>protein thịt bò</t>
  </si>
  <si>
    <t>Nước tính khiết</t>
  </si>
  <si>
    <t xml:space="preserve">Sữa   tách béo </t>
  </si>
  <si>
    <t xml:space="preserve">Thành phần </t>
  </si>
  <si>
    <t xml:space="preserve">Nhà cung cấp </t>
  </si>
  <si>
    <t>Giá/kg</t>
  </si>
  <si>
    <t>Dalathouse</t>
  </si>
  <si>
    <t>Lagi nature</t>
  </si>
  <si>
    <t>Vifood</t>
  </si>
  <si>
    <t xml:space="preserve">Nông sản Dũng Hà </t>
  </si>
  <si>
    <t>Nhà máy nước</t>
  </si>
  <si>
    <t>Công ty TNHH MTDV Sơn Nguyễn</t>
  </si>
  <si>
    <t>Janbee Corporation</t>
  </si>
  <si>
    <t>Khoai tây</t>
  </si>
  <si>
    <t>Cà rốt</t>
  </si>
  <si>
    <t>Tổng sản phẩm bán ra</t>
  </si>
  <si>
    <t>Sữa hạt lanh</t>
  </si>
  <si>
    <t>Sữa bột pha sẵn</t>
  </si>
  <si>
    <t xml:space="preserve">Pate </t>
  </si>
  <si>
    <t xml:space="preserve">Sữa </t>
  </si>
  <si>
    <t>Bảng dự đoán nhu cầu nguyên liệu hằng háng</t>
  </si>
  <si>
    <t>Kg/tháng</t>
  </si>
  <si>
    <t xml:space="preserve">Sữa tách béo </t>
  </si>
  <si>
    <t>Sữa tách béo</t>
  </si>
  <si>
    <t>Số lần nhập / năm</t>
  </si>
  <si>
    <t>Tỷ lệ % tổng sản phẩm bán ra, sản phẩm được giới thiệu năm 1</t>
  </si>
  <si>
    <t>Tỷ lệ % tổng doanh thu từ các sản phẩm, sản phẩm được giới thiệu năm 1</t>
  </si>
  <si>
    <t xml:space="preserve">Lưu ý </t>
  </si>
  <si>
    <t>Doanh thu và sô lượng bán ra các tháng năm 1 : có trừ đi doanh thu của sản phẩm Hạt Khô Vị Bò do chưa ra mắt</t>
  </si>
  <si>
    <t>Máy trộn, mát nghiền, máy sấy công nghiệp, hệ làm nguội, máy triết vô trung, nồi thanh trung hơi nước, kho lạnh, máy nén khí, máy chiết rút chân không,..</t>
  </si>
  <si>
    <t>Sản phẩm ra mắt năm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</si>
</sst>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-* #,##0.00_-;\-* #,##0.00_-;_-* &quot;-&quot;??_-;_-@"/>
    <numFmt numFmtId="165" formatCode="_-* #,##0.0_-;\-* #,##0.0_-;_-* &quot;-&quot;??_-;_-@"/>
    <numFmt numFmtId="166" formatCode="_-* #,##0\ &quot;₫&quot;_-;\-* #,##0\ &quot;₫&quot;_-;_-* &quot;-&quot;??\ &quot;₫&quot;_-;_-@"/>
    <numFmt numFmtId="167" formatCode="#,##0\ [$đ-42A]"/>
    <numFmt numFmtId="168" formatCode="#,##0.00\ [$₫-42A]"/>
    <numFmt numFmtId="169" formatCode="#,##0.00\ [$đ-42A]"/>
    <numFmt numFmtId="170" formatCode="0.0"/>
    <numFmt numFmtId="171" formatCode="0.0%"/>
    <numFmt numFmtId="172" formatCode="&quot;$&quot;#,##0.00"/>
    <numFmt numFmtId="173" formatCode="#,##0.000"/>
    <numFmt numFmtId="174" formatCode="&quot;$&quot;#,##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sz val="14"/>
      <color theme="7" tint="-0.499984740745262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Arial"/>
      <family val="2"/>
    </font>
    <font>
      <sz val="14"/>
      <color rgb="FFFF0000"/>
      <name val="Calibri"/>
      <family val="2"/>
      <scheme val="minor"/>
    </font>
    <font>
      <sz val="14"/>
      <name val="Calibri"/>
      <family val="2"/>
    </font>
    <font>
      <sz val="11"/>
      <color theme="1"/>
      <name val="Calibri"/>
      <scheme val="minor"/>
    </font>
    <font>
      <sz val="14"/>
      <color rgb="FFCC0000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rgb="FFD9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FFFFCC"/>
        <bgColor rgb="FFFFFFCC"/>
      </patternFill>
    </fill>
    <fill>
      <patternFill patternType="solid">
        <fgColor theme="3" tint="-0.249977111117893"/>
        <bgColor rgb="FF663300"/>
      </patternFill>
    </fill>
    <fill>
      <patternFill patternType="solid">
        <fgColor rgb="FF0099FF"/>
        <bgColor rgb="FF0099FF"/>
      </patternFill>
    </fill>
    <fill>
      <patternFill patternType="solid">
        <fgColor theme="3" tint="-0.249977111117893"/>
        <bgColor theme="5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4" tint="0.59999389629810485"/>
        <bgColor rgb="FFF7CAAC"/>
      </patternFill>
    </fill>
    <fill>
      <patternFill patternType="solid">
        <fgColor theme="5" tint="-0.499984740745262"/>
        <bgColor rgb="FFC55A11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theme="5" tint="0.39997558519241921"/>
        <bgColor rgb="FF9FC5E8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rgb="FFEA99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DDEBF7"/>
        <bgColor rgb="FF000000"/>
      </patternFill>
    </fill>
    <fill>
      <patternFill patternType="solid">
        <fgColor rgb="FFFF9933"/>
        <bgColor indexed="64"/>
      </patternFill>
    </fill>
    <fill>
      <patternFill patternType="solid">
        <fgColor rgb="FFC8B0E4"/>
        <bgColor indexed="64"/>
      </patternFill>
    </fill>
    <fill>
      <patternFill patternType="solid">
        <fgColor rgb="FFFFE699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8" fillId="0" borderId="0"/>
  </cellStyleXfs>
  <cellXfs count="337">
    <xf numFmtId="0" fontId="0" fillId="0" borderId="0" xfId="0"/>
    <xf numFmtId="0" fontId="2" fillId="0" borderId="0" xfId="0" applyFont="1"/>
    <xf numFmtId="164" fontId="2" fillId="2" borderId="3" xfId="0" applyNumberFormat="1" applyFont="1" applyFill="1" applyBorder="1" applyAlignment="1">
      <alignment wrapText="1"/>
    </xf>
    <xf numFmtId="165" fontId="2" fillId="2" borderId="3" xfId="0" applyNumberFormat="1" applyFont="1" applyFill="1" applyBorder="1" applyAlignment="1">
      <alignment wrapText="1"/>
    </xf>
    <xf numFmtId="0" fontId="2" fillId="3" borderId="3" xfId="0" applyFont="1" applyFill="1" applyBorder="1" applyAlignment="1">
      <alignment vertical="center" wrapText="1"/>
    </xf>
    <xf numFmtId="10" fontId="2" fillId="4" borderId="3" xfId="1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66" fontId="2" fillId="0" borderId="5" xfId="0" applyNumberFormat="1" applyFont="1" applyBorder="1" applyAlignment="1">
      <alignment horizontal="left" vertical="center" wrapText="1"/>
    </xf>
    <xf numFmtId="166" fontId="2" fillId="0" borderId="9" xfId="0" applyNumberFormat="1" applyFont="1" applyBorder="1" applyAlignment="1">
      <alignment horizontal="left" vertical="center" wrapText="1"/>
    </xf>
    <xf numFmtId="166" fontId="2" fillId="0" borderId="8" xfId="0" applyNumberFormat="1" applyFont="1" applyBorder="1" applyAlignment="1">
      <alignment horizontal="left" vertical="center" wrapText="1"/>
    </xf>
    <xf numFmtId="166" fontId="7" fillId="7" borderId="8" xfId="0" applyNumberFormat="1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5" fillId="8" borderId="6" xfId="0" applyFont="1" applyFill="1" applyBorder="1" applyAlignment="1">
      <alignment horizontal="left" vertical="center" wrapText="1"/>
    </xf>
    <xf numFmtId="166" fontId="5" fillId="8" borderId="6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 wrapText="1"/>
    </xf>
    <xf numFmtId="167" fontId="7" fillId="7" borderId="3" xfId="0" applyNumberFormat="1" applyFont="1" applyFill="1" applyBorder="1" applyAlignment="1">
      <alignment horizontal="center" vertical="center" wrapText="1"/>
    </xf>
    <xf numFmtId="166" fontId="7" fillId="11" borderId="8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12" fillId="12" borderId="3" xfId="0" applyFont="1" applyFill="1" applyBorder="1" applyAlignment="1">
      <alignment horizontal="center" vertical="center"/>
    </xf>
    <xf numFmtId="167" fontId="3" fillId="12" borderId="3" xfId="0" applyNumberFormat="1" applyFont="1" applyFill="1" applyBorder="1" applyAlignment="1">
      <alignment horizontal="center" vertical="center"/>
    </xf>
    <xf numFmtId="166" fontId="2" fillId="14" borderId="1" xfId="0" applyNumberFormat="1" applyFont="1" applyFill="1" applyBorder="1" applyAlignment="1">
      <alignment horizontal="left" vertical="center"/>
    </xf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wrapText="1"/>
    </xf>
    <xf numFmtId="10" fontId="2" fillId="17" borderId="1" xfId="0" applyNumberFormat="1" applyFont="1" applyFill="1" applyBorder="1" applyAlignment="1">
      <alignment horizontal="right" wrapText="1"/>
    </xf>
    <xf numFmtId="166" fontId="2" fillId="17" borderId="1" xfId="0" applyNumberFormat="1" applyFont="1" applyFill="1" applyBorder="1" applyAlignment="1">
      <alignment horizontal="right" wrapText="1"/>
    </xf>
    <xf numFmtId="165" fontId="2" fillId="17" borderId="1" xfId="0" applyNumberFormat="1" applyFont="1" applyFill="1" applyBorder="1" applyAlignment="1">
      <alignment horizontal="right" wrapText="1"/>
    </xf>
    <xf numFmtId="0" fontId="2" fillId="17" borderId="1" xfId="0" applyFont="1" applyFill="1" applyBorder="1" applyAlignment="1">
      <alignment horizontal="right" wrapText="1"/>
    </xf>
    <xf numFmtId="165" fontId="2" fillId="17" borderId="1" xfId="0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15" fillId="24" borderId="5" xfId="0" applyFont="1" applyFill="1" applyBorder="1" applyAlignment="1">
      <alignment horizontal="left" vertical="center" wrapText="1"/>
    </xf>
    <xf numFmtId="0" fontId="15" fillId="24" borderId="5" xfId="0" applyFont="1" applyFill="1" applyBorder="1" applyAlignment="1">
      <alignment vertical="center" wrapText="1"/>
    </xf>
    <xf numFmtId="167" fontId="15" fillId="24" borderId="5" xfId="0" applyNumberFormat="1" applyFont="1" applyFill="1" applyBorder="1" applyAlignment="1">
      <alignment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vertical="center" wrapText="1"/>
    </xf>
    <xf numFmtId="9" fontId="15" fillId="0" borderId="5" xfId="0" applyNumberFormat="1" applyFont="1" applyBorder="1" applyAlignment="1">
      <alignment vertical="center" wrapText="1"/>
    </xf>
    <xf numFmtId="0" fontId="2" fillId="0" borderId="0" xfId="0" applyFont="1" applyAlignment="1">
      <alignment vertical="center"/>
    </xf>
    <xf numFmtId="167" fontId="3" fillId="12" borderId="17" xfId="0" applyNumberFormat="1" applyFont="1" applyFill="1" applyBorder="1" applyAlignment="1">
      <alignment horizontal="center" vertical="center"/>
    </xf>
    <xf numFmtId="0" fontId="2" fillId="28" borderId="3" xfId="0" applyFont="1" applyFill="1" applyBorder="1" applyAlignment="1">
      <alignment horizontal="center" vertical="center"/>
    </xf>
    <xf numFmtId="167" fontId="15" fillId="0" borderId="10" xfId="0" applyNumberFormat="1" applyFont="1" applyBorder="1" applyAlignment="1">
      <alignment vertical="center" wrapText="1"/>
    </xf>
    <xf numFmtId="167" fontId="15" fillId="26" borderId="10" xfId="0" applyNumberFormat="1" applyFont="1" applyFill="1" applyBorder="1" applyAlignment="1">
      <alignment vertical="center" wrapText="1"/>
    </xf>
    <xf numFmtId="167" fontId="15" fillId="24" borderId="10" xfId="0" applyNumberFormat="1" applyFont="1" applyFill="1" applyBorder="1" applyAlignment="1">
      <alignment vertical="center" wrapText="1"/>
    </xf>
    <xf numFmtId="167" fontId="15" fillId="25" borderId="10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31" borderId="3" xfId="0" applyFont="1" applyFill="1" applyBorder="1" applyAlignment="1">
      <alignment vertical="center" wrapText="1"/>
    </xf>
    <xf numFmtId="169" fontId="2" fillId="19" borderId="3" xfId="0" applyNumberFormat="1" applyFont="1" applyFill="1" applyBorder="1" applyAlignment="1">
      <alignment vertical="center" wrapText="1"/>
    </xf>
    <xf numFmtId="0" fontId="2" fillId="18" borderId="3" xfId="0" applyFont="1" applyFill="1" applyBorder="1" applyAlignment="1">
      <alignment vertical="center" wrapText="1"/>
    </xf>
    <xf numFmtId="169" fontId="2" fillId="18" borderId="3" xfId="0" applyNumberFormat="1" applyFont="1" applyFill="1" applyBorder="1" applyAlignment="1">
      <alignment vertical="center" wrapText="1"/>
    </xf>
    <xf numFmtId="164" fontId="2" fillId="18" borderId="3" xfId="0" applyNumberFormat="1" applyFont="1" applyFill="1" applyBorder="1" applyAlignment="1">
      <alignment vertical="center" wrapText="1"/>
    </xf>
    <xf numFmtId="0" fontId="2" fillId="13" borderId="1" xfId="0" applyFont="1" applyFill="1" applyBorder="1" applyAlignment="1">
      <alignment horizontal="left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68" fontId="2" fillId="0" borderId="3" xfId="0" applyNumberFormat="1" applyFont="1" applyBorder="1" applyAlignment="1">
      <alignment vertical="center"/>
    </xf>
    <xf numFmtId="168" fontId="2" fillId="0" borderId="17" xfId="0" applyNumberFormat="1" applyFont="1" applyBorder="1" applyAlignment="1">
      <alignment vertical="center"/>
    </xf>
    <xf numFmtId="168" fontId="16" fillId="20" borderId="17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69" fontId="2" fillId="0" borderId="1" xfId="0" applyNumberFormat="1" applyFont="1" applyBorder="1" applyAlignment="1">
      <alignment vertical="center"/>
    </xf>
    <xf numFmtId="0" fontId="2" fillId="22" borderId="1" xfId="0" applyFont="1" applyFill="1" applyBorder="1" applyAlignment="1">
      <alignment vertical="center"/>
    </xf>
    <xf numFmtId="166" fontId="2" fillId="0" borderId="1" xfId="0" applyNumberFormat="1" applyFont="1" applyBorder="1" applyAlignment="1">
      <alignment vertical="center"/>
    </xf>
    <xf numFmtId="166" fontId="2" fillId="18" borderId="1" xfId="0" applyNumberFormat="1" applyFont="1" applyFill="1" applyBorder="1" applyAlignment="1">
      <alignment vertical="center"/>
    </xf>
    <xf numFmtId="0" fontId="2" fillId="18" borderId="3" xfId="0" applyFont="1" applyFill="1" applyBorder="1" applyAlignment="1">
      <alignment vertical="center"/>
    </xf>
    <xf numFmtId="169" fontId="2" fillId="18" borderId="3" xfId="0" applyNumberFormat="1" applyFont="1" applyFill="1" applyBorder="1" applyAlignment="1">
      <alignment vertical="center"/>
    </xf>
    <xf numFmtId="168" fontId="2" fillId="29" borderId="3" xfId="0" applyNumberFormat="1" applyFont="1" applyFill="1" applyBorder="1" applyAlignment="1">
      <alignment vertical="center"/>
    </xf>
    <xf numFmtId="10" fontId="2" fillId="18" borderId="3" xfId="0" applyNumberFormat="1" applyFont="1" applyFill="1" applyBorder="1" applyAlignment="1">
      <alignment vertical="center"/>
    </xf>
    <xf numFmtId="0" fontId="19" fillId="0" borderId="1" xfId="0" applyFont="1" applyBorder="1"/>
    <xf numFmtId="169" fontId="19" fillId="0" borderId="1" xfId="0" applyNumberFormat="1" applyFont="1" applyBorder="1"/>
    <xf numFmtId="0" fontId="2" fillId="32" borderId="1" xfId="0" applyFont="1" applyFill="1" applyBorder="1"/>
    <xf numFmtId="167" fontId="2" fillId="0" borderId="1" xfId="0" applyNumberFormat="1" applyFont="1" applyBorder="1"/>
    <xf numFmtId="0" fontId="6" fillId="33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left"/>
    </xf>
    <xf numFmtId="0" fontId="2" fillId="27" borderId="1" xfId="0" applyFont="1" applyFill="1" applyBorder="1"/>
    <xf numFmtId="0" fontId="2" fillId="0" borderId="1" xfId="0" applyFont="1" applyBorder="1" applyAlignment="1">
      <alignment horizontal="left"/>
    </xf>
    <xf numFmtId="0" fontId="2" fillId="28" borderId="1" xfId="0" applyFont="1" applyFill="1" applyBorder="1" applyAlignment="1">
      <alignment horizontal="left"/>
    </xf>
    <xf numFmtId="167" fontId="2" fillId="28" borderId="1" xfId="0" applyNumberFormat="1" applyFont="1" applyFill="1" applyBorder="1"/>
    <xf numFmtId="0" fontId="2" fillId="34" borderId="1" xfId="0" applyFont="1" applyFill="1" applyBorder="1" applyAlignment="1">
      <alignment horizontal="left"/>
    </xf>
    <xf numFmtId="167" fontId="2" fillId="34" borderId="1" xfId="0" applyNumberFormat="1" applyFont="1" applyFill="1" applyBorder="1"/>
    <xf numFmtId="0" fontId="4" fillId="0" borderId="0" xfId="0" applyFont="1"/>
    <xf numFmtId="0" fontId="5" fillId="10" borderId="12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166" fontId="5" fillId="10" borderId="19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center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2" fillId="35" borderId="3" xfId="0" applyFont="1" applyFill="1" applyBorder="1" applyAlignment="1">
      <alignment vertical="center" wrapText="1"/>
    </xf>
    <xf numFmtId="164" fontId="2" fillId="35" borderId="3" xfId="0" applyNumberFormat="1" applyFont="1" applyFill="1" applyBorder="1" applyAlignment="1">
      <alignment vertical="center" wrapText="1"/>
    </xf>
    <xf numFmtId="164" fontId="2" fillId="35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37" borderId="3" xfId="0" applyFont="1" applyFill="1" applyBorder="1" applyAlignment="1">
      <alignment vertical="center"/>
    </xf>
    <xf numFmtId="170" fontId="2" fillId="37" borderId="1" xfId="2" applyNumberFormat="1" applyFont="1" applyFill="1" applyBorder="1" applyAlignment="1">
      <alignment vertical="center"/>
    </xf>
    <xf numFmtId="169" fontId="2" fillId="37" borderId="1" xfId="2" applyNumberFormat="1" applyFont="1" applyFill="1" applyBorder="1" applyAlignment="1">
      <alignment vertical="center"/>
    </xf>
    <xf numFmtId="10" fontId="2" fillId="37" borderId="1" xfId="2" applyNumberFormat="1" applyFont="1" applyFill="1" applyBorder="1" applyAlignment="1">
      <alignment vertical="center"/>
    </xf>
    <xf numFmtId="2" fontId="2" fillId="37" borderId="1" xfId="2" applyNumberFormat="1" applyFont="1" applyFill="1" applyBorder="1" applyAlignment="1">
      <alignment vertical="center"/>
    </xf>
    <xf numFmtId="10" fontId="2" fillId="38" borderId="1" xfId="2" applyNumberFormat="1" applyFont="1" applyFill="1" applyBorder="1" applyAlignment="1">
      <alignment vertical="center"/>
    </xf>
    <xf numFmtId="10" fontId="11" fillId="38" borderId="1" xfId="2" applyNumberFormat="1" applyFont="1" applyFill="1" applyBorder="1" applyAlignment="1">
      <alignment vertical="center" wrapText="1"/>
    </xf>
    <xf numFmtId="0" fontId="2" fillId="29" borderId="0" xfId="0" applyFont="1" applyFill="1"/>
    <xf numFmtId="0" fontId="6" fillId="40" borderId="1" xfId="2" applyFont="1" applyFill="1" applyBorder="1" applyAlignment="1">
      <alignment horizontal="center" vertical="center" wrapText="1"/>
    </xf>
    <xf numFmtId="166" fontId="2" fillId="0" borderId="0" xfId="0" applyNumberFormat="1" applyFont="1"/>
    <xf numFmtId="0" fontId="2" fillId="36" borderId="1" xfId="0" applyFont="1" applyFill="1" applyBorder="1" applyAlignment="1">
      <alignment horizontal="left" vertical="center" wrapText="1"/>
    </xf>
    <xf numFmtId="0" fontId="2" fillId="36" borderId="16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4" fontId="6" fillId="0" borderId="0" xfId="0" applyNumberFormat="1" applyFont="1" applyAlignment="1">
      <alignment vertical="center" wrapText="1"/>
    </xf>
    <xf numFmtId="169" fontId="2" fillId="36" borderId="1" xfId="0" applyNumberFormat="1" applyFont="1" applyFill="1" applyBorder="1" applyAlignment="1">
      <alignment horizontal="right" vertical="center"/>
    </xf>
    <xf numFmtId="173" fontId="2" fillId="0" borderId="0" xfId="0" applyNumberFormat="1" applyFont="1"/>
    <xf numFmtId="0" fontId="2" fillId="30" borderId="0" xfId="0" applyFont="1" applyFill="1"/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2" fillId="39" borderId="0" xfId="0" applyFont="1" applyFill="1"/>
    <xf numFmtId="0" fontId="2" fillId="39" borderId="0" xfId="0" applyFont="1" applyFill="1" applyAlignment="1">
      <alignment wrapText="1"/>
    </xf>
    <xf numFmtId="0" fontId="2" fillId="36" borderId="23" xfId="0" applyFont="1" applyFill="1" applyBorder="1" applyAlignment="1">
      <alignment horizontal="left" vertical="center" wrapText="1"/>
    </xf>
    <xf numFmtId="0" fontId="2" fillId="36" borderId="21" xfId="0" applyFont="1" applyFill="1" applyBorder="1" applyAlignment="1">
      <alignment horizontal="left" vertical="center" wrapText="1"/>
    </xf>
    <xf numFmtId="169" fontId="2" fillId="36" borderId="16" xfId="0" applyNumberFormat="1" applyFont="1" applyFill="1" applyBorder="1" applyAlignment="1">
      <alignment horizontal="right" vertical="center"/>
    </xf>
    <xf numFmtId="0" fontId="2" fillId="30" borderId="3" xfId="0" applyFont="1" applyFill="1" applyBorder="1" applyAlignment="1">
      <alignment vertical="center"/>
    </xf>
    <xf numFmtId="4" fontId="2" fillId="30" borderId="3" xfId="0" applyNumberFormat="1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4" fontId="2" fillId="30" borderId="0" xfId="0" applyNumberFormat="1" applyFont="1" applyFill="1" applyAlignment="1">
      <alignment horizontal="center" vertical="center" wrapText="1"/>
    </xf>
    <xf numFmtId="4" fontId="6" fillId="30" borderId="0" xfId="0" applyNumberFormat="1" applyFont="1" applyFill="1" applyAlignment="1">
      <alignment horizontal="center" vertical="center" wrapText="1"/>
    </xf>
    <xf numFmtId="4" fontId="2" fillId="30" borderId="0" xfId="0" applyNumberFormat="1" applyFont="1" applyFill="1"/>
    <xf numFmtId="173" fontId="2" fillId="4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173" fontId="2" fillId="39" borderId="0" xfId="0" applyNumberFormat="1" applyFont="1" applyFill="1" applyAlignment="1">
      <alignment horizontal="center" vertical="center"/>
    </xf>
    <xf numFmtId="4" fontId="2" fillId="39" borderId="0" xfId="0" applyNumberFormat="1" applyFont="1" applyFill="1" applyAlignment="1">
      <alignment horizontal="center" vertical="center"/>
    </xf>
    <xf numFmtId="3" fontId="2" fillId="30" borderId="3" xfId="0" applyNumberFormat="1" applyFont="1" applyFill="1" applyBorder="1" applyAlignment="1">
      <alignment vertical="center"/>
    </xf>
    <xf numFmtId="0" fontId="2" fillId="36" borderId="0" xfId="0" applyFont="1" applyFill="1" applyAlignment="1">
      <alignment horizontal="center" vertical="center"/>
    </xf>
    <xf numFmtId="171" fontId="2" fillId="36" borderId="0" xfId="1" applyNumberFormat="1" applyFont="1" applyFill="1" applyAlignment="1">
      <alignment horizontal="center" vertical="center"/>
    </xf>
    <xf numFmtId="9" fontId="2" fillId="30" borderId="0" xfId="0" applyNumberFormat="1" applyFont="1" applyFill="1" applyAlignment="1">
      <alignment horizontal="center" vertical="center"/>
    </xf>
    <xf numFmtId="0" fontId="2" fillId="42" borderId="0" xfId="0" applyFont="1" applyFill="1" applyAlignment="1">
      <alignment vertical="center"/>
    </xf>
    <xf numFmtId="0" fontId="2" fillId="42" borderId="0" xfId="0" applyFont="1" applyFill="1" applyAlignment="1">
      <alignment horizontal="center" vertical="center"/>
    </xf>
    <xf numFmtId="0" fontId="6" fillId="33" borderId="16" xfId="0" applyFont="1" applyFill="1" applyBorder="1" applyAlignment="1">
      <alignment horizontal="center" vertical="center" wrapText="1"/>
    </xf>
    <xf numFmtId="1" fontId="2" fillId="36" borderId="3" xfId="0" applyNumberFormat="1" applyFont="1" applyFill="1" applyBorder="1" applyAlignment="1">
      <alignment vertical="center"/>
    </xf>
    <xf numFmtId="1" fontId="2" fillId="30" borderId="3" xfId="0" applyNumberFormat="1" applyFont="1" applyFill="1" applyBorder="1" applyAlignment="1">
      <alignment vertical="center"/>
    </xf>
    <xf numFmtId="170" fontId="2" fillId="36" borderId="14" xfId="0" applyNumberFormat="1" applyFont="1" applyFill="1" applyBorder="1" applyAlignment="1">
      <alignment horizontal="right" vertical="center"/>
    </xf>
    <xf numFmtId="170" fontId="2" fillId="36" borderId="20" xfId="0" applyNumberFormat="1" applyFont="1" applyFill="1" applyBorder="1" applyAlignment="1">
      <alignment horizontal="right" vertical="center"/>
    </xf>
    <xf numFmtId="170" fontId="2" fillId="30" borderId="17" xfId="0" applyNumberFormat="1" applyFont="1" applyFill="1" applyBorder="1" applyAlignment="1">
      <alignment vertical="center"/>
    </xf>
    <xf numFmtId="172" fontId="0" fillId="0" borderId="0" xfId="0" applyNumberFormat="1"/>
    <xf numFmtId="174" fontId="0" fillId="0" borderId="0" xfId="0" applyNumberFormat="1"/>
    <xf numFmtId="169" fontId="2" fillId="4" borderId="3" xfId="0" applyNumberFormat="1" applyFont="1" applyFill="1" applyBorder="1" applyAlignment="1">
      <alignment vertical="center"/>
    </xf>
    <xf numFmtId="169" fontId="2" fillId="37" borderId="3" xfId="0" applyNumberFormat="1" applyFont="1" applyFill="1" applyBorder="1" applyAlignment="1">
      <alignment vertical="center"/>
    </xf>
    <xf numFmtId="0" fontId="2" fillId="12" borderId="0" xfId="0" applyFont="1" applyFill="1"/>
    <xf numFmtId="0" fontId="12" fillId="12" borderId="0" xfId="0" applyFont="1" applyFill="1" applyAlignment="1">
      <alignment horizontal="center" vertical="center"/>
    </xf>
    <xf numFmtId="167" fontId="3" fillId="12" borderId="0" xfId="0" applyNumberFormat="1" applyFont="1" applyFill="1" applyAlignment="1">
      <alignment horizontal="center" vertical="center"/>
    </xf>
    <xf numFmtId="0" fontId="2" fillId="36" borderId="0" xfId="0" applyFont="1" applyFill="1" applyAlignment="1">
      <alignment horizontal="center"/>
    </xf>
    <xf numFmtId="0" fontId="2" fillId="36" borderId="0" xfId="0" applyFont="1" applyFill="1"/>
    <xf numFmtId="168" fontId="2" fillId="36" borderId="0" xfId="0" applyNumberFormat="1" applyFont="1" applyFill="1"/>
    <xf numFmtId="0" fontId="2" fillId="4" borderId="0" xfId="0" applyFont="1" applyFill="1" applyAlignment="1">
      <alignment horizontal="center"/>
    </xf>
    <xf numFmtId="168" fontId="2" fillId="4" borderId="0" xfId="0" applyNumberFormat="1" applyFont="1" applyFill="1"/>
    <xf numFmtId="0" fontId="0" fillId="41" borderId="0" xfId="0" applyFill="1"/>
    <xf numFmtId="10" fontId="0" fillId="41" borderId="0" xfId="1" applyNumberFormat="1" applyFont="1" applyFill="1"/>
    <xf numFmtId="4" fontId="0" fillId="41" borderId="0" xfId="0" applyNumberFormat="1" applyFill="1"/>
    <xf numFmtId="3" fontId="0" fillId="41" borderId="0" xfId="0" applyNumberFormat="1" applyFill="1"/>
    <xf numFmtId="167" fontId="11" fillId="43" borderId="1" xfId="0" applyNumberFormat="1" applyFont="1" applyFill="1" applyBorder="1" applyAlignment="1">
      <alignment vertical="center" wrapText="1"/>
    </xf>
    <xf numFmtId="169" fontId="2" fillId="4" borderId="1" xfId="0" applyNumberFormat="1" applyFont="1" applyFill="1" applyBorder="1"/>
    <xf numFmtId="10" fontId="2" fillId="4" borderId="1" xfId="0" applyNumberFormat="1" applyFont="1" applyFill="1" applyBorder="1"/>
    <xf numFmtId="4" fontId="2" fillId="4" borderId="1" xfId="0" applyNumberFormat="1" applyFont="1" applyFill="1" applyBorder="1"/>
    <xf numFmtId="167" fontId="11" fillId="44" borderId="1" xfId="0" applyNumberFormat="1" applyFont="1" applyFill="1" applyBorder="1" applyAlignment="1">
      <alignment vertical="center" wrapText="1"/>
    </xf>
    <xf numFmtId="169" fontId="2" fillId="37" borderId="1" xfId="0" applyNumberFormat="1" applyFont="1" applyFill="1" applyBorder="1"/>
    <xf numFmtId="10" fontId="2" fillId="37" borderId="1" xfId="0" applyNumberFormat="1" applyFont="1" applyFill="1" applyBorder="1"/>
    <xf numFmtId="4" fontId="2" fillId="37" borderId="1" xfId="0" applyNumberFormat="1" applyFont="1" applyFill="1" applyBorder="1"/>
    <xf numFmtId="167" fontId="11" fillId="45" borderId="1" xfId="0" applyNumberFormat="1" applyFont="1" applyFill="1" applyBorder="1" applyAlignment="1">
      <alignment vertical="center" wrapText="1"/>
    </xf>
    <xf numFmtId="0" fontId="2" fillId="46" borderId="1" xfId="0" applyFont="1" applyFill="1" applyBorder="1"/>
    <xf numFmtId="169" fontId="2" fillId="46" borderId="1" xfId="0" applyNumberFormat="1" applyFont="1" applyFill="1" applyBorder="1"/>
    <xf numFmtId="0" fontId="2" fillId="4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37" borderId="3" xfId="0" applyFont="1" applyFill="1" applyBorder="1"/>
    <xf numFmtId="0" fontId="2" fillId="37" borderId="3" xfId="0" applyFont="1" applyFill="1" applyBorder="1" applyAlignment="1">
      <alignment horizontal="center" vertical="center" wrapText="1"/>
    </xf>
    <xf numFmtId="167" fontId="2" fillId="37" borderId="3" xfId="0" applyNumberFormat="1" applyFont="1" applyFill="1" applyBorder="1" applyAlignment="1">
      <alignment horizontal="center" vertical="center" wrapText="1"/>
    </xf>
    <xf numFmtId="0" fontId="2" fillId="28" borderId="3" xfId="0" applyFont="1" applyFill="1" applyBorder="1"/>
    <xf numFmtId="0" fontId="2" fillId="28" borderId="3" xfId="0" applyFont="1" applyFill="1" applyBorder="1" applyAlignment="1">
      <alignment horizontal="center" vertical="center" wrapText="1"/>
    </xf>
    <xf numFmtId="167" fontId="2" fillId="28" borderId="3" xfId="0" applyNumberFormat="1" applyFont="1" applyFill="1" applyBorder="1" applyAlignment="1">
      <alignment horizontal="center" vertical="center" wrapText="1"/>
    </xf>
    <xf numFmtId="0" fontId="2" fillId="28" borderId="3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24" xfId="0" applyFont="1" applyBorder="1" applyAlignment="1">
      <alignment vertical="center"/>
    </xf>
    <xf numFmtId="9" fontId="2" fillId="18" borderId="3" xfId="1" applyFont="1" applyFill="1" applyBorder="1" applyAlignment="1">
      <alignment vertical="center"/>
    </xf>
    <xf numFmtId="169" fontId="2" fillId="47" borderId="17" xfId="0" applyNumberFormat="1" applyFont="1" applyFill="1" applyBorder="1" applyAlignment="1">
      <alignment vertical="center"/>
    </xf>
    <xf numFmtId="169" fontId="2" fillId="48" borderId="3" xfId="0" applyNumberFormat="1" applyFont="1" applyFill="1" applyBorder="1" applyAlignment="1">
      <alignment vertical="center"/>
    </xf>
    <xf numFmtId="2" fontId="2" fillId="0" borderId="0" xfId="0" applyNumberFormat="1" applyFont="1"/>
    <xf numFmtId="0" fontId="2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9" fillId="0" borderId="4" xfId="0" applyFont="1" applyBorder="1"/>
    <xf numFmtId="0" fontId="2" fillId="6" borderId="7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8" xfId="0" applyFont="1" applyBorder="1"/>
    <xf numFmtId="0" fontId="6" fillId="0" borderId="10" xfId="0" applyFont="1" applyBorder="1" applyAlignment="1">
      <alignment horizontal="left" vertical="center" wrapText="1"/>
    </xf>
    <xf numFmtId="0" fontId="4" fillId="0" borderId="11" xfId="0" applyFont="1" applyBorder="1"/>
    <xf numFmtId="0" fontId="4" fillId="0" borderId="6" xfId="0" applyFont="1" applyBorder="1"/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3" xfId="0" applyFont="1" applyBorder="1"/>
    <xf numFmtId="0" fontId="5" fillId="9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7" fontId="5" fillId="9" borderId="3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2" fillId="30" borderId="0" xfId="0" applyFont="1" applyFill="1" applyAlignment="1">
      <alignment horizontal="center" vertical="center" wrapText="1"/>
    </xf>
    <xf numFmtId="0" fontId="2" fillId="30" borderId="0" xfId="0" applyFont="1" applyFill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" fillId="21" borderId="14" xfId="0" applyFont="1" applyFill="1" applyBorder="1" applyAlignment="1">
      <alignment horizontal="center" vertical="center"/>
    </xf>
    <xf numFmtId="0" fontId="2" fillId="21" borderId="15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5" borderId="10" xfId="0" applyFont="1" applyFill="1" applyBorder="1" applyAlignment="1">
      <alignment horizontal="center" vertical="center" wrapText="1"/>
    </xf>
    <xf numFmtId="0" fontId="17" fillId="0" borderId="11" xfId="0" applyFont="1" applyBorder="1"/>
    <xf numFmtId="0" fontId="17" fillId="0" borderId="6" xfId="0" applyFont="1" applyBorder="1"/>
    <xf numFmtId="0" fontId="20" fillId="2" borderId="14" xfId="0" applyFont="1" applyFill="1" applyBorder="1" applyAlignment="1">
      <alignment horizontal="center"/>
    </xf>
    <xf numFmtId="0" fontId="21" fillId="2" borderId="15" xfId="0" applyFont="1" applyFill="1" applyBorder="1"/>
    <xf numFmtId="0" fontId="21" fillId="2" borderId="2" xfId="0" applyFont="1" applyFill="1" applyBorder="1"/>
    <xf numFmtId="0" fontId="2" fillId="5" borderId="3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center" wrapText="1"/>
    </xf>
    <xf numFmtId="0" fontId="14" fillId="16" borderId="2" xfId="0" applyFont="1" applyFill="1" applyBorder="1"/>
    <xf numFmtId="4" fontId="11" fillId="49" borderId="0" xfId="0" applyNumberFormat="1" applyFont="1" applyFill="1" applyAlignment="1">
      <alignment horizontal="center" vertical="center" wrapText="1"/>
    </xf>
    <xf numFmtId="4" fontId="6" fillId="30" borderId="0" xfId="0" applyNumberFormat="1" applyFont="1" applyFill="1" applyAlignment="1">
      <alignment horizontal="center" vertical="center"/>
    </xf>
    <xf numFmtId="0" fontId="2" fillId="39" borderId="0" xfId="0" applyFont="1" applyFill="1" applyAlignment="1">
      <alignment vertical="center"/>
    </xf>
    <xf numFmtId="173" fontId="6" fillId="4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73" fontId="6" fillId="39" borderId="0" xfId="0" applyNumberFormat="1" applyFont="1" applyFill="1" applyAlignment="1">
      <alignment horizontal="center" vertical="center"/>
    </xf>
    <xf numFmtId="4" fontId="6" fillId="39" borderId="0" xfId="0" applyNumberFormat="1" applyFont="1" applyFill="1" applyAlignment="1">
      <alignment horizontal="center" vertical="center"/>
    </xf>
    <xf numFmtId="4" fontId="2" fillId="36" borderId="0" xfId="0" applyNumberFormat="1" applyFont="1" applyFill="1" applyAlignment="1">
      <alignment horizontal="center"/>
    </xf>
    <xf numFmtId="173" fontId="2" fillId="36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vertical="center"/>
    </xf>
    <xf numFmtId="0" fontId="2" fillId="50" borderId="0" xfId="0" applyFont="1" applyFill="1" applyAlignment="1">
      <alignment horizontal="center" vertical="center"/>
    </xf>
    <xf numFmtId="0" fontId="2" fillId="50" borderId="0" xfId="0" applyFont="1" applyFill="1" applyAlignment="1">
      <alignment vertical="center"/>
    </xf>
    <xf numFmtId="3" fontId="2" fillId="50" borderId="0" xfId="0" applyNumberFormat="1" applyFont="1" applyFill="1" applyAlignment="1">
      <alignment vertical="center"/>
    </xf>
    <xf numFmtId="0" fontId="25" fillId="50" borderId="0" xfId="0" applyFont="1" applyFill="1" applyAlignment="1">
      <alignment horizontal="center" vertical="center"/>
    </xf>
    <xf numFmtId="0" fontId="26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7" fillId="0" borderId="0" xfId="0" applyFont="1"/>
    <xf numFmtId="0" fontId="12" fillId="0" borderId="0" xfId="0" applyFont="1"/>
    <xf numFmtId="0" fontId="2" fillId="23" borderId="0" xfId="0" applyFont="1" applyFill="1" applyAlignment="1">
      <alignment horizontal="left" vertical="center" wrapText="1"/>
    </xf>
    <xf numFmtId="0" fontId="11" fillId="23" borderId="0" xfId="0" applyFont="1" applyFill="1"/>
    <xf numFmtId="3" fontId="11" fillId="23" borderId="0" xfId="0" applyNumberFormat="1" applyFont="1" applyFill="1"/>
    <xf numFmtId="0" fontId="2" fillId="23" borderId="0" xfId="0" applyFont="1" applyFill="1"/>
    <xf numFmtId="1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" fontId="2" fillId="0" borderId="28" xfId="0" applyNumberFormat="1" applyFont="1" applyBorder="1" applyAlignment="1">
      <alignment vertical="center"/>
    </xf>
    <xf numFmtId="0" fontId="2" fillId="30" borderId="2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 wrapText="1"/>
    </xf>
    <xf numFmtId="0" fontId="2" fillId="30" borderId="0" xfId="0" applyFont="1" applyFill="1" applyBorder="1" applyAlignment="1">
      <alignment vertical="center"/>
    </xf>
    <xf numFmtId="4" fontId="2" fillId="30" borderId="0" xfId="0" applyNumberFormat="1" applyFont="1" applyFill="1" applyBorder="1" applyAlignment="1">
      <alignment vertical="center"/>
    </xf>
    <xf numFmtId="1" fontId="2" fillId="30" borderId="28" xfId="0" applyNumberFormat="1" applyFont="1" applyFill="1" applyBorder="1" applyAlignment="1">
      <alignment vertical="center"/>
    </xf>
    <xf numFmtId="0" fontId="2" fillId="30" borderId="0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4" fontId="2" fillId="4" borderId="0" xfId="0" applyNumberFormat="1" applyFont="1" applyFill="1" applyBorder="1" applyAlignment="1">
      <alignment vertical="center"/>
    </xf>
    <xf numFmtId="1" fontId="2" fillId="4" borderId="28" xfId="0" applyNumberFormat="1" applyFont="1" applyFill="1" applyBorder="1" applyAlignment="1">
      <alignment vertical="center"/>
    </xf>
    <xf numFmtId="0" fontId="2" fillId="39" borderId="22" xfId="0" applyFont="1" applyFill="1" applyBorder="1" applyAlignment="1">
      <alignment horizontal="center" vertical="center"/>
    </xf>
    <xf numFmtId="0" fontId="2" fillId="39" borderId="0" xfId="0" applyFont="1" applyFill="1" applyBorder="1" applyAlignment="1">
      <alignment horizontal="center" vertical="center"/>
    </xf>
    <xf numFmtId="0" fontId="2" fillId="39" borderId="0" xfId="0" applyFont="1" applyFill="1" applyBorder="1" applyAlignment="1">
      <alignment vertical="center"/>
    </xf>
    <xf numFmtId="4" fontId="2" fillId="39" borderId="0" xfId="0" applyNumberFormat="1" applyFont="1" applyFill="1" applyBorder="1" applyAlignment="1">
      <alignment vertical="center"/>
    </xf>
    <xf numFmtId="1" fontId="2" fillId="39" borderId="28" xfId="0" applyNumberFormat="1" applyFont="1" applyFill="1" applyBorder="1" applyAlignment="1">
      <alignment vertical="center"/>
    </xf>
    <xf numFmtId="0" fontId="2" fillId="39" borderId="29" xfId="0" applyFont="1" applyFill="1" applyBorder="1" applyAlignment="1">
      <alignment vertical="center"/>
    </xf>
    <xf numFmtId="0" fontId="2" fillId="39" borderId="13" xfId="0" applyFont="1" applyFill="1" applyBorder="1" applyAlignment="1">
      <alignment vertical="center"/>
    </xf>
    <xf numFmtId="1" fontId="2" fillId="39" borderId="18" xfId="0" applyNumberFormat="1" applyFont="1" applyFill="1" applyBorder="1" applyAlignment="1">
      <alignment vertical="center"/>
    </xf>
    <xf numFmtId="0" fontId="2" fillId="23" borderId="25" xfId="0" applyFont="1" applyFill="1" applyBorder="1" applyAlignment="1">
      <alignment horizontal="center" vertical="center"/>
    </xf>
    <xf numFmtId="0" fontId="2" fillId="23" borderId="2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23" borderId="22" xfId="0" applyFont="1" applyFill="1" applyBorder="1" applyAlignment="1">
      <alignment vertical="center"/>
    </xf>
    <xf numFmtId="1" fontId="2" fillId="23" borderId="28" xfId="0" applyNumberFormat="1" applyFont="1" applyFill="1" applyBorder="1" applyAlignment="1">
      <alignment vertical="center"/>
    </xf>
    <xf numFmtId="0" fontId="2" fillId="23" borderId="0" xfId="0" applyFont="1" applyFill="1" applyBorder="1" applyAlignment="1">
      <alignment vertical="center"/>
    </xf>
    <xf numFmtId="1" fontId="2" fillId="36" borderId="1" xfId="0" applyNumberFormat="1" applyFont="1" applyFill="1" applyBorder="1" applyAlignment="1">
      <alignment horizontal="right" vertical="center"/>
    </xf>
    <xf numFmtId="1" fontId="2" fillId="36" borderId="16" xfId="0" applyNumberFormat="1" applyFont="1" applyFill="1" applyBorder="1" applyAlignment="1">
      <alignment horizontal="right" vertical="center"/>
    </xf>
    <xf numFmtId="0" fontId="2" fillId="51" borderId="3" xfId="0" applyFont="1" applyFill="1" applyBorder="1" applyAlignment="1">
      <alignment horizontal="center" vertical="center"/>
    </xf>
    <xf numFmtId="0" fontId="2" fillId="51" borderId="3" xfId="0" applyFont="1" applyFill="1" applyBorder="1" applyAlignment="1">
      <alignment vertical="center"/>
    </xf>
    <xf numFmtId="168" fontId="2" fillId="51" borderId="3" xfId="0" applyNumberFormat="1" applyFont="1" applyFill="1" applyBorder="1" applyAlignment="1">
      <alignment vertical="center"/>
    </xf>
    <xf numFmtId="168" fontId="2" fillId="51" borderId="17" xfId="0" applyNumberFormat="1" applyFont="1" applyFill="1" applyBorder="1" applyAlignment="1">
      <alignment vertical="center"/>
    </xf>
    <xf numFmtId="0" fontId="2" fillId="51" borderId="0" xfId="0" applyFont="1" applyFill="1" applyAlignment="1">
      <alignment horizontal="center"/>
    </xf>
    <xf numFmtId="0" fontId="2" fillId="51" borderId="0" xfId="0" applyFont="1" applyFill="1"/>
    <xf numFmtId="4" fontId="2" fillId="51" borderId="0" xfId="0" applyNumberFormat="1" applyFont="1" applyFill="1" applyAlignment="1">
      <alignment horizontal="center"/>
    </xf>
    <xf numFmtId="168" fontId="2" fillId="51" borderId="0" xfId="0" applyNumberFormat="1" applyFont="1" applyFill="1"/>
    <xf numFmtId="0" fontId="2" fillId="37" borderId="3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25" xfId="0" applyFont="1" applyBorder="1" applyAlignment="1">
      <alignment wrapText="1"/>
    </xf>
    <xf numFmtId="0" fontId="2" fillId="0" borderId="26" xfId="0" applyFont="1" applyBorder="1"/>
    <xf numFmtId="0" fontId="2" fillId="0" borderId="27" xfId="0" applyFont="1" applyBorder="1"/>
    <xf numFmtId="0" fontId="2" fillId="0" borderId="22" xfId="0" applyFont="1" applyBorder="1" applyAlignment="1">
      <alignment wrapText="1"/>
    </xf>
    <xf numFmtId="0" fontId="2" fillId="42" borderId="0" xfId="0" applyFont="1" applyFill="1" applyBorder="1"/>
    <xf numFmtId="0" fontId="2" fillId="0" borderId="0" xfId="0" applyFont="1" applyBorder="1"/>
    <xf numFmtId="0" fontId="2" fillId="0" borderId="28" xfId="0" applyFont="1" applyBorder="1"/>
    <xf numFmtId="2" fontId="2" fillId="0" borderId="0" xfId="0" applyNumberFormat="1" applyFont="1" applyBorder="1"/>
    <xf numFmtId="2" fontId="2" fillId="0" borderId="28" xfId="0" applyNumberFormat="1" applyFont="1" applyBorder="1"/>
    <xf numFmtId="0" fontId="11" fillId="52" borderId="0" xfId="0" applyFont="1" applyFill="1" applyBorder="1"/>
    <xf numFmtId="0" fontId="11" fillId="0" borderId="0" xfId="0" applyFont="1" applyBorder="1"/>
    <xf numFmtId="0" fontId="11" fillId="0" borderId="28" xfId="0" applyFont="1" applyBorder="1"/>
    <xf numFmtId="0" fontId="2" fillId="0" borderId="29" xfId="0" applyFont="1" applyBorder="1" applyAlignment="1">
      <alignment wrapText="1"/>
    </xf>
    <xf numFmtId="2" fontId="2" fillId="0" borderId="13" xfId="0" applyNumberFormat="1" applyFont="1" applyBorder="1"/>
    <xf numFmtId="2" fontId="2" fillId="0" borderId="18" xfId="0" applyNumberFormat="1" applyFont="1" applyBorder="1"/>
    <xf numFmtId="0" fontId="2" fillId="30" borderId="3" xfId="0" applyFont="1" applyFill="1" applyBorder="1" applyAlignment="1">
      <alignment wrapText="1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/>
    <xf numFmtId="3" fontId="15" fillId="24" borderId="12" xfId="0" applyNumberFormat="1" applyFont="1" applyFill="1" applyBorder="1" applyAlignment="1">
      <alignment vertical="center" wrapText="1"/>
    </xf>
    <xf numFmtId="3" fontId="15" fillId="0" borderId="3" xfId="0" applyNumberFormat="1" applyFont="1" applyBorder="1" applyAlignment="1">
      <alignment vertical="center" wrapText="1"/>
    </xf>
    <xf numFmtId="3" fontId="2" fillId="0" borderId="3" xfId="0" applyNumberFormat="1" applyFont="1" applyBorder="1"/>
    <xf numFmtId="3" fontId="15" fillId="0" borderId="10" xfId="1" applyNumberFormat="1" applyFont="1" applyBorder="1" applyAlignment="1">
      <alignment vertical="center" wrapText="1"/>
    </xf>
    <xf numFmtId="3" fontId="15" fillId="24" borderId="5" xfId="0" applyNumberFormat="1" applyFont="1" applyFill="1" applyBorder="1" applyAlignment="1">
      <alignment vertical="center" wrapText="1"/>
    </xf>
    <xf numFmtId="3" fontId="15" fillId="24" borderId="10" xfId="0" applyNumberFormat="1" applyFont="1" applyFill="1" applyBorder="1" applyAlignment="1">
      <alignment vertical="center" wrapText="1"/>
    </xf>
    <xf numFmtId="3" fontId="15" fillId="0" borderId="10" xfId="0" applyNumberFormat="1" applyFont="1" applyBorder="1" applyAlignment="1">
      <alignment vertical="center" wrapText="1"/>
    </xf>
    <xf numFmtId="3" fontId="16" fillId="0" borderId="3" xfId="0" applyNumberFormat="1" applyFont="1" applyBorder="1" applyAlignment="1">
      <alignment vertical="center"/>
    </xf>
    <xf numFmtId="0" fontId="2" fillId="18" borderId="17" xfId="0" applyFont="1" applyFill="1" applyBorder="1" applyAlignment="1">
      <alignment vertical="center"/>
    </xf>
    <xf numFmtId="169" fontId="2" fillId="18" borderId="17" xfId="0" applyNumberFormat="1" applyFont="1" applyFill="1" applyBorder="1" applyAlignment="1">
      <alignment vertical="center"/>
    </xf>
    <xf numFmtId="168" fontId="2" fillId="29" borderId="17" xfId="0" applyNumberFormat="1" applyFont="1" applyFill="1" applyBorder="1" applyAlignment="1">
      <alignment vertical="center"/>
    </xf>
    <xf numFmtId="9" fontId="2" fillId="18" borderId="17" xfId="1" applyFont="1" applyFill="1" applyBorder="1" applyAlignment="1">
      <alignment vertical="center"/>
    </xf>
    <xf numFmtId="10" fontId="2" fillId="18" borderId="17" xfId="0" applyNumberFormat="1" applyFont="1" applyFill="1" applyBorder="1" applyAlignment="1">
      <alignment vertical="center"/>
    </xf>
    <xf numFmtId="0" fontId="2" fillId="29" borderId="0" xfId="0" applyFont="1" applyFill="1" applyBorder="1" applyAlignment="1">
      <alignment vertical="center"/>
    </xf>
    <xf numFmtId="0" fontId="2" fillId="21" borderId="17" xfId="0" applyFont="1" applyFill="1" applyBorder="1" applyAlignment="1">
      <alignment horizontal="center" vertical="center"/>
    </xf>
    <xf numFmtId="0" fontId="2" fillId="21" borderId="30" xfId="0" applyFont="1" applyFill="1" applyBorder="1" applyAlignment="1">
      <alignment horizontal="center" vertical="center"/>
    </xf>
    <xf numFmtId="0" fontId="2" fillId="21" borderId="2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/>
    <xf numFmtId="3" fontId="2" fillId="2" borderId="0" xfId="0" applyNumberFormat="1" applyFont="1" applyFill="1"/>
    <xf numFmtId="0" fontId="2" fillId="2" borderId="0" xfId="0" applyFont="1" applyFill="1" applyAlignment="1">
      <alignment horizontal="center"/>
    </xf>
    <xf numFmtId="3" fontId="17" fillId="0" borderId="11" xfId="0" applyNumberFormat="1" applyFont="1" applyBorder="1" applyAlignment="1">
      <alignment vertical="center"/>
    </xf>
    <xf numFmtId="3" fontId="16" fillId="30" borderId="3" xfId="0" applyNumberFormat="1" applyFont="1" applyFill="1" applyBorder="1" applyAlignment="1">
      <alignment vertical="center"/>
    </xf>
  </cellXfs>
  <cellStyles count="3">
    <cellStyle name="Normal" xfId="0" builtinId="0"/>
    <cellStyle name="Normal 2" xfId="2" xr:uid="{4DF93185-8C93-47CD-B1A7-5E9FD19044CC}"/>
    <cellStyle name="Percent" xfId="1" builtinId="5"/>
  </cellStyles>
  <dxfs count="11">
    <dxf>
      <font>
        <strike val="0"/>
        <outline val="0"/>
        <shadow val="0"/>
        <u val="none"/>
        <vertAlign val="baseline"/>
        <sz val="14"/>
        <name val="Calibri"/>
        <family val="2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B6D7A8"/>
          <bgColor rgb="FFB6D7A8"/>
        </patternFill>
      </fill>
    </dxf>
  </dxfs>
  <tableStyles count="1" defaultTableStyle="TableStyleMedium2" defaultPivotStyle="PivotStyleLight16">
    <tableStyle name="Doanh thuchi phí TB hàng năm-style" pivot="0" count="2" xr9:uid="{9233B450-1A6A-43BA-9EF1-5F87F35B9AC6}">
      <tableStyleElement type="firstRowStripe" dxfId="10"/>
      <tableStyleElement type="secondRowStripe" dxfId="9"/>
    </tableStyle>
  </tableStyles>
  <colors>
    <mruColors>
      <color rgb="FFC8B0E4"/>
      <color rgb="FFFF9933"/>
      <color rgb="FFFF6600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605147</xdr:colOff>
      <xdr:row>7</xdr:row>
      <xdr:rowOff>382482</xdr:rowOff>
    </xdr:from>
    <xdr:to>
      <xdr:col>16</xdr:col>
      <xdr:colOff>658091</xdr:colOff>
      <xdr:row>11</xdr:row>
      <xdr:rowOff>367602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CEA3C-2055-D42F-D5D5-C6294320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6192" y="4452255"/>
          <a:ext cx="4174671" cy="2517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</xdr:colOff>
      <xdr:row>1</xdr:row>
      <xdr:rowOff>53138</xdr:rowOff>
    </xdr:from>
    <xdr:to>
      <xdr:col>16</xdr:col>
      <xdr:colOff>374182</xdr:colOff>
      <xdr:row>6</xdr:row>
      <xdr:rowOff>442343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F958AC-EBB8-CEE4-0C19-FE90044AF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617018"/>
          <a:ext cx="6454942" cy="30866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rần Giáp Minh" id="{18E0912C-51FA-4949-87A8-476858152778}" userId="S::22520889@ms.uit.edu.vn::9b326288-ace0-48d9-b9cb-efcd0ef7bdb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9E3164-B263-470A-BFDC-D42D507CCBAC}" name="Table_1" displayName="Table_1" ref="B58:E70" headerRowCount="0" headerRowDxfId="8" dataDxfId="7" totalsRowDxfId="6">
  <tableColumns count="4">
    <tableColumn id="1" xr3:uid="{257527BA-D3AC-4D67-8C93-A89D49991895}" name="Column1" dataDxfId="5"/>
    <tableColumn id="2" xr3:uid="{A6EDED99-5DC1-4C57-A019-DF2B4934F79B}" name="Column2" dataDxfId="4"/>
    <tableColumn id="3" xr3:uid="{990118E8-E5EA-438C-9B2D-ADCD69B3E657}" name="Column3" dataDxfId="3"/>
    <tableColumn id="4" xr3:uid="{AB4BDEE8-121F-43CD-88DA-0F240BEDF9E8}" name="Column4" headerRowDxfId="2" dataDxfId="0" totalsRowDxfId="1"/>
  </tableColumns>
  <tableStyleInfo name="Doanh thuchi phí TB hàng năm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5-05-21T15:41:04.44" personId="{18E0912C-51FA-4949-87A8-476858152778}" id="{F3C8931A-87E0-4A1F-AADB-DACCEEDA6959}">
    <text>Tại sao lại có con số 1.3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75B5-CDB0-427D-85D0-4EF84D659287}">
  <dimension ref="A1:K20"/>
  <sheetViews>
    <sheetView zoomScale="70" zoomScaleNormal="70" workbookViewId="0">
      <selection sqref="A1:D1"/>
    </sheetView>
  </sheetViews>
  <sheetFormatPr defaultRowHeight="18" x14ac:dyDescent="0.35"/>
  <cols>
    <col min="1" max="1" width="10" style="1" customWidth="1"/>
    <col min="2" max="2" width="17.6640625" style="1" customWidth="1"/>
    <col min="3" max="3" width="71.77734375" style="1" customWidth="1"/>
    <col min="4" max="4" width="26.6640625" style="1" customWidth="1"/>
    <col min="5" max="9" width="8.88671875" style="1"/>
    <col min="10" max="10" width="22.6640625" style="1" customWidth="1"/>
    <col min="11" max="11" width="22.6640625" style="294" customWidth="1"/>
    <col min="12" max="16384" width="8.88671875" style="1"/>
  </cols>
  <sheetData>
    <row r="1" spans="1:11" ht="18.600000000000001" thickBot="1" x14ac:dyDescent="0.4">
      <c r="A1" s="187" t="s">
        <v>17</v>
      </c>
      <c r="B1" s="188"/>
      <c r="C1" s="188"/>
      <c r="D1" s="188"/>
    </row>
    <row r="2" spans="1:11" ht="18.600000000000001" thickBot="1" x14ac:dyDescent="0.4">
      <c r="A2" s="12" t="s">
        <v>18</v>
      </c>
      <c r="B2" s="13" t="s">
        <v>19</v>
      </c>
      <c r="C2" s="13" t="s">
        <v>20</v>
      </c>
      <c r="D2" s="14" t="s">
        <v>21</v>
      </c>
    </row>
    <row r="3" spans="1:11" ht="18.600000000000001" thickBot="1" x14ac:dyDescent="0.4">
      <c r="A3" s="189" t="s">
        <v>22</v>
      </c>
      <c r="B3" s="190"/>
      <c r="C3" s="190"/>
      <c r="D3" s="191"/>
    </row>
    <row r="4" spans="1:11" ht="49.8" customHeight="1" thickBot="1" x14ac:dyDescent="0.4">
      <c r="A4" s="6">
        <v>1</v>
      </c>
      <c r="B4" s="7" t="s">
        <v>23</v>
      </c>
      <c r="C4" s="7" t="s">
        <v>24</v>
      </c>
      <c r="D4" s="8">
        <v>250000</v>
      </c>
      <c r="K4" s="1"/>
    </row>
    <row r="5" spans="1:11" ht="46.8" customHeight="1" thickBot="1" x14ac:dyDescent="0.4">
      <c r="A5" s="6">
        <v>2</v>
      </c>
      <c r="B5" s="7" t="s">
        <v>25</v>
      </c>
      <c r="C5" s="7" t="s">
        <v>24</v>
      </c>
      <c r="D5" s="9">
        <v>3500000</v>
      </c>
      <c r="K5" s="1"/>
    </row>
    <row r="6" spans="1:11" ht="37.200000000000003" customHeight="1" thickBot="1" x14ac:dyDescent="0.4">
      <c r="A6" s="189" t="s">
        <v>26</v>
      </c>
      <c r="B6" s="190"/>
      <c r="C6" s="190"/>
      <c r="D6" s="191"/>
      <c r="K6" s="1"/>
    </row>
    <row r="7" spans="1:11" ht="33.6" customHeight="1" thickBot="1" x14ac:dyDescent="0.4">
      <c r="A7" s="6">
        <v>3</v>
      </c>
      <c r="B7" s="7" t="s">
        <v>27</v>
      </c>
      <c r="C7" s="7" t="s">
        <v>42</v>
      </c>
      <c r="D7" s="9">
        <f>2000000 + 1800000</f>
        <v>3800000</v>
      </c>
      <c r="K7" s="1"/>
    </row>
    <row r="8" spans="1:11" ht="43.8" customHeight="1" thickBot="1" x14ac:dyDescent="0.4">
      <c r="A8" s="6">
        <v>4</v>
      </c>
      <c r="B8" s="7" t="s">
        <v>28</v>
      </c>
      <c r="C8" s="7" t="s">
        <v>29</v>
      </c>
      <c r="D8" s="9">
        <f>'Chi phí hằng tháng'!C4*3</f>
        <v>51000000</v>
      </c>
    </row>
    <row r="9" spans="1:11" ht="40.200000000000003" customHeight="1" thickBot="1" x14ac:dyDescent="0.4">
      <c r="A9" s="6">
        <v>5</v>
      </c>
      <c r="B9" s="7" t="s">
        <v>30</v>
      </c>
      <c r="C9" s="7" t="s">
        <v>31</v>
      </c>
      <c r="D9" s="9">
        <f>5000000 + 350000 + 600000 + 1200000 + 480000</f>
        <v>7630000</v>
      </c>
    </row>
    <row r="10" spans="1:11" ht="54" customHeight="1" thickBot="1" x14ac:dyDescent="0.4">
      <c r="A10" s="6">
        <v>6</v>
      </c>
      <c r="B10" s="7" t="s">
        <v>32</v>
      </c>
      <c r="C10" s="7" t="s">
        <v>33</v>
      </c>
      <c r="D10" s="9">
        <v>3000000</v>
      </c>
    </row>
    <row r="11" spans="1:11" ht="193.2" customHeight="1" thickBot="1" x14ac:dyDescent="0.4">
      <c r="A11" s="6">
        <v>7</v>
      </c>
      <c r="B11" s="7" t="s">
        <v>70</v>
      </c>
      <c r="C11" s="7" t="s">
        <v>193</v>
      </c>
      <c r="D11" s="9">
        <v>25000000</v>
      </c>
    </row>
    <row r="12" spans="1:11" ht="35.4" customHeight="1" thickBot="1" x14ac:dyDescent="0.4">
      <c r="A12" s="6">
        <v>8</v>
      </c>
      <c r="B12" s="7" t="s">
        <v>69</v>
      </c>
      <c r="C12" s="7" t="s">
        <v>64</v>
      </c>
      <c r="D12" s="9">
        <f>1200000*4+1500000*2</f>
        <v>7800000</v>
      </c>
    </row>
    <row r="13" spans="1:11" ht="30.6" customHeight="1" thickBot="1" x14ac:dyDescent="0.4">
      <c r="A13" s="6">
        <v>9</v>
      </c>
      <c r="B13" s="7" t="s">
        <v>34</v>
      </c>
      <c r="C13" s="7" t="s">
        <v>65</v>
      </c>
      <c r="D13" s="9">
        <f>1800000*8</f>
        <v>14400000</v>
      </c>
    </row>
    <row r="14" spans="1:11" ht="37.799999999999997" customHeight="1" thickBot="1" x14ac:dyDescent="0.4">
      <c r="A14" s="6">
        <v>10</v>
      </c>
      <c r="B14" s="7" t="s">
        <v>35</v>
      </c>
      <c r="C14" s="7" t="s">
        <v>36</v>
      </c>
      <c r="D14" s="9">
        <f>350000*2</f>
        <v>700000</v>
      </c>
    </row>
    <row r="15" spans="1:11" ht="69" customHeight="1" thickBot="1" x14ac:dyDescent="0.4">
      <c r="A15" s="6">
        <v>11</v>
      </c>
      <c r="B15" s="7" t="s">
        <v>37</v>
      </c>
      <c r="C15" s="7" t="s">
        <v>38</v>
      </c>
      <c r="D15" s="9">
        <f>1700000 + 310000 + 410000 + 260000</f>
        <v>2680000</v>
      </c>
    </row>
    <row r="16" spans="1:11" ht="69" customHeight="1" thickBot="1" x14ac:dyDescent="0.4">
      <c r="A16" s="6"/>
      <c r="B16" s="7" t="s">
        <v>280</v>
      </c>
      <c r="C16" s="7" t="s">
        <v>318</v>
      </c>
      <c r="D16" s="9">
        <v>2000000000</v>
      </c>
    </row>
    <row r="17" spans="1:4" ht="25.8" customHeight="1" thickBot="1" x14ac:dyDescent="0.4">
      <c r="A17" s="6">
        <v>12</v>
      </c>
      <c r="B17" s="7" t="s">
        <v>39</v>
      </c>
      <c r="C17" s="7" t="s">
        <v>190</v>
      </c>
      <c r="D17" s="9">
        <f>12000000</f>
        <v>12000000</v>
      </c>
    </row>
    <row r="18" spans="1:4" ht="51" customHeight="1" thickBot="1" x14ac:dyDescent="0.4">
      <c r="A18" s="6">
        <v>13</v>
      </c>
      <c r="B18" s="7" t="s">
        <v>68</v>
      </c>
      <c r="C18" s="7" t="s">
        <v>40</v>
      </c>
      <c r="D18" s="9">
        <v>1500000</v>
      </c>
    </row>
    <row r="19" spans="1:4" ht="76.8" customHeight="1" thickBot="1" x14ac:dyDescent="0.4">
      <c r="A19" s="6">
        <v>15</v>
      </c>
      <c r="B19" s="7" t="s">
        <v>66</v>
      </c>
      <c r="C19" s="7" t="s">
        <v>67</v>
      </c>
      <c r="D19" s="10">
        <f>2500000*2</f>
        <v>5000000</v>
      </c>
    </row>
    <row r="20" spans="1:4" ht="63.6" customHeight="1" thickBot="1" x14ac:dyDescent="0.4">
      <c r="A20" s="192" t="s">
        <v>41</v>
      </c>
      <c r="B20" s="193"/>
      <c r="C20" s="194"/>
      <c r="D20" s="11">
        <f>SUM(D4:D19)</f>
        <v>2138260000</v>
      </c>
    </row>
  </sheetData>
  <mergeCells count="4">
    <mergeCell ref="A1:D1"/>
    <mergeCell ref="A3:D3"/>
    <mergeCell ref="A6:D6"/>
    <mergeCell ref="A20:C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B3F7-CCB7-4E75-BCDF-5527EA649D08}">
  <dimension ref="A1:H31"/>
  <sheetViews>
    <sheetView zoomScale="70" zoomScaleNormal="70" workbookViewId="0">
      <selection activeCell="F27" sqref="F27"/>
    </sheetView>
  </sheetViews>
  <sheetFormatPr defaultRowHeight="14.4" x14ac:dyDescent="0.3"/>
  <cols>
    <col min="1" max="1" width="46.6640625" customWidth="1"/>
    <col min="2" max="3" width="23.21875" customWidth="1"/>
    <col min="4" max="4" width="39.33203125" customWidth="1"/>
    <col min="5" max="5" width="25" customWidth="1"/>
    <col min="6" max="6" width="26.6640625" customWidth="1"/>
    <col min="7" max="8" width="30.21875" customWidth="1"/>
  </cols>
  <sheetData>
    <row r="1" spans="1:8" ht="18" x14ac:dyDescent="0.35">
      <c r="A1" s="68" t="s">
        <v>165</v>
      </c>
      <c r="B1" s="68" t="s">
        <v>166</v>
      </c>
      <c r="C1" s="68"/>
      <c r="D1" s="31"/>
      <c r="E1" s="31"/>
      <c r="F1" s="31"/>
      <c r="G1" s="31"/>
    </row>
    <row r="2" spans="1:8" ht="18" x14ac:dyDescent="0.35">
      <c r="A2" s="68" t="s">
        <v>167</v>
      </c>
      <c r="B2" s="69">
        <f>'Chi phí ban đầu'!D20/24</f>
        <v>89094166.666666672</v>
      </c>
      <c r="C2" s="69"/>
      <c r="D2" s="31"/>
      <c r="E2" s="31"/>
      <c r="F2" s="31"/>
      <c r="G2" s="31"/>
    </row>
    <row r="3" spans="1:8" ht="18" x14ac:dyDescent="0.35">
      <c r="A3" s="70" t="s">
        <v>73</v>
      </c>
      <c r="B3" s="70" t="s">
        <v>233</v>
      </c>
      <c r="C3" s="70" t="s">
        <v>75</v>
      </c>
      <c r="D3" s="70" t="s">
        <v>235</v>
      </c>
      <c r="E3" s="70" t="s">
        <v>168</v>
      </c>
      <c r="F3" s="70" t="s">
        <v>169</v>
      </c>
      <c r="G3" s="70" t="s">
        <v>236</v>
      </c>
    </row>
    <row r="4" spans="1:8" ht="18" x14ac:dyDescent="0.35">
      <c r="A4" s="124" t="str">
        <f>'Sản phẩm'!B3</f>
        <v>Hạt khô vị nguyên bản LuxPaws</v>
      </c>
      <c r="B4" s="160">
        <f>'Doanh thu, chi TB hàng tháng'!D27</f>
        <v>113115.00547645126</v>
      </c>
      <c r="C4" s="161">
        <f>'Sản phẩm'!E3</f>
        <v>189000</v>
      </c>
      <c r="D4" s="161">
        <f>'Doanh thu, chi TB hàng tháng'!F3</f>
        <v>18900000</v>
      </c>
      <c r="E4" s="161">
        <f t="shared" ref="E4:E23" si="0">C4-B4</f>
        <v>75884.994523548739</v>
      </c>
      <c r="F4" s="162">
        <f t="shared" ref="F4:F23" si="1">E4/C4</f>
        <v>0.40150790753200394</v>
      </c>
      <c r="G4" s="163">
        <f>F4*D4</f>
        <v>7588499.4523548745</v>
      </c>
      <c r="H4" s="144"/>
    </row>
    <row r="5" spans="1:8" ht="18" x14ac:dyDescent="0.35">
      <c r="A5" s="124" t="str">
        <f>'Sản phẩm'!B4</f>
        <v>Hạt khô vị bò LuxPaws</v>
      </c>
      <c r="B5" s="160">
        <f>'Doanh thu, chi TB hàng tháng'!D28</f>
        <v>193115.00547645125</v>
      </c>
      <c r="C5" s="161">
        <f>'Sản phẩm'!E4</f>
        <v>300000</v>
      </c>
      <c r="D5" s="161">
        <f>'Doanh thu, chi TB hàng tháng'!F4</f>
        <v>30000000</v>
      </c>
      <c r="E5" s="161">
        <f t="shared" si="0"/>
        <v>106884.99452354875</v>
      </c>
      <c r="F5" s="162">
        <f t="shared" si="1"/>
        <v>0.35628331507849587</v>
      </c>
      <c r="G5" s="163">
        <f t="shared" ref="G5:G23" si="2">F5*D5</f>
        <v>10688499.452354876</v>
      </c>
    </row>
    <row r="6" spans="1:8" ht="18" x14ac:dyDescent="0.35">
      <c r="A6" s="124" t="str">
        <f>'Sản phẩm'!B5</f>
        <v>Hạt khô vị heo LuxPaws</v>
      </c>
      <c r="B6" s="160">
        <f>'Doanh thu, chi TB hàng tháng'!D29</f>
        <v>153115.00547645125</v>
      </c>
      <c r="C6" s="161">
        <f>'Sản phẩm'!E5</f>
        <v>249000</v>
      </c>
      <c r="D6" s="161">
        <f>'Doanh thu, chi TB hàng tháng'!F5</f>
        <v>24900000</v>
      </c>
      <c r="E6" s="161">
        <f t="shared" si="0"/>
        <v>95884.994523548754</v>
      </c>
      <c r="F6" s="162">
        <f t="shared" si="1"/>
        <v>0.38508029929136045</v>
      </c>
      <c r="G6" s="163">
        <f t="shared" si="2"/>
        <v>9588499.4523548745</v>
      </c>
    </row>
    <row r="7" spans="1:8" ht="18" x14ac:dyDescent="0.35">
      <c r="A7" s="124" t="str">
        <f>'Sản phẩm'!B6</f>
        <v>Hạt khô bổ sung rau củ LuxPaws</v>
      </c>
      <c r="B7" s="160">
        <f>'Doanh thu, chi TB hàng tháng'!D30</f>
        <v>108115.00547645126</v>
      </c>
      <c r="C7" s="161">
        <f>'Sản phẩm'!E6</f>
        <v>159000</v>
      </c>
      <c r="D7" s="161">
        <f>'Doanh thu, chi TB hàng tháng'!F6</f>
        <v>15900000</v>
      </c>
      <c r="E7" s="161">
        <f t="shared" si="0"/>
        <v>50884.994523548739</v>
      </c>
      <c r="F7" s="162">
        <f t="shared" si="1"/>
        <v>0.32003141209779079</v>
      </c>
      <c r="G7" s="163">
        <f t="shared" si="2"/>
        <v>5088499.4523548735</v>
      </c>
    </row>
    <row r="8" spans="1:8" ht="18" x14ac:dyDescent="0.35">
      <c r="A8" s="124" t="str">
        <f>'Sản phẩm'!B7</f>
        <v>Combo 4 loại hỗn hợp LuxPaws</v>
      </c>
      <c r="B8" s="160">
        <f>'Doanh thu, chi TB hàng tháng'!D31</f>
        <v>522115.00547645125</v>
      </c>
      <c r="C8" s="161">
        <f>'Sản phẩm'!E7</f>
        <v>599000</v>
      </c>
      <c r="D8" s="161">
        <f>'Doanh thu, chi TB hàng tháng'!F7</f>
        <v>41930000</v>
      </c>
      <c r="E8" s="161">
        <f t="shared" si="0"/>
        <v>76884.994523548754</v>
      </c>
      <c r="F8" s="162">
        <f t="shared" si="1"/>
        <v>0.12835558351176754</v>
      </c>
      <c r="G8" s="163">
        <f t="shared" si="2"/>
        <v>5381949.6166484132</v>
      </c>
    </row>
    <row r="9" spans="1:8" ht="18" x14ac:dyDescent="0.35">
      <c r="A9" s="124" t="str">
        <f>'Sản phẩm'!B8</f>
        <v>Sữa hạt lanh LuxPaws</v>
      </c>
      <c r="B9" s="160">
        <f>'Doanh thu, chi TB hàng tháng'!D32</f>
        <v>25895.005476451261</v>
      </c>
      <c r="C9" s="161">
        <f>'Sản phẩm'!E8</f>
        <v>39000</v>
      </c>
      <c r="D9" s="161">
        <f>'Doanh thu, chi TB hàng tháng'!F8</f>
        <v>2925000</v>
      </c>
      <c r="E9" s="161">
        <f t="shared" si="0"/>
        <v>13104.994523548739</v>
      </c>
      <c r="F9" s="162">
        <f t="shared" si="1"/>
        <v>0.33602550060381381</v>
      </c>
      <c r="G9" s="163">
        <f t="shared" si="2"/>
        <v>982874.58926615538</v>
      </c>
    </row>
    <row r="10" spans="1:8" ht="18" x14ac:dyDescent="0.35">
      <c r="A10" s="124" t="str">
        <f>'Sản phẩm'!B9</f>
        <v>Sữa bột pha sẵn LuxPaws</v>
      </c>
      <c r="B10" s="160">
        <f>'Doanh thu, chi TB hàng tháng'!D33</f>
        <v>25395.005476451261</v>
      </c>
      <c r="C10" s="161">
        <f>'Sản phẩm'!E9</f>
        <v>39000</v>
      </c>
      <c r="D10" s="161">
        <f>'Doanh thu, chi TB hàng tháng'!F9</f>
        <v>3510000</v>
      </c>
      <c r="E10" s="161">
        <f t="shared" si="0"/>
        <v>13604.994523548739</v>
      </c>
      <c r="F10" s="162">
        <f t="shared" si="1"/>
        <v>0.34884601342432664</v>
      </c>
      <c r="G10" s="163">
        <f t="shared" si="2"/>
        <v>1224449.5071193865</v>
      </c>
    </row>
    <row r="11" spans="1:8" ht="18" x14ac:dyDescent="0.35">
      <c r="A11" s="124" t="str">
        <f>'Sản phẩm'!B10</f>
        <v>Pate gà LuxPaws</v>
      </c>
      <c r="B11" s="160">
        <f>'Doanh thu, chi TB hàng tháng'!D34</f>
        <v>35115.005476451261</v>
      </c>
      <c r="C11" s="161">
        <f>'Sản phẩm'!E10</f>
        <v>239000</v>
      </c>
      <c r="D11" s="161">
        <f>'Doanh thu, chi TB hàng tháng'!F10</f>
        <v>23900000</v>
      </c>
      <c r="E11" s="161">
        <f t="shared" si="0"/>
        <v>203884.99452354875</v>
      </c>
      <c r="F11" s="162">
        <f t="shared" si="1"/>
        <v>0.85307529089350942</v>
      </c>
      <c r="G11" s="163">
        <f t="shared" si="2"/>
        <v>20388499.452354874</v>
      </c>
    </row>
    <row r="12" spans="1:8" ht="18" x14ac:dyDescent="0.35">
      <c r="A12" s="124" t="str">
        <f>'Sản phẩm'!B11</f>
        <v>Pate heo LuxPaws</v>
      </c>
      <c r="B12" s="160">
        <f>'Doanh thu, chi TB hàng tháng'!D35</f>
        <v>55115.005476451261</v>
      </c>
      <c r="C12" s="161">
        <f>'Sản phẩm'!E11</f>
        <v>239000</v>
      </c>
      <c r="D12" s="161">
        <f>'Doanh thu, chi TB hàng tháng'!F11</f>
        <v>23900000</v>
      </c>
      <c r="E12" s="161">
        <f t="shared" si="0"/>
        <v>183884.99452354875</v>
      </c>
      <c r="F12" s="162">
        <f t="shared" si="1"/>
        <v>0.76939328252530859</v>
      </c>
      <c r="G12" s="163">
        <f t="shared" si="2"/>
        <v>18388499.452354874</v>
      </c>
    </row>
    <row r="13" spans="1:8" ht="18" x14ac:dyDescent="0.35">
      <c r="A13" s="124" t="str">
        <f>'Sản phẩm'!B12</f>
        <v>Pate hỗn hợp LuxPaws</v>
      </c>
      <c r="B13" s="160">
        <f>'Doanh thu, chi TB hàng tháng'!D36</f>
        <v>61115.005476451261</v>
      </c>
      <c r="C13" s="161">
        <f>'Sản phẩm'!E12</f>
        <v>259000</v>
      </c>
      <c r="D13" s="161">
        <f>'Doanh thu, chi TB hàng tháng'!F12</f>
        <v>25900000</v>
      </c>
      <c r="E13" s="161">
        <f t="shared" si="0"/>
        <v>197884.99452354875</v>
      </c>
      <c r="F13" s="162">
        <f t="shared" si="1"/>
        <v>0.76403472789014959</v>
      </c>
      <c r="G13" s="163">
        <f t="shared" si="2"/>
        <v>19788499.452354874</v>
      </c>
    </row>
    <row r="14" spans="1:8" ht="18" x14ac:dyDescent="0.35">
      <c r="A14" s="124" t="str">
        <f>'Sản phẩm'!B13</f>
        <v>Combo 3 loại pate LuxPaws</v>
      </c>
      <c r="B14" s="160">
        <f>'Doanh thu, chi TB hàng tháng'!D37</f>
        <v>121115.00547645126</v>
      </c>
      <c r="C14" s="161">
        <f>'Sản phẩm'!E13</f>
        <v>699000</v>
      </c>
      <c r="D14" s="161">
        <f>'Doanh thu, chi TB hàng tháng'!F13</f>
        <v>48930000</v>
      </c>
      <c r="E14" s="161">
        <f t="shared" si="0"/>
        <v>577884.99452354875</v>
      </c>
      <c r="F14" s="162">
        <f t="shared" si="1"/>
        <v>0.82673103651437585</v>
      </c>
      <c r="G14" s="163">
        <f t="shared" si="2"/>
        <v>40451949.616648413</v>
      </c>
    </row>
    <row r="15" spans="1:8" ht="18" x14ac:dyDescent="0.35">
      <c r="A15" s="124" t="str">
        <f>'Sản phẩm'!B14</f>
        <v>Pate gói nhỏ LuxPaws</v>
      </c>
      <c r="B15" s="160">
        <f>'Doanh thu, chi TB hàng tháng'!D38</f>
        <v>19115.005476451261</v>
      </c>
      <c r="C15" s="161">
        <f>'Sản phẩm'!E14</f>
        <v>49000</v>
      </c>
      <c r="D15" s="161">
        <f>'Doanh thu, chi TB hàng tháng'!F14</f>
        <v>14700000</v>
      </c>
      <c r="E15" s="161">
        <f t="shared" si="0"/>
        <v>29884.994523548739</v>
      </c>
      <c r="F15" s="162">
        <f t="shared" si="1"/>
        <v>0.60989784741936204</v>
      </c>
      <c r="G15" s="163">
        <f t="shared" si="2"/>
        <v>8965498.3570646215</v>
      </c>
    </row>
    <row r="16" spans="1:8" ht="18" x14ac:dyDescent="0.35">
      <c r="A16" s="97" t="str">
        <f>'Sản phẩm'!B15</f>
        <v>Tinh dầu dưỡng lông LuxPaws</v>
      </c>
      <c r="B16" s="164">
        <f>'Doanh thu, chi TB hàng tháng'!D39</f>
        <v>60000</v>
      </c>
      <c r="C16" s="165">
        <f>'Sản phẩm'!E15</f>
        <v>89000</v>
      </c>
      <c r="D16" s="165">
        <f>'Doanh thu, chi TB hàng tháng'!F15</f>
        <v>6230000</v>
      </c>
      <c r="E16" s="165">
        <f t="shared" si="0"/>
        <v>29000</v>
      </c>
      <c r="F16" s="166">
        <f t="shared" si="1"/>
        <v>0.3258426966292135</v>
      </c>
      <c r="G16" s="167">
        <f t="shared" si="2"/>
        <v>2030000.0000000002</v>
      </c>
    </row>
    <row r="17" spans="1:7" ht="18" x14ac:dyDescent="0.35">
      <c r="A17" s="97" t="str">
        <f>'Sản phẩm'!B16</f>
        <v xml:space="preserve">Nước hoa cho thú cưng hương Oải hương </v>
      </c>
      <c r="B17" s="164">
        <f>'Doanh thu, chi TB hàng tháng'!D40</f>
        <v>40000</v>
      </c>
      <c r="C17" s="165">
        <f>'Sản phẩm'!E16</f>
        <v>69000</v>
      </c>
      <c r="D17" s="165">
        <f>'Doanh thu, chi TB hàng tháng'!F16</f>
        <v>5520000</v>
      </c>
      <c r="E17" s="165">
        <f t="shared" si="0"/>
        <v>29000</v>
      </c>
      <c r="F17" s="166">
        <f t="shared" si="1"/>
        <v>0.42028985507246375</v>
      </c>
      <c r="G17" s="167">
        <f t="shared" si="2"/>
        <v>2320000</v>
      </c>
    </row>
    <row r="18" spans="1:7" ht="18" x14ac:dyDescent="0.35">
      <c r="A18" s="97" t="str">
        <f>'Sản phẩm'!B17</f>
        <v>Combo tinh dầu nước hoa LuxPaws</v>
      </c>
      <c r="B18" s="164">
        <f>'Doanh thu, chi TB hàng tháng'!D41</f>
        <v>101000</v>
      </c>
      <c r="C18" s="165">
        <f>'Sản phẩm'!E17</f>
        <v>149000</v>
      </c>
      <c r="D18" s="165">
        <f>'Doanh thu, chi TB hàng tháng'!F17</f>
        <v>7450000</v>
      </c>
      <c r="E18" s="165">
        <f t="shared" si="0"/>
        <v>48000</v>
      </c>
      <c r="F18" s="166">
        <f t="shared" si="1"/>
        <v>0.32214765100671139</v>
      </c>
      <c r="G18" s="167">
        <f t="shared" si="2"/>
        <v>2400000</v>
      </c>
    </row>
    <row r="19" spans="1:7" ht="18" x14ac:dyDescent="0.35">
      <c r="A19" s="97" t="str">
        <f>'Sản phẩm'!B18</f>
        <v>Sữa tắm chó mèo LuxPaws</v>
      </c>
      <c r="B19" s="164">
        <f>'Doanh thu, chi TB hàng tháng'!D42</f>
        <v>59000</v>
      </c>
      <c r="C19" s="165">
        <f>'Sản phẩm'!E18</f>
        <v>99000</v>
      </c>
      <c r="D19" s="165">
        <f>'Doanh thu, chi TB hàng tháng'!F18</f>
        <v>5940000</v>
      </c>
      <c r="E19" s="165">
        <f t="shared" si="0"/>
        <v>40000</v>
      </c>
      <c r="F19" s="166">
        <f t="shared" si="1"/>
        <v>0.40404040404040403</v>
      </c>
      <c r="G19" s="167">
        <f t="shared" si="2"/>
        <v>2400000</v>
      </c>
    </row>
    <row r="20" spans="1:7" ht="18" x14ac:dyDescent="0.35">
      <c r="A20" s="97" t="str">
        <f>'Sản phẩm'!B19</f>
        <v>Cỏ mèo</v>
      </c>
      <c r="B20" s="164">
        <f>'Doanh thu, chi TB hàng tháng'!D43</f>
        <v>12000</v>
      </c>
      <c r="C20" s="165">
        <f>'Sản phẩm'!E19</f>
        <v>19000</v>
      </c>
      <c r="D20" s="165">
        <f>'Doanh thu, chi TB hàng tháng'!F19</f>
        <v>3800000</v>
      </c>
      <c r="E20" s="165">
        <f t="shared" si="0"/>
        <v>7000</v>
      </c>
      <c r="F20" s="166">
        <f t="shared" si="1"/>
        <v>0.36842105263157893</v>
      </c>
      <c r="G20" s="167">
        <f t="shared" si="2"/>
        <v>1400000</v>
      </c>
    </row>
    <row r="21" spans="1:7" ht="18" x14ac:dyDescent="0.35">
      <c r="A21" s="97" t="str">
        <f>'Sản phẩm'!B20</f>
        <v>Phấn tắm khô LuxPaw</v>
      </c>
      <c r="B21" s="164">
        <f>'Doanh thu, chi TB hàng tháng'!D44</f>
        <v>60000</v>
      </c>
      <c r="C21" s="165">
        <f>'Sản phẩm'!E20</f>
        <v>89000</v>
      </c>
      <c r="D21" s="165">
        <f>'Doanh thu, chi TB hàng tháng'!F20</f>
        <v>26700000</v>
      </c>
      <c r="E21" s="165">
        <f t="shared" si="0"/>
        <v>29000</v>
      </c>
      <c r="F21" s="166">
        <f t="shared" si="1"/>
        <v>0.3258426966292135</v>
      </c>
      <c r="G21" s="167">
        <f t="shared" si="2"/>
        <v>8700000</v>
      </c>
    </row>
    <row r="22" spans="1:7" ht="18" x14ac:dyDescent="0.35">
      <c r="A22" s="97" t="str">
        <f>'Sản phẩm'!B21</f>
        <v>Súp thưởng LuxPaws cho mèo</v>
      </c>
      <c r="B22" s="164">
        <f>'Doanh thu, chi TB hàng tháng'!D45</f>
        <v>10000</v>
      </c>
      <c r="C22" s="165">
        <f>'Sản phẩm'!E21</f>
        <v>20000</v>
      </c>
      <c r="D22" s="165">
        <f>'Doanh thu, chi TB hàng tháng'!F21</f>
        <v>40000000</v>
      </c>
      <c r="E22" s="165">
        <f t="shared" si="0"/>
        <v>10000</v>
      </c>
      <c r="F22" s="166">
        <f t="shared" si="1"/>
        <v>0.5</v>
      </c>
      <c r="G22" s="167">
        <f t="shared" si="2"/>
        <v>20000000</v>
      </c>
    </row>
    <row r="23" spans="1:7" ht="18" x14ac:dyDescent="0.35">
      <c r="A23" s="97" t="str">
        <f>'Sản phẩm'!B22</f>
        <v>Bánh thưởng LuxPaws</v>
      </c>
      <c r="B23" s="164">
        <f>'Doanh thu, chi TB hàng tháng'!D46</f>
        <v>15000</v>
      </c>
      <c r="C23" s="165">
        <f>'Sản phẩm'!E22</f>
        <v>25000</v>
      </c>
      <c r="D23" s="165">
        <f>'Doanh thu, chi TB hàng tháng'!F22</f>
        <v>12500000</v>
      </c>
      <c r="E23" s="165">
        <f t="shared" si="0"/>
        <v>10000</v>
      </c>
      <c r="F23" s="166">
        <f t="shared" si="1"/>
        <v>0.4</v>
      </c>
      <c r="G23" s="167">
        <f t="shared" si="2"/>
        <v>5000000</v>
      </c>
    </row>
    <row r="24" spans="1:7" ht="18" x14ac:dyDescent="0.35">
      <c r="B24" s="168"/>
      <c r="C24" s="169"/>
      <c r="D24" s="170">
        <f>'Doanh thu, chi TB hàng tháng'!F23</f>
        <v>383535000</v>
      </c>
      <c r="E24" s="170"/>
      <c r="F24" s="170"/>
      <c r="G24" s="170">
        <f>SUM(G4:G23)</f>
        <v>192776217.85323113</v>
      </c>
    </row>
    <row r="27" spans="1:7" x14ac:dyDescent="0.3">
      <c r="B27" s="156" t="s">
        <v>169</v>
      </c>
      <c r="C27" s="157">
        <f>G24/D24</f>
        <v>0.50263005424076324</v>
      </c>
      <c r="D27" s="156"/>
    </row>
    <row r="28" spans="1:7" x14ac:dyDescent="0.3">
      <c r="B28" s="156" t="s">
        <v>234</v>
      </c>
      <c r="C28" s="158">
        <f>'Chi phí hằng tháng'!C11/'Điểm hòa vốn'!C27</f>
        <v>117183601.54362457</v>
      </c>
      <c r="D28" s="156"/>
    </row>
    <row r="29" spans="1:7" x14ac:dyDescent="0.3">
      <c r="B29" s="156" t="s">
        <v>141</v>
      </c>
      <c r="C29" s="158">
        <f>D24-C28</f>
        <v>266351398.45637542</v>
      </c>
      <c r="D29" s="156"/>
      <c r="E29" s="145"/>
    </row>
    <row r="30" spans="1:7" x14ac:dyDescent="0.3">
      <c r="B30" s="156" t="s">
        <v>237</v>
      </c>
      <c r="C30" s="159">
        <f>C27*'Điểm hòa vốn'!C29</f>
        <v>133876217.85323112</v>
      </c>
      <c r="D30" s="159">
        <f>D24-'Doanh thu, chi TB hàng tháng'!H23-'Chi phí hằng tháng'!C11</f>
        <v>133876217.85323113</v>
      </c>
    </row>
    <row r="31" spans="1:7" x14ac:dyDescent="0.3">
      <c r="B31" s="156"/>
      <c r="C31" s="159"/>
      <c r="D31" s="15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A977-3BFA-48E8-8581-E1F018C50BEE}">
  <dimension ref="A1:D13"/>
  <sheetViews>
    <sheetView workbookViewId="0">
      <selection activeCell="D1" sqref="D1"/>
    </sheetView>
  </sheetViews>
  <sheetFormatPr defaultRowHeight="18" x14ac:dyDescent="0.35"/>
  <cols>
    <col min="1" max="1" width="30.77734375" style="1" customWidth="1"/>
    <col min="2" max="2" width="30" style="1" customWidth="1"/>
    <col min="3" max="3" width="32" style="1" customWidth="1"/>
    <col min="4" max="4" width="15.88671875" style="1" customWidth="1"/>
    <col min="5" max="16384" width="8.88671875" style="1"/>
  </cols>
  <sheetData>
    <row r="1" spans="1:4" ht="44.4" customHeight="1" x14ac:dyDescent="0.35">
      <c r="A1" s="48"/>
      <c r="B1" s="49" t="s">
        <v>91</v>
      </c>
      <c r="C1" s="49" t="s">
        <v>92</v>
      </c>
    </row>
    <row r="2" spans="1:4" ht="46.8" customHeight="1" x14ac:dyDescent="0.35">
      <c r="A2" s="50" t="s">
        <v>93</v>
      </c>
      <c r="B2" s="51">
        <f>SUM(ELS!P17,ELS!P20,ELS!P23,ELS!P26,ELS!P29,ELS!P35,ELS!P38,ELS!P41,ELS!P44,ELS!P47,ELS!P50,EOQ!P27,EOQ!P30,EOQ!P33,EOQ!P36,EOQ!P39,EOQ!P42,EOQ!P45,EOQ!P48)</f>
        <v>444630540.96385539</v>
      </c>
      <c r="C2" s="51">
        <f>B2</f>
        <v>444630540.96385539</v>
      </c>
      <c r="D2" s="80"/>
    </row>
    <row r="3" spans="1:4" ht="48.6" customHeight="1" x14ac:dyDescent="0.35">
      <c r="A3" s="88" t="s">
        <v>105</v>
      </c>
      <c r="B3" s="89">
        <f>'Dự đoán doanh thu'!F14</f>
        <v>1942912109.9014235</v>
      </c>
      <c r="C3" s="90">
        <f>'Dự đoán doanh thu'!F28</f>
        <v>2327257142.1905804</v>
      </c>
      <c r="D3" s="80"/>
    </row>
    <row r="4" spans="1:4" ht="55.8" customHeight="1" x14ac:dyDescent="0.35">
      <c r="A4" s="50" t="s">
        <v>94</v>
      </c>
      <c r="B4" s="52">
        <f>B3/B2</f>
        <v>4.3697225694160435</v>
      </c>
      <c r="C4" s="52">
        <f>C3/C2</f>
        <v>5.2341369469259336</v>
      </c>
      <c r="D4" s="80"/>
    </row>
    <row r="5" spans="1:4" ht="28.8" customHeight="1" x14ac:dyDescent="0.35">
      <c r="A5" s="50" t="s">
        <v>95</v>
      </c>
      <c r="B5" s="51">
        <f>'Dự đoán doanh thu'!E14</f>
        <v>4109574000</v>
      </c>
      <c r="C5" s="51">
        <f>'Dự đoán doanh thu'!E28</f>
        <v>4679127000</v>
      </c>
    </row>
    <row r="6" spans="1:4" ht="32.4" customHeight="1" x14ac:dyDescent="0.35">
      <c r="A6" s="50" t="s">
        <v>136</v>
      </c>
      <c r="B6" s="52">
        <f>'Doanh thu, chi TB hàng tháng'!C63</f>
        <v>-1060991709.9014235</v>
      </c>
      <c r="C6" s="52">
        <f>'Doanh thu, chi TB hàng tháng'!D63</f>
        <v>1262476257.8094196</v>
      </c>
    </row>
    <row r="7" spans="1:4" ht="42.6" customHeight="1" x14ac:dyDescent="0.35">
      <c r="A7" s="50" t="s">
        <v>96</v>
      </c>
      <c r="B7" s="52">
        <f>B6/B5</f>
        <v>-0.25817559433202164</v>
      </c>
      <c r="C7" s="52">
        <f t="shared" ref="C7" si="0">C6/C5</f>
        <v>0.26981021412956296</v>
      </c>
    </row>
    <row r="8" spans="1:4" ht="42" customHeight="1" x14ac:dyDescent="0.35">
      <c r="A8" s="50" t="s">
        <v>97</v>
      </c>
      <c r="B8" s="52">
        <f t="shared" ref="B8:C8" si="1">365/B4</f>
        <v>83.529330341165689</v>
      </c>
      <c r="C8" s="52">
        <f t="shared" si="1"/>
        <v>69.734514725368143</v>
      </c>
    </row>
    <row r="9" spans="1:4" ht="42.6" customHeight="1" x14ac:dyDescent="0.35">
      <c r="A9" s="50" t="s">
        <v>98</v>
      </c>
      <c r="B9" s="52">
        <v>30</v>
      </c>
      <c r="C9" s="52">
        <v>30</v>
      </c>
    </row>
    <row r="10" spans="1:4" ht="67.8" customHeight="1" x14ac:dyDescent="0.35">
      <c r="A10" s="50" t="s">
        <v>99</v>
      </c>
      <c r="B10" s="52">
        <v>10</v>
      </c>
      <c r="C10" s="52">
        <v>10</v>
      </c>
    </row>
    <row r="11" spans="1:4" ht="39.6" customHeight="1" x14ac:dyDescent="0.35">
      <c r="A11" s="50" t="s">
        <v>100</v>
      </c>
      <c r="B11" s="52">
        <f t="shared" ref="B11:C11" si="2">B8+B9-B10</f>
        <v>103.52933034116569</v>
      </c>
      <c r="C11" s="52">
        <f t="shared" si="2"/>
        <v>89.734514725368143</v>
      </c>
    </row>
    <row r="12" spans="1:4" ht="63" customHeight="1" x14ac:dyDescent="0.35"/>
    <row r="13" spans="1:4" ht="46.2" customHeight="1" x14ac:dyDescent="0.3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zoomScale="55" zoomScaleNormal="55" workbookViewId="0">
      <selection activeCell="B8" sqref="B8"/>
    </sheetView>
  </sheetViews>
  <sheetFormatPr defaultRowHeight="18" x14ac:dyDescent="0.35"/>
  <cols>
    <col min="1" max="1" width="82.77734375" style="1" customWidth="1"/>
    <col min="2" max="2" width="23.88671875" style="1" customWidth="1"/>
    <col min="3" max="16384" width="8.88671875" style="1"/>
  </cols>
  <sheetData>
    <row r="1" spans="1:2" ht="24.6" customHeight="1" x14ac:dyDescent="0.35">
      <c r="A1" s="2" t="s">
        <v>0</v>
      </c>
      <c r="B1" s="3">
        <v>1565</v>
      </c>
    </row>
    <row r="2" spans="1:2" ht="25.8" customHeight="1" x14ac:dyDescent="0.35">
      <c r="A2" s="2" t="s">
        <v>1</v>
      </c>
      <c r="B2" s="3">
        <v>5</v>
      </c>
    </row>
    <row r="3" spans="1:2" ht="25.2" customHeight="1" x14ac:dyDescent="0.35">
      <c r="A3" s="2" t="s">
        <v>2</v>
      </c>
      <c r="B3" s="3">
        <v>15</v>
      </c>
    </row>
    <row r="4" spans="1:2" ht="22.2" customHeight="1" x14ac:dyDescent="0.35">
      <c r="A4" s="2" t="s">
        <v>3</v>
      </c>
      <c r="B4" s="3">
        <f>B1-B2-B3</f>
        <v>1545</v>
      </c>
    </row>
    <row r="5" spans="1:2" ht="26.4" customHeight="1" x14ac:dyDescent="0.35">
      <c r="A5" s="2" t="s">
        <v>4</v>
      </c>
      <c r="B5" s="3">
        <v>12</v>
      </c>
    </row>
    <row r="6" spans="1:2" ht="19.2" customHeight="1" x14ac:dyDescent="0.35">
      <c r="A6" s="2" t="s">
        <v>5</v>
      </c>
      <c r="B6" s="3">
        <f>B4-B5</f>
        <v>1533</v>
      </c>
    </row>
    <row r="7" spans="1:2" ht="21" customHeight="1" x14ac:dyDescent="0.35">
      <c r="A7" s="2" t="s">
        <v>6</v>
      </c>
      <c r="B7" s="3">
        <f>B6-B8</f>
        <v>1525</v>
      </c>
    </row>
    <row r="8" spans="1:2" ht="22.8" customHeight="1" x14ac:dyDescent="0.35">
      <c r="A8" s="2" t="s">
        <v>7</v>
      </c>
      <c r="B8" s="3">
        <v>8</v>
      </c>
    </row>
    <row r="10" spans="1:2" x14ac:dyDescent="0.35">
      <c r="A10" s="227" t="s">
        <v>8</v>
      </c>
      <c r="B10" s="227"/>
    </row>
    <row r="11" spans="1:2" x14ac:dyDescent="0.35">
      <c r="A11" s="4" t="s">
        <v>9</v>
      </c>
      <c r="B11" s="5">
        <f>B6/B1</f>
        <v>0.97955271565495206</v>
      </c>
    </row>
    <row r="12" spans="1:2" ht="36" x14ac:dyDescent="0.35">
      <c r="A12" s="4" t="s">
        <v>10</v>
      </c>
      <c r="B12" s="5">
        <f>B7/B4</f>
        <v>0.98705501618122982</v>
      </c>
    </row>
    <row r="13" spans="1:2" ht="36" x14ac:dyDescent="0.35">
      <c r="A13" s="4" t="s">
        <v>11</v>
      </c>
      <c r="B13" s="5">
        <f>B8/B4</f>
        <v>5.1779935275080907E-3</v>
      </c>
    </row>
    <row r="14" spans="1:2" ht="36" x14ac:dyDescent="0.35">
      <c r="A14" s="4" t="s">
        <v>12</v>
      </c>
      <c r="B14" s="23">
        <f>B8*B23</f>
        <v>7008000</v>
      </c>
    </row>
    <row r="15" spans="1:2" x14ac:dyDescent="0.35">
      <c r="A15" s="4" t="s">
        <v>13</v>
      </c>
      <c r="B15" s="5" t="s">
        <v>90</v>
      </c>
    </row>
    <row r="16" spans="1:2" x14ac:dyDescent="0.35">
      <c r="A16" s="4" t="s">
        <v>14</v>
      </c>
      <c r="B16" s="5">
        <f>B5/B4</f>
        <v>7.7669902912621356E-3</v>
      </c>
    </row>
    <row r="17" spans="1:2" ht="36" x14ac:dyDescent="0.35">
      <c r="A17" s="4" t="s">
        <v>15</v>
      </c>
      <c r="B17" s="5">
        <f>(B2+B3)/B1</f>
        <v>1.2779552715654952E-2</v>
      </c>
    </row>
    <row r="18" spans="1:2" ht="54" x14ac:dyDescent="0.35">
      <c r="A18" s="4" t="s">
        <v>16</v>
      </c>
      <c r="B18" s="5">
        <f>(B2+B3+B5)/B1</f>
        <v>2.0447284345047924E-2</v>
      </c>
    </row>
    <row r="20" spans="1:2" x14ac:dyDescent="0.35">
      <c r="A20" s="228" t="s">
        <v>83</v>
      </c>
      <c r="B20" s="229"/>
    </row>
    <row r="21" spans="1:2" x14ac:dyDescent="0.35">
      <c r="A21" s="24" t="s">
        <v>84</v>
      </c>
      <c r="B21" s="29" t="s">
        <v>101</v>
      </c>
    </row>
    <row r="22" spans="1:2" x14ac:dyDescent="0.35">
      <c r="A22" s="25" t="s">
        <v>85</v>
      </c>
      <c r="B22" s="26">
        <f>B12</f>
        <v>0.98705501618122982</v>
      </c>
    </row>
    <row r="23" spans="1:2" x14ac:dyDescent="0.35">
      <c r="A23" s="25" t="s">
        <v>86</v>
      </c>
      <c r="B23" s="27">
        <v>876000</v>
      </c>
    </row>
    <row r="24" spans="1:2" x14ac:dyDescent="0.35">
      <c r="A24" s="25" t="s">
        <v>87</v>
      </c>
      <c r="B24" s="30">
        <f>B8</f>
        <v>8</v>
      </c>
    </row>
    <row r="25" spans="1:2" x14ac:dyDescent="0.35">
      <c r="A25" s="25" t="s">
        <v>88</v>
      </c>
      <c r="B25" s="26" t="str">
        <f>B15</f>
        <v>1-3 ngày</v>
      </c>
    </row>
    <row r="26" spans="1:2" x14ac:dyDescent="0.35">
      <c r="A26" s="25" t="s">
        <v>89</v>
      </c>
      <c r="B26" s="28">
        <v>2</v>
      </c>
    </row>
  </sheetData>
  <mergeCells count="2">
    <mergeCell ref="A10:B10"/>
    <mergeCell ref="A20:B2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17D5-849E-4EB9-91AF-0019844D225D}">
  <dimension ref="A1:B4"/>
  <sheetViews>
    <sheetView workbookViewId="0">
      <selection activeCell="C3" sqref="C3"/>
    </sheetView>
  </sheetViews>
  <sheetFormatPr defaultRowHeight="18" x14ac:dyDescent="0.35"/>
  <cols>
    <col min="1" max="1" width="37.44140625" style="1" customWidth="1"/>
    <col min="2" max="2" width="17.88671875" style="1" customWidth="1"/>
    <col min="3" max="3" width="13.6640625" style="1" customWidth="1"/>
    <col min="4" max="16384" width="8.88671875" style="1"/>
  </cols>
  <sheetData>
    <row r="1" spans="1:2" ht="34.200000000000003" customHeight="1" x14ac:dyDescent="0.35"/>
    <row r="2" spans="1:2" ht="48.6" customHeight="1" thickBot="1" x14ac:dyDescent="0.4"/>
    <row r="3" spans="1:2" ht="51.6" customHeight="1" thickBot="1" x14ac:dyDescent="0.4">
      <c r="A3" s="47" t="s">
        <v>261</v>
      </c>
      <c r="B3" s="186" t="s">
        <v>258</v>
      </c>
    </row>
    <row r="4" spans="1:2" ht="53.4" customHeight="1" thickBot="1" x14ac:dyDescent="0.4">
      <c r="A4" s="47" t="s">
        <v>260</v>
      </c>
      <c r="B4" s="186" t="s">
        <v>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4070-C685-4F8E-84D7-4D3023D1D049}">
  <dimension ref="A1:R14"/>
  <sheetViews>
    <sheetView tabSelected="1" workbookViewId="0">
      <selection activeCell="A7" sqref="A7"/>
    </sheetView>
  </sheetViews>
  <sheetFormatPr defaultRowHeight="18" x14ac:dyDescent="0.35"/>
  <cols>
    <col min="1" max="1" width="86.77734375" style="1" customWidth="1"/>
    <col min="2" max="2" width="37.5546875" style="1" customWidth="1"/>
    <col min="3" max="5" width="8.88671875" style="1"/>
    <col min="6" max="6" width="10.5546875" style="1" customWidth="1"/>
    <col min="7" max="7" width="14.6640625" style="1" customWidth="1"/>
    <col min="8" max="8" width="14.44140625" style="312" bestFit="1" customWidth="1"/>
    <col min="9" max="16384" width="8.88671875" style="1"/>
  </cols>
  <sheetData>
    <row r="1" spans="1:18" ht="36.6" customHeight="1" x14ac:dyDescent="0.35">
      <c r="A1" s="53" t="s">
        <v>314</v>
      </c>
      <c r="B1" s="54">
        <f>G14/'Dự đoán doanh thu'!D28</f>
        <v>2.0920118180316739E-2</v>
      </c>
      <c r="F1" s="330" t="s">
        <v>111</v>
      </c>
      <c r="G1" s="330" t="s">
        <v>55</v>
      </c>
      <c r="H1" s="331" t="s">
        <v>102</v>
      </c>
      <c r="I1" s="312"/>
      <c r="J1" s="312"/>
      <c r="K1" s="312"/>
      <c r="L1" s="312"/>
      <c r="M1" s="312"/>
      <c r="N1" s="312"/>
      <c r="O1" s="312"/>
      <c r="P1" s="312"/>
      <c r="Q1" s="312"/>
      <c r="R1" s="312"/>
    </row>
    <row r="2" spans="1:18" ht="34.799999999999997" customHeight="1" x14ac:dyDescent="0.35">
      <c r="A2" s="53" t="s">
        <v>315</v>
      </c>
      <c r="B2" s="54">
        <f>H14/'Dự đoán doanh thu'!E28</f>
        <v>7.3090557277030524E-2</v>
      </c>
      <c r="F2" s="332">
        <v>1</v>
      </c>
      <c r="G2" s="332">
        <f>'Dự đoán doanh thu'!C2*'Doanh thu, chi TB hàng tháng'!$E$4</f>
        <v>50</v>
      </c>
      <c r="H2" s="333">
        <f>'Dự đoán doanh thu'!C2*'Doanh thu, chi TB hàng tháng'!$F$4</f>
        <v>15000000</v>
      </c>
    </row>
    <row r="3" spans="1:18" ht="35.4" customHeight="1" x14ac:dyDescent="0.35">
      <c r="A3" s="53" t="s">
        <v>153</v>
      </c>
      <c r="B3" s="32" t="s">
        <v>154</v>
      </c>
      <c r="F3" s="332">
        <v>2</v>
      </c>
      <c r="G3" s="332">
        <f>'Dự đoán doanh thu'!C3*'Doanh thu, chi TB hàng tháng'!$E$4</f>
        <v>60</v>
      </c>
      <c r="H3" s="333">
        <f>'Dự đoán doanh thu'!C3*'Doanh thu, chi TB hàng tháng'!$F$4</f>
        <v>18000000</v>
      </c>
    </row>
    <row r="4" spans="1:18" x14ac:dyDescent="0.35">
      <c r="F4" s="332">
        <v>3</v>
      </c>
      <c r="G4" s="332">
        <f>'Dự đoán doanh thu'!C4*'Doanh thu, chi TB hàng tháng'!$E$4</f>
        <v>100</v>
      </c>
      <c r="H4" s="333">
        <f>'Dự đoán doanh thu'!C4*'Doanh thu, chi TB hàng tháng'!$F$4</f>
        <v>30000000</v>
      </c>
    </row>
    <row r="5" spans="1:18" x14ac:dyDescent="0.35">
      <c r="F5" s="332">
        <v>4</v>
      </c>
      <c r="G5" s="332">
        <f>'Dự đoán doanh thu'!C5*'Doanh thu, chi TB hàng tháng'!$E$4</f>
        <v>110.00000000000001</v>
      </c>
      <c r="H5" s="333">
        <f>'Dự đoán doanh thu'!C5*'Doanh thu, chi TB hàng tháng'!$F$4</f>
        <v>33000000.000000004</v>
      </c>
    </row>
    <row r="6" spans="1:18" x14ac:dyDescent="0.35">
      <c r="F6" s="332">
        <v>5</v>
      </c>
      <c r="G6" s="332">
        <f>'Dự đoán doanh thu'!C6*'Doanh thu, chi TB hàng tháng'!$E$4</f>
        <v>100</v>
      </c>
      <c r="H6" s="333">
        <f>'Dự đoán doanh thu'!C6*'Doanh thu, chi TB hàng tháng'!$F$4</f>
        <v>30000000</v>
      </c>
    </row>
    <row r="7" spans="1:18" x14ac:dyDescent="0.35">
      <c r="F7" s="332">
        <v>6</v>
      </c>
      <c r="G7" s="332">
        <f>'Dự đoán doanh thu'!C7*'Doanh thu, chi TB hàng tháng'!$E$4</f>
        <v>110.00000000000001</v>
      </c>
      <c r="H7" s="333">
        <f>'Dự đoán doanh thu'!C7*'Doanh thu, chi TB hàng tháng'!$F$4</f>
        <v>33000000.000000004</v>
      </c>
    </row>
    <row r="8" spans="1:18" x14ac:dyDescent="0.35">
      <c r="F8" s="332">
        <v>7</v>
      </c>
      <c r="G8" s="332">
        <f>'Dự đoán doanh thu'!C8*'Doanh thu, chi TB hàng tháng'!$E$4</f>
        <v>110.00000000000001</v>
      </c>
      <c r="H8" s="333">
        <f>'Dự đoán doanh thu'!C8*'Doanh thu, chi TB hàng tháng'!$F$4</f>
        <v>33000000.000000004</v>
      </c>
    </row>
    <row r="9" spans="1:18" x14ac:dyDescent="0.35">
      <c r="F9" s="332">
        <v>8</v>
      </c>
      <c r="G9" s="332">
        <f>'Dự đoán doanh thu'!C9*'Doanh thu, chi TB hàng tháng'!$E$4</f>
        <v>100</v>
      </c>
      <c r="H9" s="333">
        <f>'Dự đoán doanh thu'!C9*'Doanh thu, chi TB hàng tháng'!$F$4</f>
        <v>30000000</v>
      </c>
    </row>
    <row r="10" spans="1:18" x14ac:dyDescent="0.35">
      <c r="F10" s="332">
        <v>9</v>
      </c>
      <c r="G10" s="332">
        <f>'Dự đoán doanh thu'!C10*'Doanh thu, chi TB hàng tháng'!$E$4</f>
        <v>100</v>
      </c>
      <c r="H10" s="333">
        <f>'Dự đoán doanh thu'!C10*'Doanh thu, chi TB hàng tháng'!$F$4</f>
        <v>30000000</v>
      </c>
    </row>
    <row r="11" spans="1:18" x14ac:dyDescent="0.35">
      <c r="F11" s="332">
        <v>10</v>
      </c>
      <c r="G11" s="332">
        <f>'Dự đoán doanh thu'!C11*'Doanh thu, chi TB hàng tháng'!$E$4</f>
        <v>100</v>
      </c>
      <c r="H11" s="333">
        <f>'Dự đoán doanh thu'!C11*'Doanh thu, chi TB hàng tháng'!$F$4</f>
        <v>30000000</v>
      </c>
    </row>
    <row r="12" spans="1:18" x14ac:dyDescent="0.35">
      <c r="F12" s="332">
        <v>11</v>
      </c>
      <c r="G12" s="332">
        <f>'Dự đoán doanh thu'!C12*'Doanh thu, chi TB hàng tháng'!$E$4</f>
        <v>100</v>
      </c>
      <c r="H12" s="333">
        <f>'Dự đoán doanh thu'!C12*'Doanh thu, chi TB hàng tháng'!$F$4</f>
        <v>30000000</v>
      </c>
    </row>
    <row r="13" spans="1:18" x14ac:dyDescent="0.35">
      <c r="F13" s="332">
        <v>12</v>
      </c>
      <c r="G13" s="332">
        <f>'Dự đoán doanh thu'!C13*'Doanh thu, chi TB hàng tháng'!$E$4</f>
        <v>100</v>
      </c>
      <c r="H13" s="333">
        <f>'Dự đoán doanh thu'!C13*'Doanh thu, chi TB hàng tháng'!$F$4</f>
        <v>30000000</v>
      </c>
    </row>
    <row r="14" spans="1:18" x14ac:dyDescent="0.35">
      <c r="F14" s="334" t="s">
        <v>148</v>
      </c>
      <c r="G14" s="332">
        <f>SUM(G2:G13)</f>
        <v>1140</v>
      </c>
      <c r="H14" s="333">
        <f>SUM(H2:H13)</f>
        <v>342000000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D3A3-BF81-47D6-A687-D486F0260C26}">
  <dimension ref="A1:I13"/>
  <sheetViews>
    <sheetView workbookViewId="0">
      <selection activeCell="E1" sqref="E1:H2"/>
    </sheetView>
  </sheetViews>
  <sheetFormatPr defaultRowHeight="18" x14ac:dyDescent="0.35"/>
  <cols>
    <col min="1" max="1" width="27.77734375" style="1" customWidth="1"/>
    <col min="2" max="2" width="38.6640625" style="1" customWidth="1"/>
    <col min="3" max="3" width="28.21875" style="1" customWidth="1"/>
    <col min="4" max="4" width="8.88671875" style="1"/>
    <col min="5" max="5" width="34.6640625" style="1" customWidth="1"/>
    <col min="6" max="6" width="20.5546875" style="1" customWidth="1"/>
    <col min="7" max="7" width="26.21875" style="1" customWidth="1"/>
    <col min="8" max="8" width="19.44140625" style="1" customWidth="1"/>
    <col min="9" max="9" width="15.109375" style="1" bestFit="1" customWidth="1"/>
    <col min="10" max="16384" width="8.88671875" style="1"/>
  </cols>
  <sheetData>
    <row r="1" spans="1:9" x14ac:dyDescent="0.35">
      <c r="A1" s="196" t="s">
        <v>43</v>
      </c>
      <c r="B1" s="197"/>
      <c r="C1" s="197"/>
      <c r="E1" s="20"/>
      <c r="F1" s="195" t="s">
        <v>243</v>
      </c>
      <c r="G1" s="195"/>
      <c r="H1" s="195"/>
    </row>
    <row r="2" spans="1:9" ht="19.2" customHeight="1" x14ac:dyDescent="0.35">
      <c r="A2" s="198" t="s">
        <v>18</v>
      </c>
      <c r="B2" s="198" t="s">
        <v>44</v>
      </c>
      <c r="C2" s="200" t="s">
        <v>50</v>
      </c>
      <c r="E2" s="20"/>
      <c r="F2" s="172" t="s">
        <v>245</v>
      </c>
      <c r="G2" s="172" t="s">
        <v>244</v>
      </c>
      <c r="H2" s="20"/>
    </row>
    <row r="3" spans="1:9" ht="16.2" customHeight="1" x14ac:dyDescent="0.35">
      <c r="A3" s="197"/>
      <c r="B3" s="197"/>
      <c r="C3" s="200"/>
      <c r="E3" s="173" t="s">
        <v>248</v>
      </c>
      <c r="F3" s="174">
        <v>1</v>
      </c>
      <c r="G3" s="174" t="s">
        <v>72</v>
      </c>
      <c r="H3" s="175">
        <v>1200000</v>
      </c>
    </row>
    <row r="4" spans="1:9" ht="26.4" customHeight="1" x14ac:dyDescent="0.35">
      <c r="A4" s="16">
        <v>1</v>
      </c>
      <c r="B4" s="16" t="s">
        <v>45</v>
      </c>
      <c r="C4" s="17">
        <v>17000000</v>
      </c>
      <c r="E4" s="173"/>
      <c r="F4" s="174">
        <v>2</v>
      </c>
      <c r="G4" s="174" t="s">
        <v>250</v>
      </c>
      <c r="H4" s="175">
        <f>'Doanh thu, chi TB hàng tháng'!F23*8%</f>
        <v>30682800</v>
      </c>
      <c r="I4" s="180">
        <f>SUM(H3:H4)</f>
        <v>31882800</v>
      </c>
    </row>
    <row r="5" spans="1:9" ht="26.4" customHeight="1" x14ac:dyDescent="0.35">
      <c r="A5" s="16">
        <v>3</v>
      </c>
      <c r="B5" s="16" t="s">
        <v>46</v>
      </c>
      <c r="C5" s="17">
        <v>12000000</v>
      </c>
      <c r="E5" s="176" t="s">
        <v>249</v>
      </c>
      <c r="F5" s="177">
        <v>2</v>
      </c>
      <c r="G5" s="177" t="s">
        <v>251</v>
      </c>
      <c r="H5" s="178">
        <v>15000000</v>
      </c>
      <c r="I5" s="180">
        <f>SUM(H5:H7)</f>
        <v>69000000</v>
      </c>
    </row>
    <row r="6" spans="1:9" ht="22.2" customHeight="1" x14ac:dyDescent="0.35">
      <c r="A6" s="16">
        <v>4</v>
      </c>
      <c r="B6" s="16" t="s">
        <v>71</v>
      </c>
      <c r="C6" s="17">
        <v>150000</v>
      </c>
      <c r="E6" s="176"/>
      <c r="F6" s="177">
        <v>3</v>
      </c>
      <c r="G6" s="177" t="s">
        <v>281</v>
      </c>
      <c r="H6" s="178">
        <f>'Nhân sự'!H7</f>
        <v>53000000</v>
      </c>
    </row>
    <row r="7" spans="1:9" ht="31.8" customHeight="1" x14ac:dyDescent="0.35">
      <c r="A7" s="16">
        <v>5</v>
      </c>
      <c r="B7" s="16" t="s">
        <v>47</v>
      </c>
      <c r="C7" s="17">
        <v>250000</v>
      </c>
      <c r="E7" s="176"/>
      <c r="F7" s="179">
        <v>4</v>
      </c>
      <c r="G7" s="179" t="s">
        <v>247</v>
      </c>
      <c r="H7" s="179">
        <v>1000000</v>
      </c>
    </row>
    <row r="8" spans="1:9" ht="25.2" customHeight="1" x14ac:dyDescent="0.35">
      <c r="A8" s="16">
        <v>6</v>
      </c>
      <c r="B8" s="16" t="s">
        <v>241</v>
      </c>
      <c r="C8" s="17">
        <v>5000000</v>
      </c>
    </row>
    <row r="9" spans="1:9" ht="40.799999999999997" customHeight="1" x14ac:dyDescent="0.35">
      <c r="A9" s="16">
        <v>7</v>
      </c>
      <c r="B9" s="16" t="s">
        <v>48</v>
      </c>
      <c r="C9" s="17">
        <f>'Nhân sự'!H4</f>
        <v>24000000</v>
      </c>
    </row>
    <row r="10" spans="1:9" ht="33.6" customHeight="1" x14ac:dyDescent="0.35">
      <c r="A10" s="16">
        <v>9</v>
      </c>
      <c r="B10" s="16" t="s">
        <v>49</v>
      </c>
      <c r="C10" s="17">
        <v>500000</v>
      </c>
    </row>
    <row r="11" spans="1:9" ht="27.6" customHeight="1" x14ac:dyDescent="0.35">
      <c r="A11" s="199" t="s">
        <v>41</v>
      </c>
      <c r="B11" s="197"/>
      <c r="C11" s="18">
        <f>SUM(C4:C10)</f>
        <v>58900000</v>
      </c>
    </row>
    <row r="13" spans="1:9" ht="21" customHeight="1" x14ac:dyDescent="0.35"/>
  </sheetData>
  <mergeCells count="6">
    <mergeCell ref="F1:H1"/>
    <mergeCell ref="A1:C1"/>
    <mergeCell ref="A2:A3"/>
    <mergeCell ref="B2:B3"/>
    <mergeCell ref="A11:B11"/>
    <mergeCell ref="C2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284D-485A-4CAD-8A65-CFDE6F7C145F}">
  <dimension ref="A1:H8"/>
  <sheetViews>
    <sheetView zoomScale="53" workbookViewId="0">
      <selection activeCell="G18" sqref="G18"/>
    </sheetView>
  </sheetViews>
  <sheetFormatPr defaultRowHeight="18" x14ac:dyDescent="0.35"/>
  <cols>
    <col min="1" max="1" width="8.88671875" style="1"/>
    <col min="2" max="2" width="34.33203125" style="1" customWidth="1"/>
    <col min="3" max="3" width="60" style="1" customWidth="1"/>
    <col min="4" max="4" width="30.33203125" style="1" customWidth="1"/>
    <col min="5" max="5" width="13.5546875" style="1" customWidth="1"/>
    <col min="6" max="6" width="26.33203125" style="1" customWidth="1"/>
    <col min="7" max="7" width="24.6640625" style="1" customWidth="1"/>
    <col min="8" max="8" width="19.44140625" style="1" customWidth="1"/>
    <col min="9" max="16384" width="8.88671875" style="1"/>
  </cols>
  <sheetData>
    <row r="1" spans="1:8" ht="18.600000000000001" thickBot="1" x14ac:dyDescent="0.4">
      <c r="A1" s="201" t="s">
        <v>63</v>
      </c>
      <c r="B1" s="190"/>
      <c r="C1" s="190"/>
      <c r="D1" s="190"/>
      <c r="E1" s="190"/>
      <c r="F1" s="190"/>
    </row>
    <row r="2" spans="1:8" x14ac:dyDescent="0.35">
      <c r="A2" s="81" t="s">
        <v>18</v>
      </c>
      <c r="B2" s="82" t="s">
        <v>52</v>
      </c>
      <c r="C2" s="83" t="s">
        <v>53</v>
      </c>
      <c r="D2" s="82" t="s">
        <v>54</v>
      </c>
      <c r="E2" s="82" t="s">
        <v>55</v>
      </c>
      <c r="F2" s="84" t="s">
        <v>56</v>
      </c>
    </row>
    <row r="3" spans="1:8" ht="90.6" customHeight="1" x14ac:dyDescent="0.35">
      <c r="A3" s="85">
        <v>1</v>
      </c>
      <c r="B3" s="85" t="s">
        <v>57</v>
      </c>
      <c r="C3" s="85" t="s">
        <v>59</v>
      </c>
      <c r="D3" s="86">
        <v>5000000</v>
      </c>
      <c r="E3" s="85">
        <v>2</v>
      </c>
      <c r="F3" s="87">
        <f>D3*E3</f>
        <v>10000000</v>
      </c>
      <c r="G3" s="205" t="s">
        <v>215</v>
      </c>
    </row>
    <row r="4" spans="1:8" ht="67.8" customHeight="1" x14ac:dyDescent="0.35">
      <c r="A4" s="15">
        <v>2</v>
      </c>
      <c r="B4" s="15" t="s">
        <v>191</v>
      </c>
      <c r="C4" s="15" t="s">
        <v>192</v>
      </c>
      <c r="D4" s="86">
        <v>7000000</v>
      </c>
      <c r="E4" s="15">
        <v>2</v>
      </c>
      <c r="F4" s="87">
        <f>D4*E4</f>
        <v>14000000</v>
      </c>
      <c r="G4" s="205"/>
      <c r="H4" s="106">
        <f>SUM(F3:F4)</f>
        <v>24000000</v>
      </c>
    </row>
    <row r="5" spans="1:8" ht="70.8" customHeight="1" x14ac:dyDescent="0.35">
      <c r="A5" s="85">
        <v>3</v>
      </c>
      <c r="B5" s="85" t="s">
        <v>60</v>
      </c>
      <c r="C5" s="85" t="s">
        <v>61</v>
      </c>
      <c r="D5" s="86">
        <v>9000000</v>
      </c>
      <c r="E5" s="85">
        <v>1</v>
      </c>
      <c r="F5" s="87">
        <f>D5*E5</f>
        <v>9000000</v>
      </c>
      <c r="G5" s="205" t="s">
        <v>216</v>
      </c>
    </row>
    <row r="6" spans="1:8" ht="70.8" customHeight="1" x14ac:dyDescent="0.35">
      <c r="A6" s="85"/>
      <c r="B6" s="85" t="s">
        <v>240</v>
      </c>
      <c r="C6" s="85" t="s">
        <v>246</v>
      </c>
      <c r="D6" s="86">
        <v>8000000</v>
      </c>
      <c r="E6" s="85">
        <v>4</v>
      </c>
      <c r="F6" s="87">
        <f>D6*E6</f>
        <v>32000000</v>
      </c>
      <c r="G6" s="205"/>
    </row>
    <row r="7" spans="1:8" ht="54" customHeight="1" x14ac:dyDescent="0.35">
      <c r="A7" s="85">
        <v>4</v>
      </c>
      <c r="B7" s="85" t="s">
        <v>58</v>
      </c>
      <c r="C7" s="85" t="s">
        <v>62</v>
      </c>
      <c r="D7" s="86">
        <v>12000000</v>
      </c>
      <c r="E7" s="85">
        <v>1</v>
      </c>
      <c r="F7" s="87">
        <f>D7*E7</f>
        <v>12000000</v>
      </c>
      <c r="G7" s="205"/>
      <c r="H7" s="106">
        <f>SUM(F5:F7)</f>
        <v>53000000</v>
      </c>
    </row>
    <row r="8" spans="1:8" ht="36.6" customHeight="1" thickBot="1" x14ac:dyDescent="0.4">
      <c r="A8" s="202" t="s">
        <v>41</v>
      </c>
      <c r="B8" s="203"/>
      <c r="C8" s="203"/>
      <c r="D8" s="203"/>
      <c r="E8" s="204"/>
      <c r="F8" s="19">
        <f>SUM(F5:F7)</f>
        <v>53000000</v>
      </c>
    </row>
  </sheetData>
  <mergeCells count="4">
    <mergeCell ref="A1:F1"/>
    <mergeCell ref="A8:E8"/>
    <mergeCell ref="G3:G4"/>
    <mergeCell ref="G5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4841-A69B-4EA2-B434-93363D8F391C}">
  <dimension ref="A1:W66"/>
  <sheetViews>
    <sheetView zoomScale="55" zoomScaleNormal="55" workbookViewId="0">
      <selection activeCell="E22" sqref="E22"/>
    </sheetView>
  </sheetViews>
  <sheetFormatPr defaultRowHeight="18" x14ac:dyDescent="0.35"/>
  <cols>
    <col min="1" max="1" width="10.88671875" style="1" customWidth="1"/>
    <col min="2" max="2" width="58.6640625" style="1" customWidth="1"/>
    <col min="3" max="3" width="23.77734375" style="1" customWidth="1"/>
    <col min="4" max="4" width="36.21875" style="1" customWidth="1"/>
    <col min="5" max="5" width="40.6640625" style="1" customWidth="1"/>
    <col min="6" max="6" width="38.109375" style="1" customWidth="1"/>
    <col min="7" max="7" width="16" style="1" customWidth="1"/>
    <col min="8" max="9" width="8.88671875" style="1"/>
    <col min="10" max="10" width="20.6640625" style="1" customWidth="1"/>
    <col min="11" max="11" width="27.5546875" style="1" customWidth="1"/>
    <col min="12" max="12" width="43.21875" style="1" customWidth="1"/>
    <col min="13" max="13" width="29.6640625" style="1" customWidth="1"/>
    <col min="14" max="14" width="24.33203125" style="1" customWidth="1"/>
    <col min="15" max="15" width="30.5546875" style="1" customWidth="1"/>
    <col min="16" max="16" width="33.33203125" style="1" customWidth="1"/>
    <col min="17" max="17" width="23.21875" style="1" customWidth="1"/>
    <col min="18" max="18" width="29.88671875" style="1" customWidth="1"/>
    <col min="19" max="19" width="18.5546875" style="1" bestFit="1" customWidth="1"/>
    <col min="20" max="16384" width="8.88671875" style="1"/>
  </cols>
  <sheetData>
    <row r="1" spans="1:23" ht="31.2" customHeight="1" x14ac:dyDescent="0.35">
      <c r="A1" s="206" t="s">
        <v>76</v>
      </c>
      <c r="B1" s="206"/>
      <c r="C1" s="206"/>
      <c r="D1" s="206"/>
      <c r="E1" s="206"/>
      <c r="F1" s="148"/>
      <c r="J1" s="206" t="s">
        <v>195</v>
      </c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</row>
    <row r="2" spans="1:23" x14ac:dyDescent="0.35">
      <c r="A2" s="149" t="s">
        <v>18</v>
      </c>
      <c r="B2" s="149" t="s">
        <v>73</v>
      </c>
      <c r="C2" s="149" t="s">
        <v>74</v>
      </c>
      <c r="D2" s="150" t="s">
        <v>77</v>
      </c>
      <c r="E2" s="150" t="s">
        <v>75</v>
      </c>
      <c r="F2" s="150" t="s">
        <v>81</v>
      </c>
      <c r="J2" s="1" t="s">
        <v>196</v>
      </c>
      <c r="K2" s="93" t="s">
        <v>73</v>
      </c>
      <c r="L2" s="93" t="s">
        <v>197</v>
      </c>
      <c r="M2" s="93" t="s">
        <v>205</v>
      </c>
      <c r="N2" s="92" t="s">
        <v>198</v>
      </c>
      <c r="O2" s="92" t="s">
        <v>199</v>
      </c>
      <c r="P2" s="93" t="s">
        <v>197</v>
      </c>
      <c r="Q2" s="246" t="s">
        <v>292</v>
      </c>
      <c r="R2" s="247" t="s">
        <v>293</v>
      </c>
      <c r="S2" s="249" t="s">
        <v>294</v>
      </c>
      <c r="T2" s="245"/>
    </row>
    <row r="3" spans="1:23" x14ac:dyDescent="0.35">
      <c r="A3" s="151">
        <v>1</v>
      </c>
      <c r="B3" s="152" t="s">
        <v>170</v>
      </c>
      <c r="C3" s="238">
        <f>M8</f>
        <v>2.2000000000000002</v>
      </c>
      <c r="D3" s="153">
        <f>O8</f>
        <v>98000</v>
      </c>
      <c r="E3" s="153">
        <v>189000</v>
      </c>
      <c r="F3" s="153">
        <f>E3-D3</f>
        <v>91000</v>
      </c>
      <c r="J3" s="208" t="s">
        <v>203</v>
      </c>
      <c r="K3" s="207" t="s">
        <v>204</v>
      </c>
      <c r="L3" s="114" t="s">
        <v>262</v>
      </c>
      <c r="M3" s="125">
        <v>0.5</v>
      </c>
      <c r="N3" s="125">
        <v>40000</v>
      </c>
      <c r="O3" s="125">
        <f>N3*M3</f>
        <v>20000</v>
      </c>
      <c r="P3" s="250" t="s">
        <v>302</v>
      </c>
      <c r="Q3" s="251" t="s">
        <v>271</v>
      </c>
      <c r="R3" s="251" t="s">
        <v>295</v>
      </c>
      <c r="S3" s="252">
        <v>30000</v>
      </c>
      <c r="T3" s="245"/>
    </row>
    <row r="4" spans="1:23" x14ac:dyDescent="0.35">
      <c r="A4" s="289">
        <v>2</v>
      </c>
      <c r="B4" s="290" t="s">
        <v>171</v>
      </c>
      <c r="C4" s="291">
        <f>M22</f>
        <v>2.2000000000000002</v>
      </c>
      <c r="D4" s="292">
        <f>O22</f>
        <v>178000</v>
      </c>
      <c r="E4" s="292">
        <v>300000</v>
      </c>
      <c r="F4" s="292">
        <f t="shared" ref="F4:F18" si="0">E4-D4</f>
        <v>122000</v>
      </c>
      <c r="J4" s="208"/>
      <c r="K4" s="207"/>
      <c r="L4" s="114" t="s">
        <v>263</v>
      </c>
      <c r="M4" s="125">
        <v>0.5</v>
      </c>
      <c r="N4" s="125">
        <v>10000</v>
      </c>
      <c r="O4" s="125">
        <f t="shared" ref="O4:O7" si="1">N4*M4</f>
        <v>5000</v>
      </c>
      <c r="P4" s="253" t="s">
        <v>303</v>
      </c>
      <c r="Q4" s="251" t="s">
        <v>269</v>
      </c>
      <c r="R4" s="251" t="s">
        <v>295</v>
      </c>
      <c r="S4" s="252">
        <v>30000</v>
      </c>
      <c r="T4" s="245"/>
    </row>
    <row r="5" spans="1:23" x14ac:dyDescent="0.35">
      <c r="A5" s="151">
        <v>3</v>
      </c>
      <c r="B5" s="152" t="s">
        <v>172</v>
      </c>
      <c r="C5" s="238">
        <f>M15</f>
        <v>2.2000000000000002</v>
      </c>
      <c r="D5" s="153">
        <f>O15</f>
        <v>138000</v>
      </c>
      <c r="E5" s="153">
        <v>249000</v>
      </c>
      <c r="F5" s="153">
        <f t="shared" si="0"/>
        <v>111000</v>
      </c>
      <c r="J5" s="208"/>
      <c r="K5" s="207"/>
      <c r="L5" s="114" t="s">
        <v>264</v>
      </c>
      <c r="M5" s="125">
        <v>0.5</v>
      </c>
      <c r="N5" s="125">
        <v>60000</v>
      </c>
      <c r="O5" s="125">
        <f t="shared" si="1"/>
        <v>30000</v>
      </c>
      <c r="P5" s="253" t="s">
        <v>265</v>
      </c>
      <c r="Q5" s="251" t="s">
        <v>265</v>
      </c>
      <c r="R5" s="251" t="s">
        <v>296</v>
      </c>
      <c r="S5" s="252">
        <v>70000</v>
      </c>
      <c r="T5" s="245"/>
    </row>
    <row r="6" spans="1:23" x14ac:dyDescent="0.35">
      <c r="A6" s="151">
        <v>4</v>
      </c>
      <c r="B6" s="152" t="s">
        <v>173</v>
      </c>
      <c r="C6" s="238">
        <f>M29</f>
        <v>2.2000000000000002</v>
      </c>
      <c r="D6" s="153">
        <f>O29</f>
        <v>93000</v>
      </c>
      <c r="E6" s="153">
        <v>159000</v>
      </c>
      <c r="F6" s="153">
        <f t="shared" si="0"/>
        <v>66000</v>
      </c>
      <c r="J6" s="208"/>
      <c r="K6" s="207"/>
      <c r="L6" s="114" t="s">
        <v>265</v>
      </c>
      <c r="M6" s="125">
        <v>0.5</v>
      </c>
      <c r="N6" s="125">
        <v>70000</v>
      </c>
      <c r="O6" s="125">
        <f t="shared" si="1"/>
        <v>35000</v>
      </c>
      <c r="P6" s="253" t="s">
        <v>264</v>
      </c>
      <c r="Q6" s="251" t="s">
        <v>264</v>
      </c>
      <c r="R6" s="251" t="s">
        <v>296</v>
      </c>
      <c r="S6" s="252">
        <v>60000</v>
      </c>
      <c r="T6" s="245"/>
    </row>
    <row r="7" spans="1:23" x14ac:dyDescent="0.35">
      <c r="A7" s="151">
        <v>5</v>
      </c>
      <c r="B7" s="152" t="s">
        <v>174</v>
      </c>
      <c r="C7" s="238">
        <f>SUM(C3:C6)</f>
        <v>8.8000000000000007</v>
      </c>
      <c r="D7" s="153">
        <f>SUM(D3:D6)</f>
        <v>507000</v>
      </c>
      <c r="E7" s="153">
        <v>599000</v>
      </c>
      <c r="F7" s="153">
        <f t="shared" si="0"/>
        <v>92000</v>
      </c>
      <c r="J7" s="208"/>
      <c r="K7" s="207"/>
      <c r="L7" s="114" t="s">
        <v>266</v>
      </c>
      <c r="M7" s="125">
        <v>0.2</v>
      </c>
      <c r="N7" s="125">
        <v>40000</v>
      </c>
      <c r="O7" s="125">
        <f t="shared" si="1"/>
        <v>8000</v>
      </c>
      <c r="P7" s="253" t="s">
        <v>263</v>
      </c>
      <c r="Q7" s="251" t="s">
        <v>263</v>
      </c>
      <c r="R7" s="251" t="s">
        <v>296</v>
      </c>
      <c r="S7" s="252">
        <v>10000</v>
      </c>
      <c r="T7" s="245"/>
    </row>
    <row r="8" spans="1:23" x14ac:dyDescent="0.35">
      <c r="A8" s="151">
        <v>6</v>
      </c>
      <c r="B8" s="152" t="s">
        <v>175</v>
      </c>
      <c r="C8" s="239">
        <f>M61</f>
        <v>0.49999999999999994</v>
      </c>
      <c r="D8" s="153">
        <f>O61</f>
        <v>10780</v>
      </c>
      <c r="E8" s="153">
        <v>39000</v>
      </c>
      <c r="F8" s="153">
        <f t="shared" si="0"/>
        <v>28220</v>
      </c>
      <c r="J8" s="208"/>
      <c r="K8" s="207"/>
      <c r="L8" s="114" t="s">
        <v>230</v>
      </c>
      <c r="M8" s="126">
        <f>SUM(M3:M7)</f>
        <v>2.2000000000000002</v>
      </c>
      <c r="N8" s="126"/>
      <c r="O8" s="126">
        <f>SUM(O3:O7)</f>
        <v>98000</v>
      </c>
      <c r="P8" s="253" t="s">
        <v>274</v>
      </c>
      <c r="Q8" s="251" t="s">
        <v>287</v>
      </c>
      <c r="R8" s="251" t="s">
        <v>297</v>
      </c>
      <c r="S8" s="252">
        <v>40000</v>
      </c>
      <c r="T8" s="245"/>
    </row>
    <row r="9" spans="1:23" x14ac:dyDescent="0.35">
      <c r="A9" s="151">
        <v>7</v>
      </c>
      <c r="B9" s="152" t="s">
        <v>177</v>
      </c>
      <c r="C9" s="238">
        <f>M66</f>
        <v>0.49999999999999994</v>
      </c>
      <c r="D9" s="153">
        <f>O66</f>
        <v>10280</v>
      </c>
      <c r="E9" s="153">
        <v>39000</v>
      </c>
      <c r="F9" s="153">
        <f t="shared" si="0"/>
        <v>28720</v>
      </c>
      <c r="J9" s="208"/>
      <c r="K9" s="114"/>
      <c r="L9" s="114"/>
      <c r="M9" s="126"/>
      <c r="N9" s="126"/>
      <c r="O9" s="126"/>
      <c r="P9" s="253" t="s">
        <v>267</v>
      </c>
      <c r="Q9" s="251" t="s">
        <v>288</v>
      </c>
      <c r="R9" s="251" t="s">
        <v>297</v>
      </c>
      <c r="S9" s="252">
        <v>120000</v>
      </c>
      <c r="T9" s="245"/>
    </row>
    <row r="10" spans="1:23" x14ac:dyDescent="0.35">
      <c r="A10" s="151">
        <v>8</v>
      </c>
      <c r="B10" s="152" t="s">
        <v>178</v>
      </c>
      <c r="C10" s="239">
        <f>M36</f>
        <v>0.5</v>
      </c>
      <c r="D10" s="153">
        <f>O36</f>
        <v>20000</v>
      </c>
      <c r="E10" s="153">
        <v>239000</v>
      </c>
      <c r="F10" s="153">
        <f>E10-D10</f>
        <v>219000</v>
      </c>
      <c r="J10" s="208"/>
      <c r="K10" s="208" t="s">
        <v>202</v>
      </c>
      <c r="L10" s="114" t="s">
        <v>267</v>
      </c>
      <c r="M10" s="125">
        <v>0.5</v>
      </c>
      <c r="N10" s="125">
        <v>120000</v>
      </c>
      <c r="O10" s="125">
        <f>N10*M10</f>
        <v>60000</v>
      </c>
      <c r="P10" s="253" t="s">
        <v>268</v>
      </c>
      <c r="Q10" s="251" t="s">
        <v>289</v>
      </c>
      <c r="R10" s="251" t="s">
        <v>297</v>
      </c>
      <c r="S10" s="252">
        <v>200000</v>
      </c>
      <c r="T10" s="245"/>
    </row>
    <row r="11" spans="1:23" x14ac:dyDescent="0.35">
      <c r="A11" s="151">
        <v>9</v>
      </c>
      <c r="B11" s="152" t="s">
        <v>179</v>
      </c>
      <c r="C11" s="239">
        <f>M42</f>
        <v>0.5</v>
      </c>
      <c r="D11" s="153">
        <f>O42</f>
        <v>40000</v>
      </c>
      <c r="E11" s="153">
        <v>239000</v>
      </c>
      <c r="F11" s="153">
        <f t="shared" si="0"/>
        <v>199000</v>
      </c>
      <c r="J11" s="208"/>
      <c r="K11" s="208"/>
      <c r="L11" s="114" t="s">
        <v>263</v>
      </c>
      <c r="M11" s="125">
        <v>0.5</v>
      </c>
      <c r="N11" s="125">
        <v>10000</v>
      </c>
      <c r="O11" s="125">
        <f t="shared" ref="O11:O14" si="2">N11*M11</f>
        <v>5000</v>
      </c>
      <c r="P11" s="253" t="s">
        <v>277</v>
      </c>
      <c r="Q11" s="251" t="s">
        <v>277</v>
      </c>
      <c r="R11" s="251" t="s">
        <v>298</v>
      </c>
      <c r="S11" s="252">
        <v>50000</v>
      </c>
      <c r="T11" s="245"/>
    </row>
    <row r="12" spans="1:23" x14ac:dyDescent="0.35">
      <c r="A12" s="151">
        <v>10</v>
      </c>
      <c r="B12" s="152" t="s">
        <v>180</v>
      </c>
      <c r="C12" s="238">
        <f>M49</f>
        <v>0.5</v>
      </c>
      <c r="D12" s="153">
        <f>O49</f>
        <v>46000</v>
      </c>
      <c r="E12" s="153">
        <v>259000</v>
      </c>
      <c r="F12" s="153">
        <f t="shared" si="0"/>
        <v>213000</v>
      </c>
      <c r="J12" s="208"/>
      <c r="K12" s="208"/>
      <c r="L12" s="114" t="s">
        <v>264</v>
      </c>
      <c r="M12" s="125">
        <v>0.5</v>
      </c>
      <c r="N12" s="125">
        <v>60000</v>
      </c>
      <c r="O12" s="125">
        <f t="shared" si="2"/>
        <v>30000</v>
      </c>
      <c r="P12" s="253" t="s">
        <v>51</v>
      </c>
      <c r="Q12" s="251" t="s">
        <v>290</v>
      </c>
      <c r="R12" s="251" t="s">
        <v>299</v>
      </c>
      <c r="S12" s="252">
        <v>10800</v>
      </c>
      <c r="T12" s="245"/>
    </row>
    <row r="13" spans="1:23" x14ac:dyDescent="0.35">
      <c r="A13" s="151">
        <v>11</v>
      </c>
      <c r="B13" s="152" t="s">
        <v>181</v>
      </c>
      <c r="C13" s="239">
        <f>SUM(C10:C12)</f>
        <v>1.5</v>
      </c>
      <c r="D13" s="153">
        <f>SUM(D10:D12)</f>
        <v>106000</v>
      </c>
      <c r="E13" s="153">
        <v>699000</v>
      </c>
      <c r="F13" s="153">
        <f t="shared" si="0"/>
        <v>593000</v>
      </c>
      <c r="J13" s="208"/>
      <c r="K13" s="208"/>
      <c r="L13" s="114" t="s">
        <v>265</v>
      </c>
      <c r="M13" s="125">
        <v>0.5</v>
      </c>
      <c r="N13" s="125">
        <v>70000</v>
      </c>
      <c r="O13" s="125">
        <f t="shared" si="2"/>
        <v>35000</v>
      </c>
      <c r="P13" s="253" t="s">
        <v>311</v>
      </c>
      <c r="Q13" s="251" t="s">
        <v>291</v>
      </c>
      <c r="R13" s="251" t="s">
        <v>300</v>
      </c>
      <c r="S13" s="252">
        <v>45000</v>
      </c>
      <c r="T13" s="245"/>
    </row>
    <row r="14" spans="1:23" x14ac:dyDescent="0.35">
      <c r="A14" s="151">
        <v>12</v>
      </c>
      <c r="B14" s="152" t="s">
        <v>182</v>
      </c>
      <c r="C14" s="151">
        <f>M51</f>
        <v>0.02</v>
      </c>
      <c r="D14" s="153">
        <f>O51</f>
        <v>4000</v>
      </c>
      <c r="E14" s="153">
        <v>49000</v>
      </c>
      <c r="F14" s="153">
        <f t="shared" si="0"/>
        <v>45000</v>
      </c>
      <c r="J14" s="208"/>
      <c r="K14" s="208"/>
      <c r="L14" s="114" t="s">
        <v>266</v>
      </c>
      <c r="M14" s="125">
        <v>0.2</v>
      </c>
      <c r="N14" s="125">
        <v>40000</v>
      </c>
      <c r="O14" s="125">
        <f t="shared" si="2"/>
        <v>8000</v>
      </c>
      <c r="P14" s="253" t="s">
        <v>266</v>
      </c>
      <c r="Q14" s="251" t="s">
        <v>266</v>
      </c>
      <c r="R14" s="251" t="s">
        <v>301</v>
      </c>
      <c r="S14" s="252">
        <v>40000</v>
      </c>
      <c r="T14" s="245"/>
    </row>
    <row r="15" spans="1:23" x14ac:dyDescent="0.35">
      <c r="A15" s="154">
        <v>13</v>
      </c>
      <c r="B15" s="115" t="s">
        <v>183</v>
      </c>
      <c r="C15" s="154" t="s">
        <v>188</v>
      </c>
      <c r="D15" s="155">
        <v>60000</v>
      </c>
      <c r="E15" s="155">
        <v>89000</v>
      </c>
      <c r="F15" s="155">
        <f t="shared" si="0"/>
        <v>29000</v>
      </c>
      <c r="J15" s="208"/>
      <c r="K15" s="208"/>
      <c r="L15" s="114" t="s">
        <v>148</v>
      </c>
      <c r="M15" s="126">
        <f>SUM(M10:M14)</f>
        <v>2.2000000000000002</v>
      </c>
      <c r="N15" s="125"/>
      <c r="O15" s="126">
        <f>SUM(O10:O14)</f>
        <v>138000</v>
      </c>
      <c r="P15" s="253" t="s">
        <v>270</v>
      </c>
      <c r="Q15" s="251" t="s">
        <v>270</v>
      </c>
      <c r="R15" s="251" t="s">
        <v>301</v>
      </c>
      <c r="S15" s="252">
        <v>60000</v>
      </c>
      <c r="T15" s="245"/>
    </row>
    <row r="16" spans="1:23" x14ac:dyDescent="0.35">
      <c r="A16" s="154">
        <v>14</v>
      </c>
      <c r="B16" s="115" t="s">
        <v>184</v>
      </c>
      <c r="C16" s="154" t="s">
        <v>188</v>
      </c>
      <c r="D16" s="155">
        <v>40000</v>
      </c>
      <c r="E16" s="155">
        <v>69000</v>
      </c>
      <c r="F16" s="155">
        <f t="shared" si="0"/>
        <v>29000</v>
      </c>
      <c r="J16" s="208"/>
      <c r="K16" s="114"/>
      <c r="L16" s="114"/>
      <c r="M16" s="125"/>
      <c r="N16" s="125"/>
      <c r="O16" s="125"/>
      <c r="P16" s="253" t="s">
        <v>276</v>
      </c>
      <c r="Q16" s="251" t="s">
        <v>276</v>
      </c>
      <c r="R16" s="251" t="s">
        <v>296</v>
      </c>
      <c r="S16" s="252">
        <v>50000</v>
      </c>
      <c r="T16" s="245"/>
    </row>
    <row r="17" spans="1:20" x14ac:dyDescent="0.35">
      <c r="A17" s="154">
        <v>15</v>
      </c>
      <c r="B17" s="115" t="s">
        <v>185</v>
      </c>
      <c r="C17" s="154" t="s">
        <v>80</v>
      </c>
      <c r="D17" s="155">
        <v>101000</v>
      </c>
      <c r="E17" s="155">
        <v>149000</v>
      </c>
      <c r="F17" s="155">
        <f t="shared" si="0"/>
        <v>48000</v>
      </c>
      <c r="J17" s="208"/>
      <c r="K17" s="208" t="s">
        <v>206</v>
      </c>
      <c r="L17" s="114" t="s">
        <v>268</v>
      </c>
      <c r="M17" s="230">
        <v>0.5</v>
      </c>
      <c r="N17" s="125">
        <v>200000</v>
      </c>
      <c r="O17" s="125">
        <f>N17*M17</f>
        <v>100000</v>
      </c>
      <c r="Q17" s="248"/>
      <c r="R17" s="248"/>
      <c r="S17" s="248"/>
      <c r="T17" s="245"/>
    </row>
    <row r="18" spans="1:20" x14ac:dyDescent="0.35">
      <c r="A18" s="154">
        <v>16</v>
      </c>
      <c r="B18" s="115" t="s">
        <v>186</v>
      </c>
      <c r="C18" s="154" t="s">
        <v>188</v>
      </c>
      <c r="D18" s="155">
        <v>59000</v>
      </c>
      <c r="E18" s="155">
        <v>99000</v>
      </c>
      <c r="F18" s="155">
        <f t="shared" si="0"/>
        <v>40000</v>
      </c>
      <c r="J18" s="208"/>
      <c r="K18" s="208"/>
      <c r="L18" s="114" t="s">
        <v>263</v>
      </c>
      <c r="M18" s="230">
        <v>0.5</v>
      </c>
      <c r="N18" s="125">
        <v>10000</v>
      </c>
      <c r="O18" s="125">
        <f>N18*M18</f>
        <v>5000</v>
      </c>
      <c r="Q18" s="245"/>
      <c r="R18" s="245"/>
      <c r="S18" s="245"/>
      <c r="T18" s="245"/>
    </row>
    <row r="19" spans="1:20" x14ac:dyDescent="0.35">
      <c r="A19" s="154">
        <v>17</v>
      </c>
      <c r="B19" s="115" t="s">
        <v>82</v>
      </c>
      <c r="C19" s="154" t="s">
        <v>80</v>
      </c>
      <c r="D19" s="155">
        <v>12000</v>
      </c>
      <c r="E19" s="155">
        <v>19000</v>
      </c>
      <c r="F19" s="155">
        <f t="shared" ref="F19:F21" si="3">E19-D19</f>
        <v>7000</v>
      </c>
      <c r="J19" s="208"/>
      <c r="K19" s="208"/>
      <c r="L19" s="114" t="s">
        <v>264</v>
      </c>
      <c r="M19" s="230">
        <v>0.5</v>
      </c>
      <c r="N19" s="125">
        <v>60000</v>
      </c>
      <c r="O19" s="125">
        <f t="shared" ref="O19:O21" si="4">N19*M19</f>
        <v>30000</v>
      </c>
      <c r="Q19" s="245"/>
      <c r="R19" s="245"/>
      <c r="S19" s="245"/>
      <c r="T19" s="245"/>
    </row>
    <row r="20" spans="1:20" x14ac:dyDescent="0.35">
      <c r="A20" s="154">
        <v>18</v>
      </c>
      <c r="B20" s="115" t="s">
        <v>187</v>
      </c>
      <c r="C20" s="154" t="s">
        <v>80</v>
      </c>
      <c r="D20" s="155">
        <v>60000</v>
      </c>
      <c r="E20" s="155">
        <v>89000</v>
      </c>
      <c r="F20" s="155">
        <f t="shared" si="3"/>
        <v>29000</v>
      </c>
      <c r="J20" s="208"/>
      <c r="K20" s="208"/>
      <c r="L20" s="114" t="s">
        <v>265</v>
      </c>
      <c r="M20" s="230">
        <v>0.5</v>
      </c>
      <c r="N20" s="125">
        <v>70000</v>
      </c>
      <c r="O20" s="125">
        <f t="shared" si="4"/>
        <v>35000</v>
      </c>
      <c r="T20" s="245"/>
    </row>
    <row r="21" spans="1:20" x14ac:dyDescent="0.35">
      <c r="A21" s="154">
        <v>19</v>
      </c>
      <c r="B21" s="115" t="s">
        <v>176</v>
      </c>
      <c r="C21" s="154" t="s">
        <v>79</v>
      </c>
      <c r="D21" s="155">
        <v>10000</v>
      </c>
      <c r="E21" s="155">
        <v>20000</v>
      </c>
      <c r="F21" s="155">
        <f t="shared" si="3"/>
        <v>10000</v>
      </c>
      <c r="J21" s="208"/>
      <c r="K21" s="208"/>
      <c r="L21" s="114" t="s">
        <v>266</v>
      </c>
      <c r="M21" s="230">
        <v>0.2</v>
      </c>
      <c r="N21" s="125">
        <v>40000</v>
      </c>
      <c r="O21" s="125">
        <f t="shared" si="4"/>
        <v>8000</v>
      </c>
    </row>
    <row r="22" spans="1:20" x14ac:dyDescent="0.35">
      <c r="A22" s="154">
        <v>20</v>
      </c>
      <c r="B22" s="115" t="s">
        <v>189</v>
      </c>
      <c r="C22" s="154" t="s">
        <v>78</v>
      </c>
      <c r="D22" s="155">
        <v>15000</v>
      </c>
      <c r="E22" s="155">
        <v>25000</v>
      </c>
      <c r="F22" s="155">
        <f t="shared" ref="F22" si="5">E22-D22</f>
        <v>10000</v>
      </c>
      <c r="J22" s="208"/>
      <c r="K22" s="208"/>
      <c r="L22" s="114" t="s">
        <v>148</v>
      </c>
      <c r="M22" s="126">
        <f>SUM(M17:M21)</f>
        <v>2.2000000000000002</v>
      </c>
      <c r="N22" s="125"/>
      <c r="O22" s="126">
        <f>SUM(O17:O21)</f>
        <v>178000</v>
      </c>
    </row>
    <row r="23" spans="1:20" x14ac:dyDescent="0.35">
      <c r="J23" s="208"/>
      <c r="K23" s="114"/>
      <c r="L23" s="114"/>
      <c r="M23" s="125"/>
      <c r="N23" s="125"/>
      <c r="O23" s="127"/>
    </row>
    <row r="24" spans="1:20" x14ac:dyDescent="0.35">
      <c r="J24" s="208"/>
      <c r="K24" s="208" t="s">
        <v>207</v>
      </c>
      <c r="L24" s="114" t="s">
        <v>303</v>
      </c>
      <c r="M24" s="125">
        <v>0.5</v>
      </c>
      <c r="N24" s="125">
        <v>30000</v>
      </c>
      <c r="O24" s="125">
        <f>N24*M24</f>
        <v>15000</v>
      </c>
    </row>
    <row r="25" spans="1:20" x14ac:dyDescent="0.35">
      <c r="J25" s="208"/>
      <c r="K25" s="208"/>
      <c r="L25" s="114" t="s">
        <v>263</v>
      </c>
      <c r="M25" s="230">
        <v>0.5</v>
      </c>
      <c r="N25" s="230">
        <v>10000</v>
      </c>
      <c r="O25" s="125">
        <f t="shared" ref="O25:O28" si="6">N25*M25</f>
        <v>5000</v>
      </c>
    </row>
    <row r="26" spans="1:20" x14ac:dyDescent="0.35">
      <c r="D26" s="1" t="s">
        <v>213</v>
      </c>
      <c r="J26" s="208"/>
      <c r="K26" s="208"/>
      <c r="L26" s="114" t="s">
        <v>264</v>
      </c>
      <c r="M26" s="230">
        <v>0.5</v>
      </c>
      <c r="N26" s="230">
        <v>60000</v>
      </c>
      <c r="O26" s="125">
        <f t="shared" si="6"/>
        <v>30000</v>
      </c>
    </row>
    <row r="27" spans="1:20" x14ac:dyDescent="0.35">
      <c r="D27" s="1" t="s">
        <v>214</v>
      </c>
      <c r="J27" s="208"/>
      <c r="K27" s="208"/>
      <c r="L27" s="114" t="s">
        <v>265</v>
      </c>
      <c r="M27" s="230">
        <v>0.5</v>
      </c>
      <c r="N27" s="230">
        <v>70000</v>
      </c>
      <c r="O27" s="125">
        <f t="shared" si="6"/>
        <v>35000</v>
      </c>
    </row>
    <row r="28" spans="1:20" x14ac:dyDescent="0.35">
      <c r="J28" s="208"/>
      <c r="K28" s="208"/>
      <c r="L28" s="114" t="s">
        <v>266</v>
      </c>
      <c r="M28" s="230">
        <v>0.2</v>
      </c>
      <c r="N28" s="230">
        <v>40000</v>
      </c>
      <c r="O28" s="125">
        <f t="shared" si="6"/>
        <v>8000</v>
      </c>
    </row>
    <row r="29" spans="1:20" x14ac:dyDescent="0.35">
      <c r="J29" s="208"/>
      <c r="K29" s="208"/>
      <c r="L29" s="114" t="s">
        <v>148</v>
      </c>
      <c r="M29" s="126">
        <f>SUM(M24:M28)</f>
        <v>2.2000000000000002</v>
      </c>
      <c r="N29" s="125"/>
      <c r="O29" s="231">
        <f>SUM(O24:O28)</f>
        <v>93000</v>
      </c>
    </row>
    <row r="30" spans="1:20" x14ac:dyDescent="0.35">
      <c r="M30" s="95"/>
      <c r="N30" s="95"/>
      <c r="O30" s="95"/>
    </row>
    <row r="31" spans="1:20" x14ac:dyDescent="0.35">
      <c r="M31" s="113"/>
      <c r="N31" s="95"/>
      <c r="O31" s="95"/>
    </row>
    <row r="32" spans="1:20" x14ac:dyDescent="0.35">
      <c r="J32" s="210" t="s">
        <v>200</v>
      </c>
      <c r="K32" s="210" t="s">
        <v>208</v>
      </c>
      <c r="L32" s="115" t="s">
        <v>262</v>
      </c>
      <c r="M32" s="128">
        <v>0.2</v>
      </c>
      <c r="N32" s="129">
        <v>40000</v>
      </c>
      <c r="O32" s="129">
        <f>N32*M32</f>
        <v>8000</v>
      </c>
    </row>
    <row r="33" spans="10:15" x14ac:dyDescent="0.35">
      <c r="J33" s="210"/>
      <c r="K33" s="210"/>
      <c r="L33" s="115" t="s">
        <v>270</v>
      </c>
      <c r="M33" s="128">
        <v>0.1</v>
      </c>
      <c r="N33" s="129">
        <v>65000</v>
      </c>
      <c r="O33" s="129">
        <f t="shared" ref="O33:O35" si="7">N33*M33</f>
        <v>6500</v>
      </c>
    </row>
    <row r="34" spans="10:15" x14ac:dyDescent="0.35">
      <c r="J34" s="210"/>
      <c r="K34" s="210"/>
      <c r="L34" s="115" t="s">
        <v>303</v>
      </c>
      <c r="M34" s="128">
        <v>0.1</v>
      </c>
      <c r="N34" s="129">
        <v>30000</v>
      </c>
      <c r="O34" s="129">
        <f t="shared" si="7"/>
        <v>3000</v>
      </c>
    </row>
    <row r="35" spans="10:15" x14ac:dyDescent="0.35">
      <c r="J35" s="210"/>
      <c r="K35" s="210"/>
      <c r="L35" s="115" t="str">
        <f>P3</f>
        <v>Khoai tây</v>
      </c>
      <c r="M35" s="128">
        <v>0.1</v>
      </c>
      <c r="N35" s="129">
        <v>25000</v>
      </c>
      <c r="O35" s="129">
        <f t="shared" si="7"/>
        <v>2500</v>
      </c>
    </row>
    <row r="36" spans="10:15" x14ac:dyDescent="0.35">
      <c r="J36" s="210"/>
      <c r="K36" s="210"/>
      <c r="L36" s="115" t="s">
        <v>148</v>
      </c>
      <c r="M36" s="233">
        <f>SUM(M32:M35)</f>
        <v>0.5</v>
      </c>
      <c r="N36" s="129"/>
      <c r="O36" s="234">
        <f>SUM(O32:O35)</f>
        <v>20000</v>
      </c>
    </row>
    <row r="37" spans="10:15" x14ac:dyDescent="0.35">
      <c r="J37" s="210"/>
      <c r="K37" s="116"/>
      <c r="L37" s="115"/>
      <c r="M37" s="128"/>
      <c r="N37" s="129"/>
      <c r="O37" s="129"/>
    </row>
    <row r="38" spans="10:15" x14ac:dyDescent="0.35">
      <c r="J38" s="210"/>
      <c r="K38" s="210" t="s">
        <v>209</v>
      </c>
      <c r="L38" s="115" t="s">
        <v>267</v>
      </c>
      <c r="M38" s="128">
        <v>0.2</v>
      </c>
      <c r="N38" s="129">
        <v>120000</v>
      </c>
      <c r="O38" s="129">
        <f>N38*M38</f>
        <v>24000</v>
      </c>
    </row>
    <row r="39" spans="10:15" x14ac:dyDescent="0.35">
      <c r="J39" s="210"/>
      <c r="K39" s="210"/>
      <c r="L39" s="115" t="s">
        <v>303</v>
      </c>
      <c r="M39" s="128">
        <v>0.1</v>
      </c>
      <c r="N39" s="129">
        <v>30000</v>
      </c>
      <c r="O39" s="129">
        <f t="shared" ref="O39:O41" si="8">N39*M39</f>
        <v>3000</v>
      </c>
    </row>
    <row r="40" spans="10:15" x14ac:dyDescent="0.35">
      <c r="J40" s="210"/>
      <c r="K40" s="210"/>
      <c r="L40" s="115" t="s">
        <v>270</v>
      </c>
      <c r="M40" s="128">
        <v>0.1</v>
      </c>
      <c r="N40" s="129">
        <v>60000</v>
      </c>
      <c r="O40" s="129">
        <f t="shared" si="8"/>
        <v>6000</v>
      </c>
    </row>
    <row r="41" spans="10:15" x14ac:dyDescent="0.35">
      <c r="J41" s="210"/>
      <c r="K41" s="210"/>
      <c r="L41" s="115" t="s">
        <v>272</v>
      </c>
      <c r="M41" s="128">
        <v>0.1</v>
      </c>
      <c r="N41" s="129">
        <v>70000</v>
      </c>
      <c r="O41" s="129">
        <f t="shared" si="8"/>
        <v>7000</v>
      </c>
    </row>
    <row r="42" spans="10:15" x14ac:dyDescent="0.35">
      <c r="J42" s="210"/>
      <c r="K42" s="210"/>
      <c r="L42" s="115" t="s">
        <v>148</v>
      </c>
      <c r="M42" s="233">
        <f>SUM(M38:M41)</f>
        <v>0.5</v>
      </c>
      <c r="N42" s="115"/>
      <c r="O42" s="234">
        <f>SUM(O38:O41)</f>
        <v>40000</v>
      </c>
    </row>
    <row r="43" spans="10:15" x14ac:dyDescent="0.35">
      <c r="J43" s="210"/>
      <c r="K43" s="116"/>
      <c r="L43" s="115"/>
      <c r="M43" s="115"/>
      <c r="N43" s="115"/>
      <c r="O43" s="129"/>
    </row>
    <row r="44" spans="10:15" x14ac:dyDescent="0.35">
      <c r="J44" s="210"/>
      <c r="K44" s="210" t="s">
        <v>210</v>
      </c>
      <c r="L44" s="115" t="s">
        <v>273</v>
      </c>
      <c r="M44" s="128">
        <v>0.1</v>
      </c>
      <c r="N44" s="129">
        <v>200000</v>
      </c>
      <c r="O44" s="129">
        <f>N44*M44</f>
        <v>20000</v>
      </c>
    </row>
    <row r="45" spans="10:15" x14ac:dyDescent="0.35">
      <c r="J45" s="210"/>
      <c r="K45" s="210"/>
      <c r="L45" s="115" t="s">
        <v>274</v>
      </c>
      <c r="M45" s="128">
        <v>0.1</v>
      </c>
      <c r="N45" s="129">
        <v>120000</v>
      </c>
      <c r="O45" s="129">
        <f t="shared" ref="O45:O48" si="9">N45*M45</f>
        <v>12000</v>
      </c>
    </row>
    <row r="46" spans="10:15" x14ac:dyDescent="0.35">
      <c r="J46" s="210"/>
      <c r="K46" s="210"/>
      <c r="L46" s="115" t="s">
        <v>303</v>
      </c>
      <c r="M46" s="128">
        <v>0.1</v>
      </c>
      <c r="N46" s="129">
        <v>30000</v>
      </c>
      <c r="O46" s="129">
        <f t="shared" si="9"/>
        <v>3000</v>
      </c>
    </row>
    <row r="47" spans="10:15" x14ac:dyDescent="0.35">
      <c r="J47" s="210"/>
      <c r="K47" s="210"/>
      <c r="L47" s="115" t="s">
        <v>275</v>
      </c>
      <c r="M47" s="128">
        <v>0.1</v>
      </c>
      <c r="N47" s="129">
        <v>60000</v>
      </c>
      <c r="O47" s="129">
        <f t="shared" si="9"/>
        <v>6000</v>
      </c>
    </row>
    <row r="48" spans="10:15" x14ac:dyDescent="0.35">
      <c r="J48" s="210"/>
      <c r="K48" s="210"/>
      <c r="L48" s="115" t="s">
        <v>276</v>
      </c>
      <c r="M48" s="128">
        <v>0.1</v>
      </c>
      <c r="N48" s="129">
        <v>50000</v>
      </c>
      <c r="O48" s="129">
        <f t="shared" si="9"/>
        <v>5000</v>
      </c>
    </row>
    <row r="49" spans="10:15" x14ac:dyDescent="0.35">
      <c r="J49" s="210"/>
      <c r="K49" s="210"/>
      <c r="L49" s="115" t="s">
        <v>148</v>
      </c>
      <c r="M49" s="234">
        <f>SUM(M44:M48)</f>
        <v>0.5</v>
      </c>
      <c r="N49" s="129"/>
      <c r="O49" s="234">
        <f>SUM(O44:O48)</f>
        <v>46000</v>
      </c>
    </row>
    <row r="50" spans="10:15" x14ac:dyDescent="0.35">
      <c r="J50" s="210"/>
      <c r="K50" s="116"/>
      <c r="L50" s="115"/>
      <c r="M50" s="129"/>
      <c r="N50" s="129"/>
      <c r="O50" s="129"/>
    </row>
    <row r="51" spans="10:15" x14ac:dyDescent="0.35">
      <c r="J51" s="210"/>
      <c r="K51" s="210" t="s">
        <v>231</v>
      </c>
      <c r="L51" s="115" t="s">
        <v>273</v>
      </c>
      <c r="M51" s="235">
        <f>M44/5</f>
        <v>0.02</v>
      </c>
      <c r="N51" s="129">
        <v>200000</v>
      </c>
      <c r="O51" s="129">
        <f>M51*N51</f>
        <v>4000</v>
      </c>
    </row>
    <row r="52" spans="10:15" x14ac:dyDescent="0.35">
      <c r="J52" s="210"/>
      <c r="K52" s="210"/>
      <c r="L52" s="115" t="s">
        <v>274</v>
      </c>
      <c r="M52" s="235">
        <f t="shared" ref="M52:M56" si="10">M45/5</f>
        <v>0.02</v>
      </c>
      <c r="N52" s="129">
        <v>120000</v>
      </c>
      <c r="O52" s="129">
        <f t="shared" ref="O52:O55" si="11">M52*N52</f>
        <v>2400</v>
      </c>
    </row>
    <row r="53" spans="10:15" x14ac:dyDescent="0.35">
      <c r="J53" s="210"/>
      <c r="K53" s="210"/>
      <c r="L53" s="115" t="s">
        <v>303</v>
      </c>
      <c r="M53" s="235">
        <f t="shared" si="10"/>
        <v>0.02</v>
      </c>
      <c r="N53" s="129">
        <v>30000</v>
      </c>
      <c r="O53" s="129">
        <f t="shared" si="11"/>
        <v>600</v>
      </c>
    </row>
    <row r="54" spans="10:15" x14ac:dyDescent="0.35">
      <c r="J54" s="171"/>
      <c r="K54" s="210"/>
      <c r="L54" s="115" t="s">
        <v>275</v>
      </c>
      <c r="M54" s="235">
        <f t="shared" si="10"/>
        <v>0.02</v>
      </c>
      <c r="N54" s="129">
        <v>60000</v>
      </c>
      <c r="O54" s="129">
        <f t="shared" si="11"/>
        <v>1200</v>
      </c>
    </row>
    <row r="55" spans="10:15" x14ac:dyDescent="0.35">
      <c r="J55" s="171"/>
      <c r="K55" s="210"/>
      <c r="L55" s="115" t="s">
        <v>276</v>
      </c>
      <c r="M55" s="235">
        <f t="shared" si="10"/>
        <v>0.02</v>
      </c>
      <c r="N55" s="129">
        <v>50000</v>
      </c>
      <c r="O55" s="129">
        <f t="shared" si="11"/>
        <v>1000</v>
      </c>
    </row>
    <row r="56" spans="10:15" x14ac:dyDescent="0.35">
      <c r="J56" s="171"/>
      <c r="K56" s="116"/>
      <c r="L56" s="115" t="s">
        <v>148</v>
      </c>
      <c r="M56" s="235">
        <f t="shared" si="10"/>
        <v>0.1</v>
      </c>
      <c r="N56" s="115"/>
      <c r="O56" s="234">
        <f>SUM(O51:O55)</f>
        <v>9200</v>
      </c>
    </row>
    <row r="58" spans="10:15" x14ac:dyDescent="0.35">
      <c r="J58" s="209" t="s">
        <v>201</v>
      </c>
      <c r="K58" s="209" t="s">
        <v>211</v>
      </c>
      <c r="L58" s="118" t="s">
        <v>277</v>
      </c>
      <c r="M58" s="130">
        <v>0.1</v>
      </c>
      <c r="N58" s="131">
        <v>50000</v>
      </c>
      <c r="O58" s="131">
        <f>N58*M58</f>
        <v>5000</v>
      </c>
    </row>
    <row r="59" spans="10:15" x14ac:dyDescent="0.35">
      <c r="J59" s="209"/>
      <c r="K59" s="209"/>
      <c r="L59" s="117" t="s">
        <v>278</v>
      </c>
      <c r="M59" s="130">
        <v>0.35</v>
      </c>
      <c r="N59" s="131">
        <v>10800</v>
      </c>
      <c r="O59" s="131">
        <f t="shared" ref="O59:O60" si="12">N59*M59</f>
        <v>3779.9999999999995</v>
      </c>
    </row>
    <row r="60" spans="10:15" x14ac:dyDescent="0.35">
      <c r="J60" s="209"/>
      <c r="K60" s="209"/>
      <c r="L60" s="117" t="s">
        <v>279</v>
      </c>
      <c r="M60" s="130">
        <v>0.05</v>
      </c>
      <c r="N60" s="131">
        <v>40000</v>
      </c>
      <c r="O60" s="131">
        <f t="shared" si="12"/>
        <v>2000</v>
      </c>
    </row>
    <row r="61" spans="10:15" x14ac:dyDescent="0.35">
      <c r="J61" s="209"/>
      <c r="K61" s="209"/>
      <c r="L61" s="117"/>
      <c r="M61" s="236">
        <f>SUM(M58:M60)</f>
        <v>0.49999999999999994</v>
      </c>
      <c r="N61" s="131" t="s">
        <v>148</v>
      </c>
      <c r="O61" s="237">
        <f>SUM(O58:O60)</f>
        <v>10780</v>
      </c>
    </row>
    <row r="62" spans="10:15" x14ac:dyDescent="0.35">
      <c r="J62" s="209"/>
      <c r="K62" s="117"/>
      <c r="L62" s="117"/>
      <c r="M62" s="130"/>
      <c r="N62" s="131"/>
      <c r="O62" s="131"/>
    </row>
    <row r="63" spans="10:15" x14ac:dyDescent="0.35">
      <c r="J63" s="209"/>
      <c r="K63" s="209" t="s">
        <v>212</v>
      </c>
      <c r="L63" s="117" t="s">
        <v>312</v>
      </c>
      <c r="M63" s="130">
        <v>0.1</v>
      </c>
      <c r="N63" s="131">
        <v>45000</v>
      </c>
      <c r="O63" s="131">
        <f>N63*M63</f>
        <v>4500</v>
      </c>
    </row>
    <row r="64" spans="10:15" x14ac:dyDescent="0.35">
      <c r="J64" s="209"/>
      <c r="K64" s="209"/>
      <c r="L64" s="117" t="s">
        <v>279</v>
      </c>
      <c r="M64" s="130">
        <v>0.35</v>
      </c>
      <c r="N64" s="131">
        <v>10800</v>
      </c>
      <c r="O64" s="131">
        <f t="shared" ref="O64:O65" si="13">N64*M64</f>
        <v>3779.9999999999995</v>
      </c>
    </row>
    <row r="65" spans="10:15" x14ac:dyDescent="0.35">
      <c r="J65" s="209"/>
      <c r="K65" s="209"/>
      <c r="L65" s="117" t="s">
        <v>278</v>
      </c>
      <c r="M65" s="130">
        <v>0.05</v>
      </c>
      <c r="N65" s="131">
        <v>40000</v>
      </c>
      <c r="O65" s="131">
        <f t="shared" si="13"/>
        <v>2000</v>
      </c>
    </row>
    <row r="66" spans="10:15" x14ac:dyDescent="0.35">
      <c r="J66" s="209"/>
      <c r="K66" s="232"/>
      <c r="L66" s="117"/>
      <c r="M66" s="237">
        <f>SUM(M63:M65)</f>
        <v>0.49999999999999994</v>
      </c>
      <c r="N66" s="131" t="s">
        <v>230</v>
      </c>
      <c r="O66" s="237">
        <f>SUM(O63:O65)</f>
        <v>10280</v>
      </c>
    </row>
  </sheetData>
  <mergeCells count="15">
    <mergeCell ref="J32:J53"/>
    <mergeCell ref="J1:W1"/>
    <mergeCell ref="K32:K36"/>
    <mergeCell ref="K51:K55"/>
    <mergeCell ref="K24:K29"/>
    <mergeCell ref="J3:J29"/>
    <mergeCell ref="K58:K61"/>
    <mergeCell ref="K63:K65"/>
    <mergeCell ref="J58:J66"/>
    <mergeCell ref="K38:K42"/>
    <mergeCell ref="K44:K49"/>
    <mergeCell ref="A1:E1"/>
    <mergeCell ref="K3:K8"/>
    <mergeCell ref="K10:K15"/>
    <mergeCell ref="K17:K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591A-53EC-482C-8906-AA8E9DD38622}">
  <dimension ref="A1:Q70"/>
  <sheetViews>
    <sheetView topLeftCell="A43" zoomScale="55" zoomScaleNormal="55" workbookViewId="0">
      <selection activeCell="J8" sqref="J8"/>
    </sheetView>
  </sheetViews>
  <sheetFormatPr defaultRowHeight="18" x14ac:dyDescent="0.3"/>
  <cols>
    <col min="1" max="1" width="9.6640625" style="40" customWidth="1"/>
    <col min="2" max="2" width="37.77734375" style="40" customWidth="1"/>
    <col min="3" max="3" width="28.33203125" style="40" customWidth="1"/>
    <col min="4" max="4" width="26.88671875" style="40" customWidth="1"/>
    <col min="5" max="5" width="22.88671875" style="40" customWidth="1"/>
    <col min="6" max="6" width="27" style="40" customWidth="1"/>
    <col min="7" max="7" width="25.44140625" style="40" customWidth="1"/>
    <col min="8" max="8" width="23.44140625" style="40" customWidth="1"/>
    <col min="9" max="11" width="8.88671875" style="40"/>
    <col min="12" max="12" width="8.5546875" style="40" customWidth="1"/>
    <col min="13" max="13" width="26.44140625" style="40" customWidth="1"/>
    <col min="14" max="14" width="33.21875" style="40" customWidth="1"/>
    <col min="15" max="15" width="31.109375" style="40" customWidth="1"/>
    <col min="16" max="16" width="24" style="40" customWidth="1"/>
    <col min="17" max="17" width="21.44140625" style="254" customWidth="1"/>
    <col min="18" max="18" width="26" style="40" customWidth="1"/>
    <col min="19" max="16384" width="8.88671875" style="40"/>
  </cols>
  <sheetData>
    <row r="1" spans="1:17" x14ac:dyDescent="0.3">
      <c r="A1" s="211" t="s">
        <v>103</v>
      </c>
      <c r="B1" s="211"/>
      <c r="C1" s="211"/>
      <c r="D1" s="211"/>
      <c r="E1" s="211"/>
      <c r="F1" s="211"/>
      <c r="G1" s="211"/>
      <c r="H1" s="212"/>
      <c r="M1" s="277" t="s">
        <v>309</v>
      </c>
      <c r="N1" s="278"/>
      <c r="O1" s="278"/>
      <c r="P1" s="278"/>
      <c r="Q1" s="279"/>
    </row>
    <row r="2" spans="1:17" x14ac:dyDescent="0.3">
      <c r="A2" s="21" t="s">
        <v>18</v>
      </c>
      <c r="B2" s="21" t="s">
        <v>73</v>
      </c>
      <c r="C2" s="21" t="s">
        <v>74</v>
      </c>
      <c r="D2" s="22" t="s">
        <v>75</v>
      </c>
      <c r="E2" s="22" t="s">
        <v>55</v>
      </c>
      <c r="F2" s="41" t="s">
        <v>102</v>
      </c>
      <c r="G2" s="22" t="s">
        <v>149</v>
      </c>
      <c r="H2" s="22" t="s">
        <v>150</v>
      </c>
      <c r="J2" s="40" t="s">
        <v>304</v>
      </c>
      <c r="M2" s="280" t="str">
        <f>'Sản phẩm'!J2</f>
        <v>Nhóm sản phẩm</v>
      </c>
      <c r="N2" s="282" t="str">
        <f>'Sản phẩm'!K2</f>
        <v>Sản phẩm</v>
      </c>
      <c r="O2" s="282" t="str">
        <f>'Sản phẩm'!L2</f>
        <v>Nguyên liệu chính</v>
      </c>
      <c r="P2" s="282" t="str">
        <f>'Sản phẩm'!M2</f>
        <v xml:space="preserve">Khối lượng (kg) </v>
      </c>
      <c r="Q2" s="281" t="s">
        <v>310</v>
      </c>
    </row>
    <row r="3" spans="1:17" x14ac:dyDescent="0.3">
      <c r="A3" s="15">
        <v>1</v>
      </c>
      <c r="B3" s="55" t="str">
        <f>'Sản phẩm'!B3</f>
        <v>Hạt khô vị nguyên bản LuxPaws</v>
      </c>
      <c r="C3" s="15">
        <f>'Sản phẩm'!C3</f>
        <v>2.2000000000000002</v>
      </c>
      <c r="D3" s="56">
        <f>'Sản phẩm'!E3</f>
        <v>189000</v>
      </c>
      <c r="E3" s="15">
        <v>100</v>
      </c>
      <c r="F3" s="57">
        <f>D3*E3</f>
        <v>18900000</v>
      </c>
      <c r="G3" s="56">
        <f>D27</f>
        <v>113115.00547645126</v>
      </c>
      <c r="H3" s="56">
        <f>G3*E3</f>
        <v>11311500.547645126</v>
      </c>
      <c r="J3" s="40">
        <f>SUM(E3:E22)</f>
        <v>4565</v>
      </c>
      <c r="M3" s="258" t="s">
        <v>203</v>
      </c>
      <c r="N3" s="259" t="s">
        <v>204</v>
      </c>
      <c r="O3" s="260" t="str">
        <f>'Sản phẩm'!L3</f>
        <v xml:space="preserve">Thịt gà </v>
      </c>
      <c r="P3" s="261">
        <f>'Sản phẩm'!M3</f>
        <v>0.5</v>
      </c>
      <c r="Q3" s="262">
        <f>P3*($E$3+$E$7)</f>
        <v>85</v>
      </c>
    </row>
    <row r="4" spans="1:17" x14ac:dyDescent="0.3">
      <c r="A4" s="285">
        <v>2</v>
      </c>
      <c r="B4" s="286" t="str">
        <f>'Sản phẩm'!B4</f>
        <v>Hạt khô vị bò LuxPaws</v>
      </c>
      <c r="C4" s="285">
        <f>'Sản phẩm'!C4</f>
        <v>2.2000000000000002</v>
      </c>
      <c r="D4" s="287">
        <f>'Sản phẩm'!E4</f>
        <v>300000</v>
      </c>
      <c r="E4" s="285">
        <v>100</v>
      </c>
      <c r="F4" s="288">
        <f t="shared" ref="F4:F22" si="0">D4*E4</f>
        <v>30000000</v>
      </c>
      <c r="G4" s="287">
        <f>D28</f>
        <v>193115.00547645125</v>
      </c>
      <c r="H4" s="287">
        <f t="shared" ref="H4:H22" si="1">G4*E4</f>
        <v>19311500.547645126</v>
      </c>
      <c r="I4" s="40" t="s">
        <v>319</v>
      </c>
      <c r="M4" s="258"/>
      <c r="N4" s="259"/>
      <c r="O4" s="260" t="str">
        <f>'Sản phẩm'!L4</f>
        <v>Tinh bột ngô</v>
      </c>
      <c r="P4" s="261">
        <f>'Sản phẩm'!M4</f>
        <v>0.5</v>
      </c>
      <c r="Q4" s="262">
        <f t="shared" ref="Q4:Q7" si="2">P4*($E$3+$E$7)</f>
        <v>85</v>
      </c>
    </row>
    <row r="5" spans="1:17" x14ac:dyDescent="0.3">
      <c r="A5" s="15">
        <v>3</v>
      </c>
      <c r="B5" s="55" t="str">
        <f>'Sản phẩm'!B5</f>
        <v>Hạt khô vị heo LuxPaws</v>
      </c>
      <c r="C5" s="15">
        <f>'Sản phẩm'!C5</f>
        <v>2.2000000000000002</v>
      </c>
      <c r="D5" s="56">
        <f>'Sản phẩm'!E5</f>
        <v>249000</v>
      </c>
      <c r="E5" s="15">
        <v>100</v>
      </c>
      <c r="F5" s="57">
        <f t="shared" si="0"/>
        <v>24900000</v>
      </c>
      <c r="G5" s="56">
        <f>D29</f>
        <v>153115.00547645125</v>
      </c>
      <c r="H5" s="56">
        <f t="shared" si="1"/>
        <v>15311500.547645126</v>
      </c>
      <c r="M5" s="258"/>
      <c r="N5" s="259"/>
      <c r="O5" s="260" t="str">
        <f>'Sản phẩm'!L5</f>
        <v xml:space="preserve">Bột lúa mì </v>
      </c>
      <c r="P5" s="261">
        <f>'Sản phẩm'!M5</f>
        <v>0.5</v>
      </c>
      <c r="Q5" s="262">
        <f t="shared" si="2"/>
        <v>85</v>
      </c>
    </row>
    <row r="6" spans="1:17" x14ac:dyDescent="0.3">
      <c r="A6" s="15">
        <v>4</v>
      </c>
      <c r="B6" s="55" t="str">
        <f>'Sản phẩm'!B6</f>
        <v>Hạt khô bổ sung rau củ LuxPaws</v>
      </c>
      <c r="C6" s="15">
        <f>'Sản phẩm'!C6</f>
        <v>2.2000000000000002</v>
      </c>
      <c r="D6" s="56">
        <f>'Sản phẩm'!E6</f>
        <v>159000</v>
      </c>
      <c r="E6" s="15">
        <v>100</v>
      </c>
      <c r="F6" s="57">
        <f t="shared" si="0"/>
        <v>15900000</v>
      </c>
      <c r="G6" s="56">
        <f>D30</f>
        <v>108115.00547645126</v>
      </c>
      <c r="H6" s="56">
        <f t="shared" si="1"/>
        <v>10811500.547645126</v>
      </c>
      <c r="M6" s="258"/>
      <c r="N6" s="259"/>
      <c r="O6" s="260" t="str">
        <f>'Sản phẩm'!L6</f>
        <v xml:space="preserve">Bột gạo lứt </v>
      </c>
      <c r="P6" s="261">
        <f>'Sản phẩm'!M6</f>
        <v>0.5</v>
      </c>
      <c r="Q6" s="262">
        <f t="shared" si="2"/>
        <v>85</v>
      </c>
    </row>
    <row r="7" spans="1:17" x14ac:dyDescent="0.3">
      <c r="A7" s="15">
        <v>5</v>
      </c>
      <c r="B7" s="55" t="str">
        <f>'Sản phẩm'!B7</f>
        <v>Combo 4 loại hỗn hợp LuxPaws</v>
      </c>
      <c r="C7" s="15">
        <f>'Sản phẩm'!C7</f>
        <v>8.8000000000000007</v>
      </c>
      <c r="D7" s="56">
        <f>'Sản phẩm'!E7</f>
        <v>599000</v>
      </c>
      <c r="E7" s="15">
        <v>70</v>
      </c>
      <c r="F7" s="57">
        <f t="shared" si="0"/>
        <v>41930000</v>
      </c>
      <c r="G7" s="56">
        <f>D31</f>
        <v>522115.00547645125</v>
      </c>
      <c r="H7" s="56">
        <f t="shared" si="1"/>
        <v>36548050.383351587</v>
      </c>
      <c r="M7" s="258"/>
      <c r="N7" s="259"/>
      <c r="O7" s="260" t="str">
        <f>'Sản phẩm'!L7</f>
        <v xml:space="preserve">Dầu đậu nành </v>
      </c>
      <c r="P7" s="261">
        <f>'Sản phẩm'!M7</f>
        <v>0.2</v>
      </c>
      <c r="Q7" s="262">
        <f t="shared" si="2"/>
        <v>34</v>
      </c>
    </row>
    <row r="8" spans="1:17" x14ac:dyDescent="0.3">
      <c r="A8" s="15">
        <v>6</v>
      </c>
      <c r="B8" s="55" t="str">
        <f>'Sản phẩm'!B8</f>
        <v>Sữa hạt lanh LuxPaws</v>
      </c>
      <c r="C8" s="15">
        <f>'Sản phẩm'!C8</f>
        <v>0.49999999999999994</v>
      </c>
      <c r="D8" s="56">
        <f>'Sản phẩm'!E8</f>
        <v>39000</v>
      </c>
      <c r="E8" s="15">
        <v>75</v>
      </c>
      <c r="F8" s="57">
        <f t="shared" si="0"/>
        <v>2925000</v>
      </c>
      <c r="G8" s="56">
        <f>D32</f>
        <v>25895.005476451261</v>
      </c>
      <c r="H8" s="56">
        <f t="shared" si="1"/>
        <v>1942125.4107338446</v>
      </c>
      <c r="M8" s="258"/>
      <c r="N8" s="259"/>
      <c r="O8" s="260" t="str">
        <f>'Sản phẩm'!L8</f>
        <v xml:space="preserve">Tổng </v>
      </c>
      <c r="P8" s="261">
        <f>'Sản phẩm'!M8</f>
        <v>2.2000000000000002</v>
      </c>
      <c r="Q8" s="262"/>
    </row>
    <row r="9" spans="1:17" x14ac:dyDescent="0.3">
      <c r="A9" s="15">
        <v>7</v>
      </c>
      <c r="B9" s="55" t="str">
        <f>'Sản phẩm'!B9</f>
        <v>Sữa bột pha sẵn LuxPaws</v>
      </c>
      <c r="C9" s="15">
        <f>'Sản phẩm'!C9</f>
        <v>0.49999999999999994</v>
      </c>
      <c r="D9" s="56">
        <f>'Sản phẩm'!E9</f>
        <v>39000</v>
      </c>
      <c r="E9" s="15">
        <v>90</v>
      </c>
      <c r="F9" s="57">
        <f t="shared" si="0"/>
        <v>3510000</v>
      </c>
      <c r="G9" s="56">
        <f>D33</f>
        <v>25395.005476451261</v>
      </c>
      <c r="H9" s="56">
        <f t="shared" si="1"/>
        <v>2285550.4928806135</v>
      </c>
      <c r="M9" s="258"/>
      <c r="N9" s="260"/>
      <c r="O9" s="260"/>
      <c r="P9" s="260"/>
      <c r="Q9" s="262"/>
    </row>
    <row r="10" spans="1:17" x14ac:dyDescent="0.3">
      <c r="A10" s="15">
        <v>8</v>
      </c>
      <c r="B10" s="55" t="str">
        <f>'Sản phẩm'!B10</f>
        <v>Pate gà LuxPaws</v>
      </c>
      <c r="C10" s="15">
        <f>'Sản phẩm'!C10</f>
        <v>0.5</v>
      </c>
      <c r="D10" s="56">
        <f>'Sản phẩm'!E10</f>
        <v>239000</v>
      </c>
      <c r="E10" s="15">
        <v>100</v>
      </c>
      <c r="F10" s="57">
        <f t="shared" si="0"/>
        <v>23900000</v>
      </c>
      <c r="G10" s="56">
        <f>D34</f>
        <v>35115.005476451261</v>
      </c>
      <c r="H10" s="56">
        <f t="shared" si="1"/>
        <v>3511500.547645126</v>
      </c>
      <c r="M10" s="258"/>
      <c r="N10" s="263" t="s">
        <v>202</v>
      </c>
      <c r="O10" s="260" t="str">
        <f>'Sản phẩm'!L10</f>
        <v>Thịt heo</v>
      </c>
      <c r="P10" s="261">
        <f>'Sản phẩm'!M10</f>
        <v>0.5</v>
      </c>
      <c r="Q10" s="262">
        <f>P10*($E$5+$E$7)</f>
        <v>85</v>
      </c>
    </row>
    <row r="11" spans="1:17" x14ac:dyDescent="0.3">
      <c r="A11" s="15">
        <v>9</v>
      </c>
      <c r="B11" s="55" t="str">
        <f>'Sản phẩm'!B11</f>
        <v>Pate heo LuxPaws</v>
      </c>
      <c r="C11" s="15">
        <f>'Sản phẩm'!C11</f>
        <v>0.5</v>
      </c>
      <c r="D11" s="56">
        <f>'Sản phẩm'!E11</f>
        <v>239000</v>
      </c>
      <c r="E11" s="15">
        <v>100</v>
      </c>
      <c r="F11" s="57">
        <f t="shared" si="0"/>
        <v>23900000</v>
      </c>
      <c r="G11" s="56">
        <f>D35</f>
        <v>55115.005476451261</v>
      </c>
      <c r="H11" s="56">
        <f t="shared" si="1"/>
        <v>5511500.5476451265</v>
      </c>
      <c r="M11" s="258"/>
      <c r="N11" s="263"/>
      <c r="O11" s="260" t="str">
        <f>'Sản phẩm'!L11</f>
        <v>Tinh bột ngô</v>
      </c>
      <c r="P11" s="261">
        <f>'Sản phẩm'!M11</f>
        <v>0.5</v>
      </c>
      <c r="Q11" s="262">
        <f t="shared" ref="Q11:Q14" si="3">P11*($E$5+$E$7)</f>
        <v>85</v>
      </c>
    </row>
    <row r="12" spans="1:17" x14ac:dyDescent="0.3">
      <c r="A12" s="15">
        <v>10</v>
      </c>
      <c r="B12" s="55" t="str">
        <f>'Sản phẩm'!B12</f>
        <v>Pate hỗn hợp LuxPaws</v>
      </c>
      <c r="C12" s="15">
        <f>'Sản phẩm'!C12</f>
        <v>0.5</v>
      </c>
      <c r="D12" s="56">
        <f>'Sản phẩm'!E12</f>
        <v>259000</v>
      </c>
      <c r="E12" s="15">
        <v>100</v>
      </c>
      <c r="F12" s="57">
        <f t="shared" si="0"/>
        <v>25900000</v>
      </c>
      <c r="G12" s="56">
        <f>D36</f>
        <v>61115.005476451261</v>
      </c>
      <c r="H12" s="56">
        <f t="shared" si="1"/>
        <v>6111500.5476451265</v>
      </c>
      <c r="M12" s="258"/>
      <c r="N12" s="263"/>
      <c r="O12" s="260" t="str">
        <f>'Sản phẩm'!L12</f>
        <v xml:space="preserve">Bột lúa mì </v>
      </c>
      <c r="P12" s="261">
        <f>'Sản phẩm'!M12</f>
        <v>0.5</v>
      </c>
      <c r="Q12" s="262">
        <f t="shared" si="3"/>
        <v>85</v>
      </c>
    </row>
    <row r="13" spans="1:17" x14ac:dyDescent="0.3">
      <c r="A13" s="15">
        <v>11</v>
      </c>
      <c r="B13" s="55" t="str">
        <f>'Sản phẩm'!B13</f>
        <v>Combo 3 loại pate LuxPaws</v>
      </c>
      <c r="C13" s="15">
        <f>'Sản phẩm'!C13</f>
        <v>1.5</v>
      </c>
      <c r="D13" s="56">
        <f>'Sản phẩm'!E13</f>
        <v>699000</v>
      </c>
      <c r="E13" s="15">
        <v>70</v>
      </c>
      <c r="F13" s="57">
        <f t="shared" si="0"/>
        <v>48930000</v>
      </c>
      <c r="G13" s="56">
        <f>D37</f>
        <v>121115.00547645126</v>
      </c>
      <c r="H13" s="56">
        <f t="shared" si="1"/>
        <v>8478050.3833515886</v>
      </c>
      <c r="M13" s="258"/>
      <c r="N13" s="263"/>
      <c r="O13" s="260" t="str">
        <f>'Sản phẩm'!L13</f>
        <v xml:space="preserve">Bột gạo lứt </v>
      </c>
      <c r="P13" s="261">
        <f>'Sản phẩm'!M13</f>
        <v>0.5</v>
      </c>
      <c r="Q13" s="262">
        <f t="shared" si="3"/>
        <v>85</v>
      </c>
    </row>
    <row r="14" spans="1:17" x14ac:dyDescent="0.3">
      <c r="A14" s="15">
        <v>12</v>
      </c>
      <c r="B14" s="55" t="str">
        <f>'Sản phẩm'!B14</f>
        <v>Pate gói nhỏ LuxPaws</v>
      </c>
      <c r="C14" s="15">
        <f>'Sản phẩm'!C14</f>
        <v>0.02</v>
      </c>
      <c r="D14" s="56">
        <f>'Sản phẩm'!E14</f>
        <v>49000</v>
      </c>
      <c r="E14" s="15">
        <v>300</v>
      </c>
      <c r="F14" s="57">
        <f t="shared" si="0"/>
        <v>14700000</v>
      </c>
      <c r="G14" s="56">
        <f>D38</f>
        <v>19115.005476451261</v>
      </c>
      <c r="H14" s="56">
        <f t="shared" si="1"/>
        <v>5734501.6429353785</v>
      </c>
      <c r="M14" s="258"/>
      <c r="N14" s="263"/>
      <c r="O14" s="260" t="str">
        <f>'Sản phẩm'!L14</f>
        <v xml:space="preserve">Dầu đậu nành </v>
      </c>
      <c r="P14" s="261">
        <f>'Sản phẩm'!M14</f>
        <v>0.2</v>
      </c>
      <c r="Q14" s="262">
        <f t="shared" si="3"/>
        <v>34</v>
      </c>
    </row>
    <row r="15" spans="1:17" x14ac:dyDescent="0.3">
      <c r="A15" s="15">
        <v>13</v>
      </c>
      <c r="B15" s="55" t="str">
        <f>'Sản phẩm'!B15</f>
        <v>Tinh dầu dưỡng lông LuxPaws</v>
      </c>
      <c r="C15" s="15" t="str">
        <f>'Sản phẩm'!C15</f>
        <v>Bình</v>
      </c>
      <c r="D15" s="56">
        <f>'Sản phẩm'!E15</f>
        <v>89000</v>
      </c>
      <c r="E15" s="15">
        <v>70</v>
      </c>
      <c r="F15" s="57">
        <f t="shared" si="0"/>
        <v>6230000</v>
      </c>
      <c r="G15" s="56">
        <f>D39</f>
        <v>60000</v>
      </c>
      <c r="H15" s="56">
        <f t="shared" si="1"/>
        <v>4200000</v>
      </c>
      <c r="M15" s="258"/>
      <c r="N15" s="263"/>
      <c r="O15" s="260" t="str">
        <f>'Sản phẩm'!L15</f>
        <v>Tổng</v>
      </c>
      <c r="P15" s="261">
        <f>'Sản phẩm'!M15</f>
        <v>2.2000000000000002</v>
      </c>
      <c r="Q15" s="262"/>
    </row>
    <row r="16" spans="1:17" x14ac:dyDescent="0.3">
      <c r="A16" s="15">
        <v>14</v>
      </c>
      <c r="B16" s="55" t="str">
        <f>'Sản phẩm'!B16</f>
        <v xml:space="preserve">Nước hoa cho thú cưng hương Oải hương </v>
      </c>
      <c r="C16" s="15" t="str">
        <f>'Sản phẩm'!C16</f>
        <v>Bình</v>
      </c>
      <c r="D16" s="56">
        <f>'Sản phẩm'!E16</f>
        <v>69000</v>
      </c>
      <c r="E16" s="15">
        <v>80</v>
      </c>
      <c r="F16" s="57">
        <f t="shared" si="0"/>
        <v>5520000</v>
      </c>
      <c r="G16" s="56">
        <f>D40</f>
        <v>40000</v>
      </c>
      <c r="H16" s="56">
        <f t="shared" si="1"/>
        <v>3200000</v>
      </c>
      <c r="M16" s="258"/>
      <c r="N16" s="260"/>
      <c r="O16" s="260"/>
      <c r="P16" s="260"/>
      <c r="Q16" s="262"/>
    </row>
    <row r="17" spans="1:17" x14ac:dyDescent="0.3">
      <c r="A17" s="15">
        <v>15</v>
      </c>
      <c r="B17" s="55" t="str">
        <f>'Sản phẩm'!B17</f>
        <v>Combo tinh dầu nước hoa LuxPaws</v>
      </c>
      <c r="C17" s="15" t="str">
        <f>'Sản phẩm'!C17</f>
        <v>Hộp</v>
      </c>
      <c r="D17" s="56">
        <f>'Sản phẩm'!E17</f>
        <v>149000</v>
      </c>
      <c r="E17" s="15">
        <v>50</v>
      </c>
      <c r="F17" s="57">
        <f t="shared" si="0"/>
        <v>7450000</v>
      </c>
      <c r="G17" s="56">
        <f>D41</f>
        <v>101000</v>
      </c>
      <c r="H17" s="56">
        <f t="shared" si="1"/>
        <v>5050000</v>
      </c>
      <c r="M17" s="258"/>
      <c r="N17" s="263" t="s">
        <v>206</v>
      </c>
      <c r="O17" s="260" t="str">
        <f>'Sản phẩm'!L17</f>
        <v>Thịt bò</v>
      </c>
      <c r="P17" s="261">
        <f>'Sản phẩm'!M17</f>
        <v>0.5</v>
      </c>
      <c r="Q17" s="262">
        <f>P17*($E$4+$E$7)</f>
        <v>85</v>
      </c>
    </row>
    <row r="18" spans="1:17" x14ac:dyDescent="0.3">
      <c r="A18" s="15">
        <v>16</v>
      </c>
      <c r="B18" s="55" t="str">
        <f>'Sản phẩm'!B18</f>
        <v>Sữa tắm chó mèo LuxPaws</v>
      </c>
      <c r="C18" s="15" t="str">
        <f>'Sản phẩm'!C18</f>
        <v>Bình</v>
      </c>
      <c r="D18" s="56">
        <f>'Sản phẩm'!E18</f>
        <v>99000</v>
      </c>
      <c r="E18" s="15">
        <v>60</v>
      </c>
      <c r="F18" s="57">
        <f t="shared" si="0"/>
        <v>5940000</v>
      </c>
      <c r="G18" s="56">
        <f>D42</f>
        <v>59000</v>
      </c>
      <c r="H18" s="56">
        <f t="shared" si="1"/>
        <v>3540000</v>
      </c>
      <c r="M18" s="258"/>
      <c r="N18" s="263"/>
      <c r="O18" s="260" t="str">
        <f>'Sản phẩm'!L18</f>
        <v>Tinh bột ngô</v>
      </c>
      <c r="P18" s="261">
        <f>'Sản phẩm'!M18</f>
        <v>0.5</v>
      </c>
      <c r="Q18" s="262">
        <f t="shared" ref="Q18:Q21" si="4">P18*($E$4+$E$7)</f>
        <v>85</v>
      </c>
    </row>
    <row r="19" spans="1:17" x14ac:dyDescent="0.3">
      <c r="A19" s="15">
        <v>17</v>
      </c>
      <c r="B19" s="55" t="str">
        <f>'Sản phẩm'!B19</f>
        <v>Cỏ mèo</v>
      </c>
      <c r="C19" s="15" t="str">
        <f>'Sản phẩm'!C19</f>
        <v>Hộp</v>
      </c>
      <c r="D19" s="56">
        <f>'Sản phẩm'!E19</f>
        <v>19000</v>
      </c>
      <c r="E19" s="15">
        <v>200</v>
      </c>
      <c r="F19" s="57">
        <f t="shared" si="0"/>
        <v>3800000</v>
      </c>
      <c r="G19" s="56">
        <f>D43</f>
        <v>12000</v>
      </c>
      <c r="H19" s="56">
        <f t="shared" si="1"/>
        <v>2400000</v>
      </c>
      <c r="M19" s="258"/>
      <c r="N19" s="263"/>
      <c r="O19" s="260" t="str">
        <f>'Sản phẩm'!L19</f>
        <v xml:space="preserve">Bột lúa mì </v>
      </c>
      <c r="P19" s="261">
        <f>'Sản phẩm'!M19</f>
        <v>0.5</v>
      </c>
      <c r="Q19" s="262">
        <f t="shared" si="4"/>
        <v>85</v>
      </c>
    </row>
    <row r="20" spans="1:17" x14ac:dyDescent="0.3">
      <c r="A20" s="15">
        <v>18</v>
      </c>
      <c r="B20" s="55" t="str">
        <f>'Sản phẩm'!B20</f>
        <v>Phấn tắm khô LuxPaw</v>
      </c>
      <c r="C20" s="15" t="str">
        <f>'Sản phẩm'!C20</f>
        <v>Hộp</v>
      </c>
      <c r="D20" s="56">
        <f>'Sản phẩm'!E20</f>
        <v>89000</v>
      </c>
      <c r="E20" s="15">
        <v>300</v>
      </c>
      <c r="F20" s="57">
        <f t="shared" si="0"/>
        <v>26700000</v>
      </c>
      <c r="G20" s="56">
        <f>D44</f>
        <v>60000</v>
      </c>
      <c r="H20" s="56">
        <f t="shared" si="1"/>
        <v>18000000</v>
      </c>
      <c r="M20" s="258"/>
      <c r="N20" s="263"/>
      <c r="O20" s="260" t="str">
        <f>'Sản phẩm'!L20</f>
        <v xml:space="preserve">Bột gạo lứt </v>
      </c>
      <c r="P20" s="261">
        <f>'Sản phẩm'!M20</f>
        <v>0.5</v>
      </c>
      <c r="Q20" s="262">
        <f t="shared" si="4"/>
        <v>85</v>
      </c>
    </row>
    <row r="21" spans="1:17" x14ac:dyDescent="0.3">
      <c r="A21" s="15">
        <v>19</v>
      </c>
      <c r="B21" s="55" t="str">
        <f>'Sản phẩm'!B21</f>
        <v>Súp thưởng LuxPaws cho mèo</v>
      </c>
      <c r="C21" s="15" t="str">
        <f>'Sản phẩm'!C21</f>
        <v>Gói</v>
      </c>
      <c r="D21" s="56">
        <f>'Sản phẩm'!E21</f>
        <v>20000</v>
      </c>
      <c r="E21" s="15">
        <v>2000</v>
      </c>
      <c r="F21" s="57">
        <f t="shared" si="0"/>
        <v>40000000</v>
      </c>
      <c r="G21" s="56">
        <f>D45</f>
        <v>10000</v>
      </c>
      <c r="H21" s="56">
        <f t="shared" si="1"/>
        <v>20000000</v>
      </c>
      <c r="M21" s="258"/>
      <c r="N21" s="263"/>
      <c r="O21" s="260" t="str">
        <f>'Sản phẩm'!L21</f>
        <v xml:space="preserve">Dầu đậu nành </v>
      </c>
      <c r="P21" s="261">
        <f>'Sản phẩm'!M21</f>
        <v>0.2</v>
      </c>
      <c r="Q21" s="262">
        <f t="shared" si="4"/>
        <v>34</v>
      </c>
    </row>
    <row r="22" spans="1:17" x14ac:dyDescent="0.3">
      <c r="A22" s="15">
        <v>20</v>
      </c>
      <c r="B22" s="55" t="str">
        <f>'Sản phẩm'!B22</f>
        <v>Bánh thưởng LuxPaws</v>
      </c>
      <c r="C22" s="15" t="str">
        <f>'Sản phẩm'!C22</f>
        <v>Túi</v>
      </c>
      <c r="D22" s="56">
        <f>'Sản phẩm'!E22</f>
        <v>25000</v>
      </c>
      <c r="E22" s="15">
        <v>500</v>
      </c>
      <c r="F22" s="57">
        <f t="shared" si="0"/>
        <v>12500000</v>
      </c>
      <c r="G22" s="56">
        <f>D46</f>
        <v>15000</v>
      </c>
      <c r="H22" s="56">
        <f t="shared" si="1"/>
        <v>7500000</v>
      </c>
      <c r="M22" s="258"/>
      <c r="N22" s="263"/>
      <c r="O22" s="260" t="str">
        <f>'Sản phẩm'!L22</f>
        <v>Tổng</v>
      </c>
      <c r="P22" s="261">
        <f>'Sản phẩm'!M22</f>
        <v>2.2000000000000002</v>
      </c>
      <c r="Q22" s="262"/>
    </row>
    <row r="23" spans="1:17" x14ac:dyDescent="0.3">
      <c r="A23" s="213">
        <f>F25</f>
        <v>0</v>
      </c>
      <c r="B23" s="213"/>
      <c r="C23" s="213"/>
      <c r="D23" s="213"/>
      <c r="E23" s="213"/>
      <c r="F23" s="58">
        <f>SUM(F3:F22)</f>
        <v>383535000</v>
      </c>
      <c r="G23" s="42" t="s">
        <v>151</v>
      </c>
      <c r="H23" s="56">
        <f>SUM(H3:H22)</f>
        <v>190758782.14676887</v>
      </c>
      <c r="M23" s="258"/>
      <c r="N23" s="260"/>
      <c r="O23" s="260"/>
      <c r="P23" s="260"/>
      <c r="Q23" s="262"/>
    </row>
    <row r="24" spans="1:17" x14ac:dyDescent="0.3">
      <c r="M24" s="258"/>
      <c r="N24" s="263" t="s">
        <v>207</v>
      </c>
      <c r="O24" s="260" t="str">
        <f>'Sản phẩm'!L24</f>
        <v>Cà rốt</v>
      </c>
      <c r="P24" s="261">
        <f>'Sản phẩm'!M24</f>
        <v>0.5</v>
      </c>
      <c r="Q24" s="262">
        <f>P24*($E$6+$E$7)</f>
        <v>85</v>
      </c>
    </row>
    <row r="25" spans="1:17" x14ac:dyDescent="0.3">
      <c r="A25" s="327" t="s">
        <v>104</v>
      </c>
      <c r="B25" s="328"/>
      <c r="C25" s="328"/>
      <c r="D25" s="329"/>
      <c r="M25" s="258"/>
      <c r="N25" s="263"/>
      <c r="O25" s="260" t="str">
        <f>'Sản phẩm'!L25</f>
        <v>Tinh bột ngô</v>
      </c>
      <c r="P25" s="261">
        <f>'Sản phẩm'!M25</f>
        <v>0.5</v>
      </c>
      <c r="Q25" s="262">
        <f t="shared" ref="Q25:Q28" si="5">P25*($E$6+$E$7)</f>
        <v>85</v>
      </c>
    </row>
    <row r="26" spans="1:17" x14ac:dyDescent="0.3">
      <c r="A26" s="15" t="s">
        <v>18</v>
      </c>
      <c r="B26" s="15" t="s">
        <v>106</v>
      </c>
      <c r="C26" s="15" t="s">
        <v>238</v>
      </c>
      <c r="D26" s="15" t="s">
        <v>105</v>
      </c>
      <c r="M26" s="258"/>
      <c r="N26" s="263"/>
      <c r="O26" s="260" t="str">
        <f>'Sản phẩm'!L26</f>
        <v xml:space="preserve">Bột lúa mì </v>
      </c>
      <c r="P26" s="261">
        <f>'Sản phẩm'!M26</f>
        <v>0.5</v>
      </c>
      <c r="Q26" s="262">
        <f t="shared" si="5"/>
        <v>85</v>
      </c>
    </row>
    <row r="27" spans="1:17" x14ac:dyDescent="0.3">
      <c r="A27" s="124">
        <v>1</v>
      </c>
      <c r="B27" s="124" t="str">
        <f>B3</f>
        <v>Hạt khô vị nguyên bản LuxPaws</v>
      </c>
      <c r="C27" s="146">
        <f>'Sản phẩm'!D3</f>
        <v>98000</v>
      </c>
      <c r="D27" s="146">
        <f>ELS!D2</f>
        <v>113115.00547645126</v>
      </c>
      <c r="M27" s="258"/>
      <c r="N27" s="263"/>
      <c r="O27" s="260" t="str">
        <f>'Sản phẩm'!L27</f>
        <v xml:space="preserve">Bột gạo lứt </v>
      </c>
      <c r="P27" s="261">
        <f>'Sản phẩm'!M27</f>
        <v>0.5</v>
      </c>
      <c r="Q27" s="262">
        <f t="shared" si="5"/>
        <v>85</v>
      </c>
    </row>
    <row r="28" spans="1:17" x14ac:dyDescent="0.3">
      <c r="A28" s="124">
        <v>2</v>
      </c>
      <c r="B28" s="124" t="str">
        <f t="shared" ref="B28:B46" si="6">B4</f>
        <v>Hạt khô vị bò LuxPaws</v>
      </c>
      <c r="C28" s="146">
        <f>'Sản phẩm'!D4</f>
        <v>178000</v>
      </c>
      <c r="D28" s="146">
        <f>ELS!D3</f>
        <v>193115.00547645125</v>
      </c>
      <c r="M28" s="258"/>
      <c r="N28" s="263"/>
      <c r="O28" s="260" t="str">
        <f>'Sản phẩm'!L28</f>
        <v xml:space="preserve">Dầu đậu nành </v>
      </c>
      <c r="P28" s="261">
        <f>'Sản phẩm'!M28</f>
        <v>0.2</v>
      </c>
      <c r="Q28" s="262">
        <f t="shared" si="5"/>
        <v>34</v>
      </c>
    </row>
    <row r="29" spans="1:17" x14ac:dyDescent="0.3">
      <c r="A29" s="124">
        <v>3</v>
      </c>
      <c r="B29" s="124" t="str">
        <f t="shared" si="6"/>
        <v>Hạt khô vị heo LuxPaws</v>
      </c>
      <c r="C29" s="146">
        <f>'Sản phẩm'!D5</f>
        <v>138000</v>
      </c>
      <c r="D29" s="146">
        <f>ELS!D4</f>
        <v>153115.00547645125</v>
      </c>
      <c r="M29" s="258"/>
      <c r="N29" s="263"/>
      <c r="O29" s="260" t="str">
        <f>'Sản phẩm'!L29</f>
        <v>Tổng</v>
      </c>
      <c r="P29" s="261">
        <f>'Sản phẩm'!M29</f>
        <v>2.2000000000000002</v>
      </c>
      <c r="Q29" s="262"/>
    </row>
    <row r="30" spans="1:17" x14ac:dyDescent="0.3">
      <c r="A30" s="124">
        <v>4</v>
      </c>
      <c r="B30" s="124" t="str">
        <f t="shared" si="6"/>
        <v>Hạt khô bổ sung rau củ LuxPaws</v>
      </c>
      <c r="C30" s="146">
        <f>'Sản phẩm'!D6</f>
        <v>93000</v>
      </c>
      <c r="D30" s="146">
        <f>ELS!D5</f>
        <v>108115.00547645126</v>
      </c>
      <c r="M30" s="255"/>
      <c r="N30" s="256"/>
      <c r="O30" s="256"/>
      <c r="P30" s="256"/>
      <c r="Q30" s="257"/>
    </row>
    <row r="31" spans="1:17" x14ac:dyDescent="0.3">
      <c r="A31" s="124">
        <v>5</v>
      </c>
      <c r="B31" s="124" t="str">
        <f t="shared" si="6"/>
        <v>Combo 4 loại hỗn hợp LuxPaws</v>
      </c>
      <c r="C31" s="146">
        <f>'Sản phẩm'!D7</f>
        <v>507000</v>
      </c>
      <c r="D31" s="146">
        <f>ELS!D6</f>
        <v>522115.00547645125</v>
      </c>
      <c r="M31" s="255"/>
      <c r="N31" s="256"/>
      <c r="O31" s="256"/>
      <c r="P31" s="256"/>
      <c r="Q31" s="257"/>
    </row>
    <row r="32" spans="1:17" x14ac:dyDescent="0.3">
      <c r="A32" s="124">
        <v>6</v>
      </c>
      <c r="B32" s="124" t="str">
        <f t="shared" si="6"/>
        <v>Sữa hạt lanh LuxPaws</v>
      </c>
      <c r="C32" s="146">
        <f>'Sản phẩm'!D8</f>
        <v>10780</v>
      </c>
      <c r="D32" s="146">
        <f>ELS!D7</f>
        <v>25895.005476451261</v>
      </c>
      <c r="M32" s="264" t="s">
        <v>307</v>
      </c>
      <c r="N32" s="265" t="s">
        <v>208</v>
      </c>
      <c r="O32" s="266" t="str">
        <f>'Sản phẩm'!L32</f>
        <v xml:space="preserve">Thịt gà </v>
      </c>
      <c r="P32" s="267">
        <f>'Sản phẩm'!M32</f>
        <v>0.2</v>
      </c>
      <c r="Q32" s="268">
        <f>P32*($E$10+$E$13)</f>
        <v>34</v>
      </c>
    </row>
    <row r="33" spans="1:17" x14ac:dyDescent="0.3">
      <c r="A33" s="124">
        <v>7</v>
      </c>
      <c r="B33" s="124" t="str">
        <f t="shared" si="6"/>
        <v>Sữa bột pha sẵn LuxPaws</v>
      </c>
      <c r="C33" s="146">
        <f>'Sản phẩm'!D9</f>
        <v>10280</v>
      </c>
      <c r="D33" s="146">
        <f>ELS!D8</f>
        <v>25395.005476451261</v>
      </c>
      <c r="M33" s="264"/>
      <c r="N33" s="265"/>
      <c r="O33" s="266" t="str">
        <f>'Sản phẩm'!L33</f>
        <v>Dầu cá hồi</v>
      </c>
      <c r="P33" s="267">
        <f>'Sản phẩm'!M33</f>
        <v>0.1</v>
      </c>
      <c r="Q33" s="268">
        <f t="shared" ref="Q33:Q35" si="7">P33*($E$10+$E$13)</f>
        <v>17</v>
      </c>
    </row>
    <row r="34" spans="1:17" x14ac:dyDescent="0.3">
      <c r="A34" s="124">
        <v>8</v>
      </c>
      <c r="B34" s="124" t="str">
        <f t="shared" si="6"/>
        <v>Pate gà LuxPaws</v>
      </c>
      <c r="C34" s="146">
        <f>'Sản phẩm'!D10</f>
        <v>20000</v>
      </c>
      <c r="D34" s="146">
        <f>ELS!D9</f>
        <v>35115.005476451261</v>
      </c>
      <c r="M34" s="264"/>
      <c r="N34" s="265"/>
      <c r="O34" s="266" t="str">
        <f>'Sản phẩm'!L34</f>
        <v>Cà rốt</v>
      </c>
      <c r="P34" s="267">
        <f>'Sản phẩm'!M34</f>
        <v>0.1</v>
      </c>
      <c r="Q34" s="268">
        <f t="shared" si="7"/>
        <v>17</v>
      </c>
    </row>
    <row r="35" spans="1:17" x14ac:dyDescent="0.3">
      <c r="A35" s="124">
        <v>9</v>
      </c>
      <c r="B35" s="124" t="str">
        <f t="shared" si="6"/>
        <v>Pate heo LuxPaws</v>
      </c>
      <c r="C35" s="146">
        <f>'Sản phẩm'!D11</f>
        <v>40000</v>
      </c>
      <c r="D35" s="146">
        <f>ELS!D10</f>
        <v>55115.005476451261</v>
      </c>
      <c r="M35" s="264"/>
      <c r="N35" s="265"/>
      <c r="O35" s="266" t="str">
        <f>'Sản phẩm'!L35</f>
        <v>Khoai tây</v>
      </c>
      <c r="P35" s="267">
        <f>'Sản phẩm'!M35</f>
        <v>0.1</v>
      </c>
      <c r="Q35" s="268">
        <f t="shared" si="7"/>
        <v>17</v>
      </c>
    </row>
    <row r="36" spans="1:17" x14ac:dyDescent="0.3">
      <c r="A36" s="124">
        <v>10</v>
      </c>
      <c r="B36" s="124" t="str">
        <f t="shared" si="6"/>
        <v>Pate hỗn hợp LuxPaws</v>
      </c>
      <c r="C36" s="146">
        <f>'Sản phẩm'!D12</f>
        <v>46000</v>
      </c>
      <c r="D36" s="146">
        <f>ELS!D11</f>
        <v>61115.005476451261</v>
      </c>
      <c r="M36" s="264"/>
      <c r="N36" s="265"/>
      <c r="O36" s="266" t="str">
        <f>'Sản phẩm'!L36</f>
        <v>Tổng</v>
      </c>
      <c r="P36" s="267">
        <f>'Sản phẩm'!M36</f>
        <v>0.5</v>
      </c>
      <c r="Q36" s="268"/>
    </row>
    <row r="37" spans="1:17" x14ac:dyDescent="0.3">
      <c r="A37" s="124">
        <v>11</v>
      </c>
      <c r="B37" s="124" t="str">
        <f t="shared" si="6"/>
        <v>Combo 3 loại pate LuxPaws</v>
      </c>
      <c r="C37" s="146">
        <f>'Sản phẩm'!D13</f>
        <v>106000</v>
      </c>
      <c r="D37" s="146">
        <f>ELS!D12</f>
        <v>121115.00547645126</v>
      </c>
      <c r="M37" s="264"/>
      <c r="N37" s="266"/>
      <c r="O37" s="266"/>
      <c r="P37" s="266"/>
      <c r="Q37" s="268"/>
    </row>
    <row r="38" spans="1:17" x14ac:dyDescent="0.3">
      <c r="A38" s="124">
        <v>12</v>
      </c>
      <c r="B38" s="124" t="str">
        <f t="shared" si="6"/>
        <v>Pate gói nhỏ LuxPaws</v>
      </c>
      <c r="C38" s="146">
        <f>'Sản phẩm'!D14</f>
        <v>4000</v>
      </c>
      <c r="D38" s="146">
        <f>ELS!D13</f>
        <v>19115.005476451261</v>
      </c>
      <c r="M38" s="264"/>
      <c r="N38" s="265" t="s">
        <v>209</v>
      </c>
      <c r="O38" s="266" t="str">
        <f>'Sản phẩm'!L38</f>
        <v>Thịt heo</v>
      </c>
      <c r="P38" s="267">
        <f>'Sản phẩm'!M38</f>
        <v>0.2</v>
      </c>
      <c r="Q38" s="268">
        <f>P38*($E$11+$E$13)</f>
        <v>34</v>
      </c>
    </row>
    <row r="39" spans="1:17" x14ac:dyDescent="0.3">
      <c r="A39" s="97">
        <v>13</v>
      </c>
      <c r="B39" s="97" t="str">
        <f t="shared" si="6"/>
        <v>Tinh dầu dưỡng lông LuxPaws</v>
      </c>
      <c r="C39" s="147">
        <f>'Sản phẩm'!D15</f>
        <v>60000</v>
      </c>
      <c r="D39" s="147">
        <f>C39</f>
        <v>60000</v>
      </c>
      <c r="M39" s="264"/>
      <c r="N39" s="265"/>
      <c r="O39" s="266" t="str">
        <f>'Sản phẩm'!L39</f>
        <v>Cà rốt</v>
      </c>
      <c r="P39" s="267">
        <f>'Sản phẩm'!M39</f>
        <v>0.1</v>
      </c>
      <c r="Q39" s="268">
        <f t="shared" ref="Q39:Q41" si="8">P39*($E$11+$E$13)</f>
        <v>17</v>
      </c>
    </row>
    <row r="40" spans="1:17" x14ac:dyDescent="0.3">
      <c r="A40" s="97">
        <v>14</v>
      </c>
      <c r="B40" s="97" t="str">
        <f t="shared" si="6"/>
        <v xml:space="preserve">Nước hoa cho thú cưng hương Oải hương </v>
      </c>
      <c r="C40" s="147">
        <f>'Sản phẩm'!D16</f>
        <v>40000</v>
      </c>
      <c r="D40" s="147">
        <f t="shared" ref="D40:D46" si="9">C40</f>
        <v>40000</v>
      </c>
      <c r="M40" s="264"/>
      <c r="N40" s="265"/>
      <c r="O40" s="266" t="str">
        <f>'Sản phẩm'!L40</f>
        <v>Dầu cá hồi</v>
      </c>
      <c r="P40" s="267">
        <f>'Sản phẩm'!M40</f>
        <v>0.1</v>
      </c>
      <c r="Q40" s="268">
        <f t="shared" si="8"/>
        <v>17</v>
      </c>
    </row>
    <row r="41" spans="1:17" x14ac:dyDescent="0.3">
      <c r="A41" s="97">
        <v>15</v>
      </c>
      <c r="B41" s="97" t="str">
        <f t="shared" si="6"/>
        <v>Combo tinh dầu nước hoa LuxPaws</v>
      </c>
      <c r="C41" s="147">
        <f>'Sản phẩm'!D17</f>
        <v>101000</v>
      </c>
      <c r="D41" s="147">
        <f t="shared" si="9"/>
        <v>101000</v>
      </c>
      <c r="M41" s="264"/>
      <c r="N41" s="265"/>
      <c r="O41" s="266" t="str">
        <f>'Sản phẩm'!L41</f>
        <v>Gạo lứt</v>
      </c>
      <c r="P41" s="267">
        <f>'Sản phẩm'!M41</f>
        <v>0.1</v>
      </c>
      <c r="Q41" s="268">
        <f t="shared" si="8"/>
        <v>17</v>
      </c>
    </row>
    <row r="42" spans="1:17" x14ac:dyDescent="0.3">
      <c r="A42" s="97">
        <v>16</v>
      </c>
      <c r="B42" s="97" t="str">
        <f t="shared" si="6"/>
        <v>Sữa tắm chó mèo LuxPaws</v>
      </c>
      <c r="C42" s="147">
        <f>'Sản phẩm'!D18</f>
        <v>59000</v>
      </c>
      <c r="D42" s="147">
        <f t="shared" si="9"/>
        <v>59000</v>
      </c>
      <c r="M42" s="264"/>
      <c r="N42" s="265"/>
      <c r="O42" s="266" t="str">
        <f>'Sản phẩm'!L42</f>
        <v>Tổng</v>
      </c>
      <c r="P42" s="267">
        <f>'Sản phẩm'!M42</f>
        <v>0.5</v>
      </c>
      <c r="Q42" s="268"/>
    </row>
    <row r="43" spans="1:17" x14ac:dyDescent="0.3">
      <c r="A43" s="97">
        <v>17</v>
      </c>
      <c r="B43" s="97" t="str">
        <f t="shared" si="6"/>
        <v>Cỏ mèo</v>
      </c>
      <c r="C43" s="147">
        <f>'Sản phẩm'!D19</f>
        <v>12000</v>
      </c>
      <c r="D43" s="147">
        <f t="shared" si="9"/>
        <v>12000</v>
      </c>
      <c r="M43" s="264"/>
      <c r="N43" s="266"/>
      <c r="O43" s="266"/>
      <c r="P43" s="266"/>
      <c r="Q43" s="268"/>
    </row>
    <row r="44" spans="1:17" x14ac:dyDescent="0.3">
      <c r="A44" s="97">
        <v>18</v>
      </c>
      <c r="B44" s="97" t="str">
        <f t="shared" si="6"/>
        <v>Phấn tắm khô LuxPaw</v>
      </c>
      <c r="C44" s="147">
        <f>'Sản phẩm'!D20</f>
        <v>60000</v>
      </c>
      <c r="D44" s="147">
        <f t="shared" si="9"/>
        <v>60000</v>
      </c>
      <c r="M44" s="264"/>
      <c r="N44" s="265" t="s">
        <v>210</v>
      </c>
      <c r="O44" s="266" t="str">
        <f>'Sản phẩm'!L44</f>
        <v xml:space="preserve">Thịt bò </v>
      </c>
      <c r="P44" s="267">
        <f>'Sản phẩm'!M44</f>
        <v>0.1</v>
      </c>
      <c r="Q44" s="268">
        <f>P44*($E$12+$E$13)</f>
        <v>17</v>
      </c>
    </row>
    <row r="45" spans="1:17" x14ac:dyDescent="0.3">
      <c r="A45" s="97">
        <v>19</v>
      </c>
      <c r="B45" s="97" t="str">
        <f t="shared" si="6"/>
        <v>Súp thưởng LuxPaws cho mèo</v>
      </c>
      <c r="C45" s="147">
        <f>'Sản phẩm'!D21</f>
        <v>10000</v>
      </c>
      <c r="D45" s="147">
        <f t="shared" si="9"/>
        <v>10000</v>
      </c>
      <c r="M45" s="264"/>
      <c r="N45" s="265"/>
      <c r="O45" s="266" t="str">
        <f>'Sản phẩm'!L45</f>
        <v>Thịt gà</v>
      </c>
      <c r="P45" s="267">
        <f>'Sản phẩm'!M45</f>
        <v>0.1</v>
      </c>
      <c r="Q45" s="268">
        <f t="shared" ref="Q45:Q48" si="10">P45*($E$12+$E$13)</f>
        <v>17</v>
      </c>
    </row>
    <row r="46" spans="1:17" x14ac:dyDescent="0.3">
      <c r="A46" s="97">
        <v>20</v>
      </c>
      <c r="B46" s="97" t="str">
        <f t="shared" si="6"/>
        <v>Bánh thưởng LuxPaws</v>
      </c>
      <c r="C46" s="147">
        <f>'Sản phẩm'!D22</f>
        <v>15000</v>
      </c>
      <c r="D46" s="147">
        <f t="shared" si="9"/>
        <v>15000</v>
      </c>
      <c r="M46" s="264"/>
      <c r="N46" s="265"/>
      <c r="O46" s="266" t="str">
        <f>'Sản phẩm'!L46</f>
        <v>Cà rốt</v>
      </c>
      <c r="P46" s="267">
        <f>'Sản phẩm'!M46</f>
        <v>0.1</v>
      </c>
      <c r="Q46" s="268">
        <f t="shared" si="10"/>
        <v>17</v>
      </c>
    </row>
    <row r="47" spans="1:17" x14ac:dyDescent="0.3">
      <c r="M47" s="264"/>
      <c r="N47" s="265"/>
      <c r="O47" s="266" t="str">
        <f>'Sản phẩm'!L47</f>
        <v xml:space="preserve">Dầu cá hồi </v>
      </c>
      <c r="P47" s="267">
        <f>'Sản phẩm'!M47</f>
        <v>0.1</v>
      </c>
      <c r="Q47" s="268">
        <f t="shared" si="10"/>
        <v>17</v>
      </c>
    </row>
    <row r="48" spans="1:17" x14ac:dyDescent="0.3">
      <c r="M48" s="264"/>
      <c r="N48" s="265"/>
      <c r="O48" s="266" t="str">
        <f>'Sản phẩm'!L48</f>
        <v>Bột yến mạch</v>
      </c>
      <c r="P48" s="267">
        <f>'Sản phẩm'!M48</f>
        <v>0.1</v>
      </c>
      <c r="Q48" s="268">
        <f t="shared" si="10"/>
        <v>17</v>
      </c>
    </row>
    <row r="49" spans="2:17" x14ac:dyDescent="0.3">
      <c r="B49" s="214" t="s">
        <v>107</v>
      </c>
      <c r="C49" s="215"/>
      <c r="D49" s="216"/>
      <c r="M49" s="264"/>
      <c r="N49" s="265"/>
      <c r="O49" s="266" t="str">
        <f>'Sản phẩm'!L49</f>
        <v>Tổng</v>
      </c>
      <c r="P49" s="267">
        <f>'Sản phẩm'!M49</f>
        <v>0.5</v>
      </c>
      <c r="Q49" s="268"/>
    </row>
    <row r="50" spans="2:17" x14ac:dyDescent="0.3">
      <c r="B50" s="61"/>
      <c r="C50" s="33" t="s">
        <v>91</v>
      </c>
      <c r="D50" s="33" t="s">
        <v>92</v>
      </c>
      <c r="M50" s="264"/>
      <c r="N50" s="266"/>
      <c r="O50" s="266"/>
      <c r="P50" s="266"/>
      <c r="Q50" s="268"/>
    </row>
    <row r="51" spans="2:17" x14ac:dyDescent="0.3">
      <c r="B51" s="59" t="s">
        <v>108</v>
      </c>
      <c r="C51" s="62">
        <f>'Chi phí ban đầu'!D7+SUM('Chi phí ban đầu'!D9:D17)+'Chi phí ban đầu'!D19</f>
        <v>2082010000</v>
      </c>
      <c r="D51" s="62">
        <f>C53</f>
        <v>1665608000</v>
      </c>
      <c r="M51" s="264"/>
      <c r="N51" s="265" t="s">
        <v>231</v>
      </c>
      <c r="O51" s="266" t="str">
        <f>'Sản phẩm'!L51</f>
        <v xml:space="preserve">Thịt bò </v>
      </c>
      <c r="P51" s="267">
        <f>'Sản phẩm'!M51</f>
        <v>0.02</v>
      </c>
      <c r="Q51" s="268">
        <f>P51*$E$14</f>
        <v>6</v>
      </c>
    </row>
    <row r="52" spans="2:17" x14ac:dyDescent="0.3">
      <c r="B52" s="59" t="s">
        <v>109</v>
      </c>
      <c r="C52" s="62">
        <f>C51/5</f>
        <v>416402000</v>
      </c>
      <c r="D52" s="60">
        <f>C51/5</f>
        <v>416402000</v>
      </c>
      <c r="M52" s="264"/>
      <c r="N52" s="265"/>
      <c r="O52" s="266" t="str">
        <f>'Sản phẩm'!L52</f>
        <v>Thịt gà</v>
      </c>
      <c r="P52" s="267">
        <f>'Sản phẩm'!M52</f>
        <v>0.02</v>
      </c>
      <c r="Q52" s="268">
        <f t="shared" ref="Q52:Q65" si="11">P52*$E$14</f>
        <v>6</v>
      </c>
    </row>
    <row r="53" spans="2:17" x14ac:dyDescent="0.3">
      <c r="B53" s="59" t="s">
        <v>110</v>
      </c>
      <c r="C53" s="62">
        <f>C51-C52</f>
        <v>1665608000</v>
      </c>
      <c r="D53" s="63">
        <f t="shared" ref="D53" si="12">D51-D52</f>
        <v>1249206000</v>
      </c>
      <c r="M53" s="264"/>
      <c r="N53" s="265"/>
      <c r="O53" s="266" t="str">
        <f>'Sản phẩm'!L53</f>
        <v>Cà rốt</v>
      </c>
      <c r="P53" s="267">
        <f>'Sản phẩm'!M53</f>
        <v>0.02</v>
      </c>
      <c r="Q53" s="268">
        <f t="shared" si="11"/>
        <v>6</v>
      </c>
    </row>
    <row r="54" spans="2:17" x14ac:dyDescent="0.3">
      <c r="M54" s="264"/>
      <c r="N54" s="265"/>
      <c r="O54" s="266" t="str">
        <f>'Sản phẩm'!L54</f>
        <v xml:space="preserve">Dầu cá hồi </v>
      </c>
      <c r="P54" s="267">
        <f>'Sản phẩm'!M54</f>
        <v>0.02</v>
      </c>
      <c r="Q54" s="268">
        <f t="shared" si="11"/>
        <v>6</v>
      </c>
    </row>
    <row r="55" spans="2:17" x14ac:dyDescent="0.3">
      <c r="M55" s="264"/>
      <c r="N55" s="265"/>
      <c r="O55" s="266" t="str">
        <f>'Sản phẩm'!L55</f>
        <v>Bột yến mạch</v>
      </c>
      <c r="P55" s="267">
        <f>'Sản phẩm'!M55</f>
        <v>0.02</v>
      </c>
      <c r="Q55" s="268">
        <f t="shared" si="11"/>
        <v>6</v>
      </c>
    </row>
    <row r="56" spans="2:17" x14ac:dyDescent="0.3">
      <c r="B56" s="217" t="s">
        <v>134</v>
      </c>
      <c r="C56" s="218"/>
      <c r="D56" s="218"/>
      <c r="M56" s="264"/>
      <c r="N56" s="265"/>
      <c r="O56" s="266" t="str">
        <f>'Sản phẩm'!L56</f>
        <v>Tổng</v>
      </c>
      <c r="P56" s="267">
        <f>'Sản phẩm'!M56</f>
        <v>0.1</v>
      </c>
      <c r="Q56" s="268">
        <f t="shared" si="11"/>
        <v>30</v>
      </c>
    </row>
    <row r="57" spans="2:17" x14ac:dyDescent="0.3">
      <c r="B57" s="55"/>
      <c r="C57" s="64" t="s">
        <v>91</v>
      </c>
      <c r="D57" s="321" t="s">
        <v>92</v>
      </c>
      <c r="E57" s="256"/>
      <c r="M57" s="255"/>
      <c r="N57" s="256"/>
      <c r="O57" s="256"/>
      <c r="P57" s="256"/>
      <c r="Q57" s="257"/>
    </row>
    <row r="58" spans="2:17" x14ac:dyDescent="0.3">
      <c r="B58" s="55" t="s">
        <v>135</v>
      </c>
      <c r="C58" s="65">
        <f>'Dự đoán doanh thu'!E14</f>
        <v>4109574000</v>
      </c>
      <c r="D58" s="322">
        <f>'Dự đoán doanh thu'!E28</f>
        <v>4679127000</v>
      </c>
      <c r="E58" s="326"/>
      <c r="M58" s="269" t="s">
        <v>308</v>
      </c>
      <c r="N58" s="270" t="s">
        <v>305</v>
      </c>
      <c r="O58" s="271" t="str">
        <f>'Sản phẩm'!L58</f>
        <v xml:space="preserve">Hạt lanh xay nhuyễn </v>
      </c>
      <c r="P58" s="272">
        <f>'Sản phẩm'!M58</f>
        <v>0.1</v>
      </c>
      <c r="Q58" s="273">
        <f>P58*$E$8</f>
        <v>7.5</v>
      </c>
    </row>
    <row r="59" spans="2:17" x14ac:dyDescent="0.3">
      <c r="B59" s="55" t="s">
        <v>252</v>
      </c>
      <c r="C59" s="66">
        <f>'Dự đoán doanh thu'!F14</f>
        <v>1942912109.9014235</v>
      </c>
      <c r="D59" s="323">
        <f>'Dự đoán doanh thu'!F28</f>
        <v>2327257142.1905804</v>
      </c>
      <c r="E59" s="326"/>
      <c r="M59" s="269"/>
      <c r="N59" s="270"/>
      <c r="O59" s="271" t="str">
        <f>'Sản phẩm'!L59</f>
        <v xml:space="preserve">Nước </v>
      </c>
      <c r="P59" s="272">
        <f>'Sản phẩm'!M59</f>
        <v>0.35</v>
      </c>
      <c r="Q59" s="273">
        <f t="shared" ref="Q59:Q60" si="13">P59*$E$8</f>
        <v>26.25</v>
      </c>
    </row>
    <row r="60" spans="2:17" x14ac:dyDescent="0.3">
      <c r="B60" s="55" t="s">
        <v>253</v>
      </c>
      <c r="C60" s="65">
        <f>'Chi phí ban đầu'!D20</f>
        <v>2138260000</v>
      </c>
      <c r="D60" s="322">
        <v>0</v>
      </c>
      <c r="E60" s="326"/>
      <c r="M60" s="269"/>
      <c r="N60" s="270"/>
      <c r="O60" s="271" t="str">
        <f>'Sản phẩm'!L60</f>
        <v xml:space="preserve">Dầu thực vật </v>
      </c>
      <c r="P60" s="272">
        <f>'Sản phẩm'!M60</f>
        <v>0.05</v>
      </c>
      <c r="Q60" s="273">
        <f t="shared" si="13"/>
        <v>3.75</v>
      </c>
    </row>
    <row r="61" spans="2:17" x14ac:dyDescent="0.3">
      <c r="B61" s="55" t="s">
        <v>254</v>
      </c>
      <c r="C61" s="65">
        <f>('Chi phí hằng tháng'!C11+'Chi phí hằng tháng'!I4) *12</f>
        <v>1089393600</v>
      </c>
      <c r="D61" s="322">
        <f>Table_1[[#This Row],[Column2]]</f>
        <v>1089393600</v>
      </c>
      <c r="E61" s="326"/>
      <c r="M61" s="269"/>
      <c r="N61" s="271"/>
      <c r="O61" s="271"/>
      <c r="P61" s="271"/>
      <c r="Q61" s="273"/>
    </row>
    <row r="62" spans="2:17" x14ac:dyDescent="0.3">
      <c r="B62" s="181" t="s">
        <v>255</v>
      </c>
      <c r="C62" s="182">
        <f>C63/C58</f>
        <v>-0.25817559433202164</v>
      </c>
      <c r="D62" s="324">
        <f>D63/D58</f>
        <v>0.26981021412956296</v>
      </c>
      <c r="E62" s="326"/>
      <c r="M62" s="269"/>
      <c r="N62" s="271"/>
      <c r="O62" s="271"/>
      <c r="P62" s="271"/>
      <c r="Q62" s="273"/>
    </row>
    <row r="63" spans="2:17" x14ac:dyDescent="0.3">
      <c r="B63" s="55" t="s">
        <v>136</v>
      </c>
      <c r="C63" s="65">
        <f>C58-SUM(C59:C61)</f>
        <v>-1060991709.9014235</v>
      </c>
      <c r="D63" s="322">
        <f>D58-SUM(D59:D61)</f>
        <v>1262476257.8094196</v>
      </c>
      <c r="E63" s="326"/>
      <c r="M63" s="269"/>
      <c r="N63" s="270" t="s">
        <v>306</v>
      </c>
      <c r="O63" s="271" t="str">
        <f>'Sản phẩm'!L63</f>
        <v>Sữa tách béo</v>
      </c>
      <c r="P63" s="272">
        <f>'Sản phẩm'!M63</f>
        <v>0.1</v>
      </c>
      <c r="Q63" s="273">
        <f>P63*$E$9</f>
        <v>9</v>
      </c>
    </row>
    <row r="64" spans="2:17" x14ac:dyDescent="0.3">
      <c r="B64" s="181" t="s">
        <v>256</v>
      </c>
      <c r="C64" s="184">
        <f>C63</f>
        <v>-1060991709.9014235</v>
      </c>
      <c r="D64" s="183">
        <f>D63+C63</f>
        <v>201484547.90799618</v>
      </c>
      <c r="E64" s="326"/>
      <c r="M64" s="269"/>
      <c r="N64" s="270"/>
      <c r="O64" s="271" t="str">
        <f>'Sản phẩm'!L64</f>
        <v xml:space="preserve">Dầu thực vật </v>
      </c>
      <c r="P64" s="272">
        <f>'Sản phẩm'!M64</f>
        <v>0.35</v>
      </c>
      <c r="Q64" s="273">
        <f t="shared" ref="Q64:Q65" si="14">P64*$E$9</f>
        <v>31.499999999999996</v>
      </c>
    </row>
    <row r="65" spans="2:17" x14ac:dyDescent="0.3">
      <c r="B65" s="55" t="s">
        <v>137</v>
      </c>
      <c r="C65" s="64">
        <f t="shared" ref="C65:D65" si="15">20%</f>
        <v>0.2</v>
      </c>
      <c r="D65" s="321">
        <f t="shared" si="15"/>
        <v>0.2</v>
      </c>
      <c r="E65" s="326"/>
      <c r="M65" s="269"/>
      <c r="N65" s="270"/>
      <c r="O65" s="271" t="str">
        <f>'Sản phẩm'!L65</f>
        <v xml:space="preserve">Nước </v>
      </c>
      <c r="P65" s="272">
        <f>'Sản phẩm'!M65</f>
        <v>0.05</v>
      </c>
      <c r="Q65" s="273">
        <f t="shared" si="14"/>
        <v>4.5</v>
      </c>
    </row>
    <row r="66" spans="2:17" x14ac:dyDescent="0.3">
      <c r="B66" s="55" t="s">
        <v>138</v>
      </c>
      <c r="C66" s="65">
        <f>C65*C63+500000+1000000</f>
        <v>-210698341.98028469</v>
      </c>
      <c r="D66" s="322">
        <f t="shared" ref="D66" si="16">D65*D63+500000+1000000</f>
        <v>253995251.56188393</v>
      </c>
      <c r="E66" s="326"/>
      <c r="M66" s="274"/>
      <c r="N66" s="275"/>
      <c r="O66" s="275"/>
      <c r="P66" s="275"/>
      <c r="Q66" s="276"/>
    </row>
    <row r="67" spans="2:17" x14ac:dyDescent="0.3">
      <c r="B67" s="55" t="s">
        <v>139</v>
      </c>
      <c r="C67" s="65">
        <f t="shared" ref="C67:D67" si="17">C63-C66</f>
        <v>-850293367.92113876</v>
      </c>
      <c r="D67" s="322">
        <f t="shared" si="17"/>
        <v>1008481006.2475357</v>
      </c>
      <c r="E67" s="326"/>
    </row>
    <row r="68" spans="2:17" x14ac:dyDescent="0.3">
      <c r="B68" s="55" t="s">
        <v>140</v>
      </c>
      <c r="C68" s="65">
        <f>'Điểm hòa vốn'!C28*12</f>
        <v>1406203218.5234947</v>
      </c>
      <c r="D68" s="322">
        <f>'Điểm hòa vốn'!C28*12</f>
        <v>1406203218.5234947</v>
      </c>
      <c r="E68" s="326"/>
    </row>
    <row r="69" spans="2:17" x14ac:dyDescent="0.3">
      <c r="B69" s="55" t="s">
        <v>141</v>
      </c>
      <c r="C69" s="65">
        <f>C58-C68</f>
        <v>2703370781.4765053</v>
      </c>
      <c r="D69" s="322">
        <f>D58-D68</f>
        <v>3272923781.4765053</v>
      </c>
      <c r="E69" s="326"/>
    </row>
    <row r="70" spans="2:17" x14ac:dyDescent="0.3">
      <c r="B70" s="55" t="s">
        <v>142</v>
      </c>
      <c r="C70" s="67">
        <f>C59/C58</f>
        <v>0.47277701043987125</v>
      </c>
      <c r="D70" s="325">
        <f>D59/D58</f>
        <v>0.49736994575923676</v>
      </c>
      <c r="E70" s="326"/>
    </row>
  </sheetData>
  <mergeCells count="19">
    <mergeCell ref="N63:N65"/>
    <mergeCell ref="M58:M65"/>
    <mergeCell ref="M32:M56"/>
    <mergeCell ref="M1:Q1"/>
    <mergeCell ref="M3:M29"/>
    <mergeCell ref="N51:N56"/>
    <mergeCell ref="N58:N60"/>
    <mergeCell ref="N32:N36"/>
    <mergeCell ref="N38:N42"/>
    <mergeCell ref="N44:N49"/>
    <mergeCell ref="N3:N8"/>
    <mergeCell ref="N10:N15"/>
    <mergeCell ref="N17:N22"/>
    <mergeCell ref="N24:N29"/>
    <mergeCell ref="A1:H1"/>
    <mergeCell ref="A23:E23"/>
    <mergeCell ref="B49:D49"/>
    <mergeCell ref="B56:D56"/>
    <mergeCell ref="A25:D25"/>
  </mergeCells>
  <phoneticPr fontId="2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D437-4CDB-4AE1-8F15-F123E2A4B453}">
  <dimension ref="A1:P99"/>
  <sheetViews>
    <sheetView topLeftCell="A38" zoomScale="70" zoomScaleNormal="70" workbookViewId="0">
      <selection activeCell="J7" sqref="J7"/>
    </sheetView>
  </sheetViews>
  <sheetFormatPr defaultRowHeight="18" x14ac:dyDescent="0.3"/>
  <cols>
    <col min="1" max="1" width="20.88671875" style="109" customWidth="1"/>
    <col min="2" max="8" width="20.88671875" style="40" customWidth="1"/>
    <col min="9" max="10" width="20.88671875" style="94" customWidth="1"/>
    <col min="11" max="12" width="10.77734375" style="40" customWidth="1"/>
    <col min="13" max="14" width="23.6640625" style="40" customWidth="1"/>
    <col min="15" max="15" width="10.77734375" style="40" customWidth="1"/>
    <col min="16" max="16" width="18.33203125" style="240" customWidth="1"/>
    <col min="17" max="16384" width="8.88671875" style="40"/>
  </cols>
  <sheetData>
    <row r="1" spans="1:14" ht="60" customHeight="1" x14ac:dyDescent="0.3">
      <c r="A1" s="72" t="s">
        <v>162</v>
      </c>
      <c r="B1" s="72" t="s">
        <v>74</v>
      </c>
      <c r="C1" s="72" t="s">
        <v>227</v>
      </c>
      <c r="D1" s="72" t="s">
        <v>163</v>
      </c>
      <c r="E1" s="72" t="s">
        <v>228</v>
      </c>
      <c r="F1" s="72" t="s">
        <v>164</v>
      </c>
      <c r="G1" s="138" t="s">
        <v>313</v>
      </c>
      <c r="H1" s="138" t="s">
        <v>232</v>
      </c>
    </row>
    <row r="2" spans="1:14" ht="60" customHeight="1" x14ac:dyDescent="0.3">
      <c r="A2" s="107" t="str">
        <f>'Sản phẩm'!B15</f>
        <v>Tinh dầu dưỡng lông LuxPaws</v>
      </c>
      <c r="B2" s="107" t="str">
        <f>'Sản phẩm'!C15</f>
        <v>Bình</v>
      </c>
      <c r="C2" s="283">
        <f>'Doanh thu, chi TB hàng tháng'!E15*12</f>
        <v>840</v>
      </c>
      <c r="D2" s="112">
        <f>$N$9</f>
        <v>625000</v>
      </c>
      <c r="E2" s="112">
        <f>'Sản phẩm'!D15*EOQ!J2</f>
        <v>13500</v>
      </c>
      <c r="F2" s="141">
        <f>ROUNDUP(SQRT((2*C2*D2)/E2),0)</f>
        <v>279</v>
      </c>
      <c r="G2" s="139">
        <f>ROUNDUP(C2/F2,0)</f>
        <v>4</v>
      </c>
      <c r="H2" s="139">
        <f>ROUNDUP(12/G2,0)</f>
        <v>3</v>
      </c>
      <c r="I2" s="133" t="s">
        <v>158</v>
      </c>
      <c r="J2" s="134">
        <v>0.22500000000000001</v>
      </c>
    </row>
    <row r="3" spans="1:14" ht="60" customHeight="1" x14ac:dyDescent="0.3">
      <c r="A3" s="107" t="str">
        <f>'Sản phẩm'!B16</f>
        <v xml:space="preserve">Nước hoa cho thú cưng hương Oải hương </v>
      </c>
      <c r="B3" s="107" t="str">
        <f>'Sản phẩm'!C16</f>
        <v>Bình</v>
      </c>
      <c r="C3" s="283">
        <f>'Doanh thu, chi TB hàng tháng'!E16*12</f>
        <v>960</v>
      </c>
      <c r="D3" s="112">
        <f t="shared" ref="D3:D9" si="0">$N$9</f>
        <v>625000</v>
      </c>
      <c r="E3" s="112">
        <f>'Sản phẩm'!D16*EOQ!J2</f>
        <v>9000</v>
      </c>
      <c r="F3" s="141">
        <f t="shared" ref="F3:F23" si="1">ROUNDUP(SQRT((2*C3*D3)/E3),0)</f>
        <v>366</v>
      </c>
      <c r="G3" s="139">
        <f t="shared" ref="G3:G9" si="2">ROUNDUP(C3/F3,0)</f>
        <v>3</v>
      </c>
      <c r="H3" s="139">
        <f t="shared" ref="H3:H9" si="3">ROUNDUP(12/G3,0)</f>
        <v>4</v>
      </c>
      <c r="J3" s="135">
        <v>0.12</v>
      </c>
    </row>
    <row r="4" spans="1:14" ht="60" customHeight="1" x14ac:dyDescent="0.3">
      <c r="A4" s="107" t="str">
        <f>'Sản phẩm'!B17</f>
        <v>Combo tinh dầu nước hoa LuxPaws</v>
      </c>
      <c r="B4" s="107" t="str">
        <f>'Sản phẩm'!C17</f>
        <v>Hộp</v>
      </c>
      <c r="C4" s="283">
        <f>'Doanh thu, chi TB hàng tháng'!E17*12</f>
        <v>600</v>
      </c>
      <c r="D4" s="112">
        <f t="shared" si="0"/>
        <v>625000</v>
      </c>
      <c r="E4" s="112">
        <f>'Sản phẩm'!D17*EOQ!J2</f>
        <v>22725</v>
      </c>
      <c r="F4" s="141">
        <f t="shared" si="1"/>
        <v>182</v>
      </c>
      <c r="G4" s="139">
        <f t="shared" si="2"/>
        <v>4</v>
      </c>
      <c r="H4" s="139">
        <f t="shared" si="3"/>
        <v>3</v>
      </c>
      <c r="M4" s="244" t="s">
        <v>282</v>
      </c>
      <c r="N4" s="244"/>
    </row>
    <row r="5" spans="1:14" ht="60" customHeight="1" x14ac:dyDescent="0.3">
      <c r="A5" s="107" t="str">
        <f>'Sản phẩm'!B18</f>
        <v>Sữa tắm chó mèo LuxPaws</v>
      </c>
      <c r="B5" s="107" t="str">
        <f>'Sản phẩm'!C18</f>
        <v>Bình</v>
      </c>
      <c r="C5" s="283">
        <f>'Doanh thu, chi TB hàng tháng'!E18*12</f>
        <v>720</v>
      </c>
      <c r="D5" s="112">
        <f t="shared" si="0"/>
        <v>625000</v>
      </c>
      <c r="E5" s="112">
        <f>'Sản phẩm'!D18*EOQ!J2</f>
        <v>13275</v>
      </c>
      <c r="F5" s="141">
        <f t="shared" si="1"/>
        <v>261</v>
      </c>
      <c r="G5" s="139">
        <f t="shared" si="2"/>
        <v>3</v>
      </c>
      <c r="H5" s="139">
        <f t="shared" si="3"/>
        <v>4</v>
      </c>
      <c r="M5" s="241"/>
      <c r="N5" s="241" t="s">
        <v>286</v>
      </c>
    </row>
    <row r="6" spans="1:14" ht="60" customHeight="1" x14ac:dyDescent="0.3">
      <c r="A6" s="107" t="str">
        <f>'Sản phẩm'!B19</f>
        <v>Cỏ mèo</v>
      </c>
      <c r="B6" s="107" t="str">
        <f>'Sản phẩm'!C19</f>
        <v>Hộp</v>
      </c>
      <c r="C6" s="283">
        <f>'Doanh thu, chi TB hàng tháng'!E19*12</f>
        <v>2400</v>
      </c>
      <c r="D6" s="112">
        <f t="shared" si="0"/>
        <v>625000</v>
      </c>
      <c r="E6" s="112">
        <f>'Sản phẩm'!D19*EOQ!J2</f>
        <v>2700</v>
      </c>
      <c r="F6" s="141">
        <f t="shared" si="1"/>
        <v>1055</v>
      </c>
      <c r="G6" s="139">
        <f t="shared" si="2"/>
        <v>3</v>
      </c>
      <c r="H6" s="139">
        <f t="shared" si="3"/>
        <v>4</v>
      </c>
      <c r="M6" s="242" t="s">
        <v>283</v>
      </c>
      <c r="N6" s="243">
        <v>75000</v>
      </c>
    </row>
    <row r="7" spans="1:14" ht="60" customHeight="1" x14ac:dyDescent="0.3">
      <c r="A7" s="107" t="str">
        <f>'Sản phẩm'!B20</f>
        <v>Phấn tắm khô LuxPaw</v>
      </c>
      <c r="B7" s="107" t="str">
        <f>'Sản phẩm'!C20</f>
        <v>Hộp</v>
      </c>
      <c r="C7" s="283">
        <f>'Doanh thu, chi TB hàng tháng'!E20*12</f>
        <v>3600</v>
      </c>
      <c r="D7" s="112">
        <f t="shared" si="0"/>
        <v>625000</v>
      </c>
      <c r="E7" s="112">
        <f>'Sản phẩm'!D20*EOQ!J2</f>
        <v>13500</v>
      </c>
      <c r="F7" s="141">
        <f t="shared" si="1"/>
        <v>578</v>
      </c>
      <c r="G7" s="139">
        <f t="shared" si="2"/>
        <v>7</v>
      </c>
      <c r="H7" s="139">
        <f t="shared" si="3"/>
        <v>2</v>
      </c>
      <c r="M7" s="242" t="s">
        <v>284</v>
      </c>
      <c r="N7" s="243">
        <v>500000</v>
      </c>
    </row>
    <row r="8" spans="1:14" ht="60" customHeight="1" x14ac:dyDescent="0.3">
      <c r="A8" s="108" t="str">
        <f>'Sản phẩm'!B21</f>
        <v>Súp thưởng LuxPaws cho mèo</v>
      </c>
      <c r="B8" s="107" t="str">
        <f>'Sản phẩm'!C21</f>
        <v>Gói</v>
      </c>
      <c r="C8" s="283">
        <f>'Doanh thu, chi TB hàng tháng'!E21*12</f>
        <v>24000</v>
      </c>
      <c r="D8" s="112">
        <f t="shared" si="0"/>
        <v>625000</v>
      </c>
      <c r="E8" s="112">
        <f>'Sản phẩm'!D21*EOQ!J2</f>
        <v>2250</v>
      </c>
      <c r="F8" s="141">
        <f t="shared" si="1"/>
        <v>3652</v>
      </c>
      <c r="G8" s="139">
        <f t="shared" si="2"/>
        <v>7</v>
      </c>
      <c r="H8" s="139">
        <f t="shared" si="3"/>
        <v>2</v>
      </c>
      <c r="M8" s="242" t="s">
        <v>285</v>
      </c>
      <c r="N8" s="243">
        <v>50000</v>
      </c>
    </row>
    <row r="9" spans="1:14" ht="60" customHeight="1" x14ac:dyDescent="0.3">
      <c r="A9" s="119" t="str">
        <f>'Sản phẩm'!B22</f>
        <v>Bánh thưởng LuxPaws</v>
      </c>
      <c r="B9" s="120" t="str">
        <f>'Sản phẩm'!C22</f>
        <v>Túi</v>
      </c>
      <c r="C9" s="284">
        <f>'Doanh thu, chi TB hàng tháng'!E22*12</f>
        <v>6000</v>
      </c>
      <c r="D9" s="112">
        <f t="shared" si="0"/>
        <v>625000</v>
      </c>
      <c r="E9" s="121">
        <f>'Sản phẩm'!D22*EOQ!J2</f>
        <v>3375</v>
      </c>
      <c r="F9" s="142">
        <f t="shared" si="1"/>
        <v>1491</v>
      </c>
      <c r="G9" s="139">
        <f t="shared" si="2"/>
        <v>5</v>
      </c>
      <c r="H9" s="139">
        <f t="shared" si="3"/>
        <v>3</v>
      </c>
      <c r="M9" s="242" t="s">
        <v>148</v>
      </c>
      <c r="N9" s="243">
        <f>SUM(N6:N8)</f>
        <v>625000</v>
      </c>
    </row>
    <row r="10" spans="1:14" ht="60" customHeight="1" x14ac:dyDescent="0.35">
      <c r="A10" s="310" t="str">
        <f>'Sản phẩm'!P3</f>
        <v>Khoai tây</v>
      </c>
      <c r="B10" s="122" t="s">
        <v>229</v>
      </c>
      <c r="C10" s="122">
        <f ca="1">SUMIF('Doanh thu, chi TB hàng tháng'!$O$2:$Q$65,EOQ!A10,'Doanh thu, chi TB hàng tháng'!$Q$2:$Q$65)*12</f>
        <v>204</v>
      </c>
      <c r="D10" s="132">
        <v>90000</v>
      </c>
      <c r="E10" s="123">
        <f>$J$3*'Sản phẩm'!S3</f>
        <v>3600</v>
      </c>
      <c r="F10" s="143">
        <f t="shared" ca="1" si="1"/>
        <v>101</v>
      </c>
      <c r="G10" s="140">
        <f t="shared" ref="G3:G23" ca="1" si="4">C10/F10</f>
        <v>2.0198019801980198</v>
      </c>
      <c r="H10" s="140">
        <f t="shared" ref="H3:H23" ca="1" si="5">12/G10</f>
        <v>5.9411764705882355</v>
      </c>
      <c r="I10" s="136" t="str">
        <f>'Doanh thu, chi TB hàng tháng'!B3</f>
        <v>Hạt khô vị nguyên bản LuxPaws</v>
      </c>
      <c r="J10" s="137">
        <f>'Doanh thu, chi TB hàng tháng'!E3</f>
        <v>100</v>
      </c>
      <c r="K10" s="94"/>
    </row>
    <row r="11" spans="1:14" ht="60" customHeight="1" x14ac:dyDescent="0.35">
      <c r="A11" s="310" t="str">
        <f>'Sản phẩm'!P4</f>
        <v>Cà rốt</v>
      </c>
      <c r="B11" s="122" t="s">
        <v>229</v>
      </c>
      <c r="C11" s="122">
        <f ca="1">SUMIF('Doanh thu, chi TB hàng tháng'!$O$2:$Q$65,EOQ!A11,'Doanh thu, chi TB hàng tháng'!$Q$2:$Q$65)*12</f>
        <v>1704</v>
      </c>
      <c r="D11" s="132">
        <v>90000</v>
      </c>
      <c r="E11" s="123">
        <f>$J$3*'Sản phẩm'!S4</f>
        <v>3600</v>
      </c>
      <c r="F11" s="143">
        <f t="shared" ca="1" si="1"/>
        <v>292</v>
      </c>
      <c r="G11" s="140">
        <f t="shared" ca="1" si="4"/>
        <v>5.8356164383561646</v>
      </c>
      <c r="H11" s="140">
        <f t="shared" ca="1" si="5"/>
        <v>2.056338028169014</v>
      </c>
      <c r="I11" s="136" t="str">
        <f>'Doanh thu, chi TB hàng tháng'!B4</f>
        <v>Hạt khô vị bò LuxPaws</v>
      </c>
      <c r="J11" s="137">
        <f>'Doanh thu, chi TB hàng tháng'!E4</f>
        <v>100</v>
      </c>
      <c r="K11" s="94"/>
    </row>
    <row r="12" spans="1:14" ht="60" customHeight="1" x14ac:dyDescent="0.35">
      <c r="A12" s="310" t="str">
        <f>'Sản phẩm'!P5</f>
        <v xml:space="preserve">Bột gạo lứt </v>
      </c>
      <c r="B12" s="122" t="s">
        <v>229</v>
      </c>
      <c r="C12" s="122">
        <f ca="1">SUMIF('Doanh thu, chi TB hàng tháng'!$O$2:$Q$65,EOQ!A12,'Doanh thu, chi TB hàng tháng'!$Q$2:$Q$65)*12</f>
        <v>4080</v>
      </c>
      <c r="D12" s="132">
        <v>90000</v>
      </c>
      <c r="E12" s="123">
        <f>$J$3*'Sản phẩm'!S5</f>
        <v>8400</v>
      </c>
      <c r="F12" s="143">
        <f t="shared" ca="1" si="1"/>
        <v>296</v>
      </c>
      <c r="G12" s="140">
        <f t="shared" ca="1" si="4"/>
        <v>13.783783783783784</v>
      </c>
      <c r="H12" s="140">
        <f t="shared" ca="1" si="5"/>
        <v>0.87058823529411766</v>
      </c>
      <c r="I12" s="136" t="str">
        <f>'Doanh thu, chi TB hàng tháng'!B5</f>
        <v>Hạt khô vị heo LuxPaws</v>
      </c>
      <c r="J12" s="137">
        <f>'Doanh thu, chi TB hàng tháng'!E5</f>
        <v>100</v>
      </c>
      <c r="K12" s="94"/>
    </row>
    <row r="13" spans="1:14" ht="60" customHeight="1" x14ac:dyDescent="0.35">
      <c r="A13" s="310" t="str">
        <f>'Sản phẩm'!P6</f>
        <v xml:space="preserve">Bột lúa mì </v>
      </c>
      <c r="B13" s="122" t="s">
        <v>229</v>
      </c>
      <c r="C13" s="122">
        <f ca="1">SUMIF('Doanh thu, chi TB hàng tháng'!$O$2:$Q$65,EOQ!A13,'Doanh thu, chi TB hàng tháng'!$Q$2:$Q$65)*12</f>
        <v>4080</v>
      </c>
      <c r="D13" s="132">
        <v>90000</v>
      </c>
      <c r="E13" s="123">
        <f>$J$3*'Sản phẩm'!S6</f>
        <v>7200</v>
      </c>
      <c r="F13" s="143">
        <f t="shared" ca="1" si="1"/>
        <v>320</v>
      </c>
      <c r="G13" s="140">
        <f t="shared" ca="1" si="4"/>
        <v>12.75</v>
      </c>
      <c r="H13" s="140">
        <f t="shared" ca="1" si="5"/>
        <v>0.94117647058823528</v>
      </c>
      <c r="I13" s="136" t="str">
        <f>'Doanh thu, chi TB hàng tháng'!B6</f>
        <v>Hạt khô bổ sung rau củ LuxPaws</v>
      </c>
      <c r="J13" s="137">
        <f>'Doanh thu, chi TB hàng tháng'!E6</f>
        <v>100</v>
      </c>
      <c r="K13" s="94"/>
    </row>
    <row r="14" spans="1:14" ht="60" customHeight="1" x14ac:dyDescent="0.35">
      <c r="A14" s="310" t="str">
        <f>'Sản phẩm'!P7</f>
        <v>Tinh bột ngô</v>
      </c>
      <c r="B14" s="122" t="s">
        <v>229</v>
      </c>
      <c r="C14" s="122">
        <f ca="1">SUMIF('Doanh thu, chi TB hàng tháng'!$O$2:$Q$65,EOQ!A14,'Doanh thu, chi TB hàng tháng'!$Q$2:$Q$65)*12</f>
        <v>4080</v>
      </c>
      <c r="D14" s="132">
        <v>90000</v>
      </c>
      <c r="E14" s="123">
        <f>$J$3*'Sản phẩm'!S7</f>
        <v>1200</v>
      </c>
      <c r="F14" s="143">
        <f t="shared" ca="1" si="1"/>
        <v>783</v>
      </c>
      <c r="G14" s="140">
        <f t="shared" ca="1" si="4"/>
        <v>5.2107279693486586</v>
      </c>
      <c r="H14" s="140">
        <f t="shared" ca="1" si="5"/>
        <v>2.3029411764705885</v>
      </c>
      <c r="I14" s="136" t="str">
        <f>'Doanh thu, chi TB hàng tháng'!B7</f>
        <v>Combo 4 loại hỗn hợp LuxPaws</v>
      </c>
      <c r="J14" s="137">
        <f>'Doanh thu, chi TB hàng tháng'!E7</f>
        <v>70</v>
      </c>
      <c r="K14" s="94"/>
    </row>
    <row r="15" spans="1:14" ht="60" customHeight="1" x14ac:dyDescent="0.35">
      <c r="A15" s="310" t="str">
        <f>'Sản phẩm'!P8</f>
        <v>Thịt gà</v>
      </c>
      <c r="B15" s="122" t="s">
        <v>229</v>
      </c>
      <c r="C15" s="122">
        <f ca="1">SUMIF('Doanh thu, chi TB hàng tháng'!$O$2:$Q$65,EOQ!A15,'Doanh thu, chi TB hàng tháng'!$Q$2:$Q$65)*12</f>
        <v>276</v>
      </c>
      <c r="D15" s="132">
        <v>90000</v>
      </c>
      <c r="E15" s="123">
        <f>$J$3*'Sản phẩm'!S8</f>
        <v>4800</v>
      </c>
      <c r="F15" s="143">
        <f t="shared" ca="1" si="1"/>
        <v>102</v>
      </c>
      <c r="G15" s="140">
        <f t="shared" ca="1" si="4"/>
        <v>2.7058823529411766</v>
      </c>
      <c r="H15" s="140">
        <f t="shared" ca="1" si="5"/>
        <v>4.4347826086956523</v>
      </c>
      <c r="I15" s="136" t="str">
        <f>'Doanh thu, chi TB hàng tháng'!B8</f>
        <v>Sữa hạt lanh LuxPaws</v>
      </c>
      <c r="J15" s="137">
        <f>'Doanh thu, chi TB hàng tháng'!E8</f>
        <v>75</v>
      </c>
      <c r="K15" s="94"/>
    </row>
    <row r="16" spans="1:14" ht="60" customHeight="1" x14ac:dyDescent="0.35">
      <c r="A16" s="310" t="str">
        <f>'Sản phẩm'!P9</f>
        <v>Thịt heo</v>
      </c>
      <c r="B16" s="122" t="s">
        <v>229</v>
      </c>
      <c r="C16" s="122">
        <f ca="1">SUMIF('Doanh thu, chi TB hàng tháng'!$O$2:$Q$65,EOQ!A16,'Doanh thu, chi TB hàng tháng'!$Q$2:$Q$65)*12</f>
        <v>1428</v>
      </c>
      <c r="D16" s="132">
        <v>90000</v>
      </c>
      <c r="E16" s="123">
        <f>$J$3*'Sản phẩm'!S9</f>
        <v>14400</v>
      </c>
      <c r="F16" s="143">
        <f t="shared" ca="1" si="1"/>
        <v>134</v>
      </c>
      <c r="G16" s="140">
        <f t="shared" ca="1" si="4"/>
        <v>10.656716417910447</v>
      </c>
      <c r="H16" s="140">
        <f t="shared" ca="1" si="5"/>
        <v>1.1260504201680672</v>
      </c>
      <c r="I16" s="136" t="str">
        <f>'Doanh thu, chi TB hàng tháng'!B9</f>
        <v>Sữa bột pha sẵn LuxPaws</v>
      </c>
      <c r="J16" s="137">
        <f>'Doanh thu, chi TB hàng tháng'!E9</f>
        <v>90</v>
      </c>
      <c r="K16" s="94"/>
    </row>
    <row r="17" spans="1:16" ht="60" customHeight="1" x14ac:dyDescent="0.35">
      <c r="A17" s="310" t="str">
        <f>'Sản phẩm'!P10</f>
        <v>Thịt bò</v>
      </c>
      <c r="B17" s="122" t="s">
        <v>229</v>
      </c>
      <c r="C17" s="122">
        <f ca="1">SUMIF('Doanh thu, chi TB hàng tháng'!$O$2:$Q$65,EOQ!A17,'Doanh thu, chi TB hàng tháng'!$Q$2:$Q$65)*12</f>
        <v>1020</v>
      </c>
      <c r="D17" s="132">
        <v>90000</v>
      </c>
      <c r="E17" s="123">
        <f>$J$3*'Sản phẩm'!S10</f>
        <v>24000</v>
      </c>
      <c r="F17" s="143">
        <f t="shared" ca="1" si="1"/>
        <v>88</v>
      </c>
      <c r="G17" s="140">
        <f t="shared" ca="1" si="4"/>
        <v>11.590909090909092</v>
      </c>
      <c r="H17" s="140">
        <f t="shared" ca="1" si="5"/>
        <v>1.0352941176470587</v>
      </c>
      <c r="I17" s="136" t="str">
        <f>'Doanh thu, chi TB hàng tháng'!B10</f>
        <v>Pate gà LuxPaws</v>
      </c>
      <c r="J17" s="137">
        <f>'Doanh thu, chi TB hàng tháng'!E10</f>
        <v>100</v>
      </c>
      <c r="K17" s="94"/>
    </row>
    <row r="18" spans="1:16" ht="60" customHeight="1" x14ac:dyDescent="0.35">
      <c r="A18" s="310" t="str">
        <f>'Sản phẩm'!P11</f>
        <v xml:space="preserve">Hạt lanh xay nhuyễn </v>
      </c>
      <c r="B18" s="122" t="s">
        <v>229</v>
      </c>
      <c r="C18" s="122">
        <f ca="1">SUMIF('Doanh thu, chi TB hàng tháng'!$O$2:$Q$65,EOQ!A18,'Doanh thu, chi TB hàng tháng'!$Q$2:$Q$65)*12</f>
        <v>90</v>
      </c>
      <c r="D18" s="132">
        <v>90000</v>
      </c>
      <c r="E18" s="123">
        <f>$J$3*'Sản phẩm'!S11</f>
        <v>6000</v>
      </c>
      <c r="F18" s="143">
        <f t="shared" ca="1" si="1"/>
        <v>52</v>
      </c>
      <c r="G18" s="140">
        <f t="shared" ca="1" si="4"/>
        <v>1.7307692307692308</v>
      </c>
      <c r="H18" s="140">
        <f t="shared" ca="1" si="5"/>
        <v>6.9333333333333327</v>
      </c>
      <c r="I18" s="136" t="str">
        <f>'Doanh thu, chi TB hàng tháng'!B11</f>
        <v>Pate heo LuxPaws</v>
      </c>
      <c r="J18" s="137">
        <f>'Doanh thu, chi TB hàng tháng'!E11</f>
        <v>100</v>
      </c>
      <c r="K18" s="94"/>
    </row>
    <row r="19" spans="1:16" ht="60" customHeight="1" x14ac:dyDescent="0.35">
      <c r="A19" s="310" t="str">
        <f>'Sản phẩm'!L59</f>
        <v xml:space="preserve">Nước </v>
      </c>
      <c r="B19" s="122" t="s">
        <v>229</v>
      </c>
      <c r="C19" s="122">
        <f ca="1">SUMIF('Doanh thu, chi TB hàng tháng'!$O$2:$Q$65,EOQ!A19,'Doanh thu, chi TB hàng tháng'!$Q$2:$Q$65)*12</f>
        <v>369</v>
      </c>
      <c r="D19" s="132">
        <v>90000</v>
      </c>
      <c r="E19" s="123">
        <f>$J$3*'Sản phẩm'!S12</f>
        <v>1296</v>
      </c>
      <c r="F19" s="143">
        <f t="shared" ca="1" si="1"/>
        <v>227</v>
      </c>
      <c r="G19" s="140">
        <f t="shared" ca="1" si="4"/>
        <v>1.6255506607929515</v>
      </c>
      <c r="H19" s="140">
        <f t="shared" ca="1" si="5"/>
        <v>7.3821138211382111</v>
      </c>
      <c r="I19" s="136" t="str">
        <f>'Doanh thu, chi TB hàng tháng'!B12</f>
        <v>Pate hỗn hợp LuxPaws</v>
      </c>
      <c r="J19" s="137">
        <f>'Doanh thu, chi TB hàng tháng'!E12</f>
        <v>100</v>
      </c>
      <c r="K19" s="94"/>
    </row>
    <row r="20" spans="1:16" ht="60" customHeight="1" x14ac:dyDescent="0.35">
      <c r="A20" s="310" t="str">
        <f>'Sản phẩm'!P13</f>
        <v xml:space="preserve">Sữa tách béo </v>
      </c>
      <c r="B20" s="122" t="s">
        <v>229</v>
      </c>
      <c r="C20" s="122">
        <f>'Doanh thu, chi TB hàng tháng'!Q63*12</f>
        <v>108</v>
      </c>
      <c r="D20" s="132">
        <v>90000</v>
      </c>
      <c r="E20" s="123">
        <f>$J$3*'Sản phẩm'!S13</f>
        <v>5400</v>
      </c>
      <c r="F20" s="143">
        <f t="shared" si="1"/>
        <v>60</v>
      </c>
      <c r="G20" s="140">
        <f t="shared" si="4"/>
        <v>1.8</v>
      </c>
      <c r="H20" s="140">
        <f t="shared" si="5"/>
        <v>6.6666666666666661</v>
      </c>
      <c r="I20" s="136" t="str">
        <f>'Doanh thu, chi TB hàng tháng'!B13</f>
        <v>Combo 3 loại pate LuxPaws</v>
      </c>
      <c r="J20" s="137">
        <f>'Doanh thu, chi TB hàng tháng'!E13</f>
        <v>70</v>
      </c>
      <c r="K20" s="94"/>
    </row>
    <row r="21" spans="1:16" ht="60" customHeight="1" x14ac:dyDescent="0.35">
      <c r="A21" s="310" t="str">
        <f>'Sản phẩm'!P14</f>
        <v xml:space="preserve">Dầu đậu nành </v>
      </c>
      <c r="B21" s="122" t="s">
        <v>229</v>
      </c>
      <c r="C21" s="122">
        <f ca="1">SUMIF('Doanh thu, chi TB hàng tháng'!$O$2:$Q$65,EOQ!A21,'Doanh thu, chi TB hàng tháng'!$Q$2:$Q$65)*12</f>
        <v>1632</v>
      </c>
      <c r="D21" s="132">
        <v>90000</v>
      </c>
      <c r="E21" s="123">
        <f>$J$3*'Sản phẩm'!S14</f>
        <v>4800</v>
      </c>
      <c r="F21" s="143">
        <f t="shared" ca="1" si="1"/>
        <v>248</v>
      </c>
      <c r="G21" s="140">
        <f t="shared" ca="1" si="4"/>
        <v>6.580645161290323</v>
      </c>
      <c r="H21" s="140">
        <f t="shared" ca="1" si="5"/>
        <v>1.8235294117647058</v>
      </c>
      <c r="I21" s="136" t="str">
        <f>'Doanh thu, chi TB hàng tháng'!B14</f>
        <v>Pate gói nhỏ LuxPaws</v>
      </c>
      <c r="J21" s="137">
        <f>'Doanh thu, chi TB hàng tháng'!E14</f>
        <v>300</v>
      </c>
      <c r="K21" s="94"/>
    </row>
    <row r="22" spans="1:16" ht="60" customHeight="1" x14ac:dyDescent="0.35">
      <c r="A22" s="310" t="str">
        <f>'Sản phẩm'!P15</f>
        <v>Dầu cá hồi</v>
      </c>
      <c r="B22" s="122" t="s">
        <v>229</v>
      </c>
      <c r="C22" s="122">
        <f ca="1">SUMIF('Doanh thu, chi TB hàng tháng'!$O$2:$Q$65,EOQ!A22,'Doanh thu, chi TB hàng tháng'!$Q$2:$Q$65)*12</f>
        <v>408</v>
      </c>
      <c r="D22" s="132">
        <v>90000</v>
      </c>
      <c r="E22" s="123">
        <f>$J$3*'Sản phẩm'!S15</f>
        <v>7200</v>
      </c>
      <c r="F22" s="143">
        <f t="shared" ca="1" si="1"/>
        <v>101</v>
      </c>
      <c r="G22" s="140">
        <f t="shared" ca="1" si="4"/>
        <v>4.0396039603960396</v>
      </c>
      <c r="H22" s="140">
        <f t="shared" ca="1" si="5"/>
        <v>2.9705882352941178</v>
      </c>
    </row>
    <row r="23" spans="1:16" ht="60" customHeight="1" x14ac:dyDescent="0.35">
      <c r="A23" s="310" t="str">
        <f>'Sản phẩm'!P16</f>
        <v>Bột yến mạch</v>
      </c>
      <c r="B23" s="122" t="s">
        <v>229</v>
      </c>
      <c r="C23" s="122">
        <f ca="1">SUMIF('Doanh thu, chi TB hàng tháng'!$O$2:$Q$65,EOQ!A23,'Doanh thu, chi TB hàng tháng'!$Q$2:$Q$65)*12</f>
        <v>276</v>
      </c>
      <c r="D23" s="132">
        <v>90000</v>
      </c>
      <c r="E23" s="123">
        <f>$J$3*'Sản phẩm'!S16</f>
        <v>6000</v>
      </c>
      <c r="F23" s="143">
        <f t="shared" ca="1" si="1"/>
        <v>91</v>
      </c>
      <c r="G23" s="140">
        <f t="shared" ca="1" si="4"/>
        <v>3.0329670329670328</v>
      </c>
      <c r="H23" s="140">
        <f t="shared" ca="1" si="5"/>
        <v>3.956521739130435</v>
      </c>
    </row>
    <row r="24" spans="1:16" ht="60" customHeight="1" x14ac:dyDescent="0.3"/>
    <row r="25" spans="1:16" ht="60" customHeight="1" x14ac:dyDescent="0.3">
      <c r="B25" s="40">
        <v>1</v>
      </c>
      <c r="C25" s="40">
        <v>2</v>
      </c>
      <c r="D25" s="40">
        <v>3</v>
      </c>
      <c r="E25" s="40">
        <v>4</v>
      </c>
      <c r="F25" s="40">
        <v>5</v>
      </c>
      <c r="G25" s="40">
        <v>6</v>
      </c>
      <c r="H25" s="40">
        <v>7</v>
      </c>
      <c r="I25" s="40">
        <v>8</v>
      </c>
      <c r="J25" s="40">
        <v>9</v>
      </c>
      <c r="K25" s="40">
        <v>10</v>
      </c>
      <c r="L25" s="40">
        <v>11</v>
      </c>
      <c r="M25" s="40">
        <v>12</v>
      </c>
    </row>
    <row r="26" spans="1:16" ht="60" customHeight="1" x14ac:dyDescent="0.3">
      <c r="A26" s="109" t="str">
        <f>A2</f>
        <v>Tinh dầu dưỡng lông LuxPaws</v>
      </c>
      <c r="B26" s="136"/>
      <c r="E26" s="136"/>
      <c r="H26" s="136"/>
      <c r="K26" s="136"/>
    </row>
    <row r="27" spans="1:16" ht="60" customHeight="1" x14ac:dyDescent="0.3">
      <c r="B27" s="40">
        <f>A$28+VLOOKUP($A$26,$A$2:$F$9,6,0)</f>
        <v>279</v>
      </c>
      <c r="C27" s="40">
        <f>B28</f>
        <v>209</v>
      </c>
      <c r="D27" s="40">
        <f t="shared" ref="D27:M27" si="6">C28</f>
        <v>139</v>
      </c>
      <c r="E27" s="40">
        <f t="shared" ref="E27:M27" si="7">D$28+VLOOKUP($A$26,$A$2:$F$9,6,0)</f>
        <v>348</v>
      </c>
      <c r="F27" s="40">
        <f t="shared" ref="F27:M27" si="8">E28</f>
        <v>278</v>
      </c>
      <c r="G27" s="40">
        <f t="shared" si="6"/>
        <v>208</v>
      </c>
      <c r="H27" s="40">
        <f t="shared" ref="H27:M27" si="9">G$28+VLOOKUP($A$26,$A$2:$F$9,6,0)</f>
        <v>417</v>
      </c>
      <c r="I27" s="40">
        <f t="shared" ref="I27:M27" si="10">H28</f>
        <v>347</v>
      </c>
      <c r="J27" s="40">
        <f t="shared" si="6"/>
        <v>277</v>
      </c>
      <c r="K27" s="40">
        <f t="shared" ref="K27:M27" si="11">J$28+VLOOKUP($A$26,$A$2:$F$9,6,0)</f>
        <v>486</v>
      </c>
      <c r="L27" s="40">
        <f t="shared" ref="L27:M27" si="12">K28</f>
        <v>416</v>
      </c>
      <c r="M27" s="40">
        <f t="shared" si="6"/>
        <v>346</v>
      </c>
      <c r="N27" s="40">
        <f>SUM(B27:M27)/12</f>
        <v>312.5</v>
      </c>
      <c r="O27" s="40">
        <f>(N27+N28)/2</f>
        <v>277.5</v>
      </c>
      <c r="P27" s="240">
        <f>O27*VLOOKUP($A26,'Doanh thu, chi TB hàng tháng'!$B$26:$D$46,3,0)</f>
        <v>16650000</v>
      </c>
    </row>
    <row r="28" spans="1:16" ht="60" customHeight="1" x14ac:dyDescent="0.3">
      <c r="B28" s="40">
        <f>B$27-VLOOKUP($A$26,'Doanh thu, chi TB hàng tháng'!$B$3:$E$22,4,0)</f>
        <v>209</v>
      </c>
      <c r="C28" s="40">
        <f>C$27-VLOOKUP($A$26,'Doanh thu, chi TB hàng tháng'!$B$3:$E$22,4,0)</f>
        <v>139</v>
      </c>
      <c r="D28" s="40">
        <f>D$27-VLOOKUP($A$26,'Doanh thu, chi TB hàng tháng'!$B$3:$E$22,4,0)</f>
        <v>69</v>
      </c>
      <c r="E28" s="40">
        <f>E$27-VLOOKUP($A$26,'Doanh thu, chi TB hàng tháng'!$B$3:$E$22,4,0)</f>
        <v>278</v>
      </c>
      <c r="F28" s="40">
        <f>F$27-VLOOKUP($A$26,'Doanh thu, chi TB hàng tháng'!$B$3:$E$22,4,0)</f>
        <v>208</v>
      </c>
      <c r="G28" s="40">
        <f>G$27-VLOOKUP($A$26,'Doanh thu, chi TB hàng tháng'!$B$3:$E$22,4,0)</f>
        <v>138</v>
      </c>
      <c r="H28" s="40">
        <f>H$27-VLOOKUP($A$26,'Doanh thu, chi TB hàng tháng'!$B$3:$E$22,4,0)</f>
        <v>347</v>
      </c>
      <c r="I28" s="40">
        <f>I$27-VLOOKUP($A$26,'Doanh thu, chi TB hàng tháng'!$B$3:$E$22,4,0)</f>
        <v>277</v>
      </c>
      <c r="J28" s="40">
        <f>J$27-VLOOKUP($A$26,'Doanh thu, chi TB hàng tháng'!$B$3:$E$22,4,0)</f>
        <v>207</v>
      </c>
      <c r="K28" s="40">
        <f>K$27-VLOOKUP($A$26,'Doanh thu, chi TB hàng tháng'!$B$3:$E$22,4,0)</f>
        <v>416</v>
      </c>
      <c r="L28" s="40">
        <f>L$27-VLOOKUP($A$26,'Doanh thu, chi TB hàng tháng'!$B$3:$E$22,4,0)</f>
        <v>346</v>
      </c>
      <c r="M28" s="40">
        <f>M$27-VLOOKUP($A$26,'Doanh thu, chi TB hàng tháng'!$B$3:$E$22,4,0)</f>
        <v>276</v>
      </c>
      <c r="N28" s="40">
        <f>SUM(B28:M28)/12</f>
        <v>242.5</v>
      </c>
    </row>
    <row r="29" spans="1:16" ht="60" customHeight="1" x14ac:dyDescent="0.3">
      <c r="A29" s="109" t="str">
        <f>A3</f>
        <v xml:space="preserve">Nước hoa cho thú cưng hương Oải hương </v>
      </c>
      <c r="B29" s="136"/>
      <c r="F29" s="136"/>
      <c r="J29" s="137"/>
    </row>
    <row r="30" spans="1:16" ht="60" customHeight="1" x14ac:dyDescent="0.3">
      <c r="B30" s="40">
        <f>A$31+VLOOKUP($A$29,$A$2:$F$9,6,0)</f>
        <v>366</v>
      </c>
      <c r="C30" s="40">
        <f>B31</f>
        <v>286</v>
      </c>
      <c r="D30" s="40">
        <f t="shared" ref="D30:E30" si="13">C31</f>
        <v>206</v>
      </c>
      <c r="E30" s="40">
        <f t="shared" si="13"/>
        <v>126</v>
      </c>
      <c r="F30" s="40">
        <f t="shared" ref="F30:N30" si="14">E$31+VLOOKUP($A$29,$A$2:$F$9,6,0)</f>
        <v>412</v>
      </c>
      <c r="G30" s="40">
        <f t="shared" ref="G30:N30" si="15">F31</f>
        <v>332</v>
      </c>
      <c r="H30" s="40">
        <f t="shared" si="15"/>
        <v>252</v>
      </c>
      <c r="I30" s="40">
        <f t="shared" si="15"/>
        <v>172</v>
      </c>
      <c r="J30" s="40">
        <f t="shared" ref="J30:N30" si="16">I$31+VLOOKUP($A$29,$A$2:$F$9,6,0)</f>
        <v>458</v>
      </c>
      <c r="K30" s="40">
        <f t="shared" ref="K30:N30" si="17">J31</f>
        <v>378</v>
      </c>
      <c r="L30" s="40">
        <f t="shared" si="15"/>
        <v>298</v>
      </c>
      <c r="M30" s="40">
        <f t="shared" si="15"/>
        <v>218</v>
      </c>
      <c r="N30" s="40">
        <f t="shared" ref="N30:N31" si="18">SUM(B30:M30)/12</f>
        <v>292</v>
      </c>
      <c r="O30" s="40">
        <f t="shared" ref="O30" si="19">(N30+N31)/2</f>
        <v>252</v>
      </c>
      <c r="P30" s="240">
        <f>O30*VLOOKUP($A29,'Doanh thu, chi TB hàng tháng'!$B$26:$D$46,3,0)</f>
        <v>10080000</v>
      </c>
    </row>
    <row r="31" spans="1:16" ht="60" customHeight="1" x14ac:dyDescent="0.3">
      <c r="B31" s="40">
        <f>B$30-VLOOKUP($A$29,'Doanh thu, chi TB hàng tháng'!$B$3:$E$22,4,0)</f>
        <v>286</v>
      </c>
      <c r="C31" s="40">
        <f>C$30-VLOOKUP($A$29,'Doanh thu, chi TB hàng tháng'!$B$3:$E$22,4,0)</f>
        <v>206</v>
      </c>
      <c r="D31" s="40">
        <f>D$30-VLOOKUP($A$29,'Doanh thu, chi TB hàng tháng'!$B$3:$E$22,4,0)</f>
        <v>126</v>
      </c>
      <c r="E31" s="40">
        <f>E$30-VLOOKUP($A$29,'Doanh thu, chi TB hàng tháng'!$B$3:$E$22,4,0)</f>
        <v>46</v>
      </c>
      <c r="F31" s="40">
        <f>F$30-VLOOKUP($A$29,'Doanh thu, chi TB hàng tháng'!$B$3:$E$22,4,0)</f>
        <v>332</v>
      </c>
      <c r="G31" s="40">
        <f>G$30-VLOOKUP($A$29,'Doanh thu, chi TB hàng tháng'!$B$3:$E$22,4,0)</f>
        <v>252</v>
      </c>
      <c r="H31" s="40">
        <f>H$30-VLOOKUP($A$29,'Doanh thu, chi TB hàng tháng'!$B$3:$E$22,4,0)</f>
        <v>172</v>
      </c>
      <c r="I31" s="40">
        <f>I$30-VLOOKUP($A$29,'Doanh thu, chi TB hàng tháng'!$B$3:$E$22,4,0)</f>
        <v>92</v>
      </c>
      <c r="J31" s="40">
        <f>J$30-VLOOKUP($A$29,'Doanh thu, chi TB hàng tháng'!$B$3:$E$22,4,0)</f>
        <v>378</v>
      </c>
      <c r="K31" s="40">
        <f>K$30-VLOOKUP($A$29,'Doanh thu, chi TB hàng tháng'!$B$3:$E$22,4,0)</f>
        <v>298</v>
      </c>
      <c r="L31" s="40">
        <f>L$30-VLOOKUP($A$29,'Doanh thu, chi TB hàng tháng'!$B$3:$E$22,4,0)</f>
        <v>218</v>
      </c>
      <c r="M31" s="40">
        <f>M$30-VLOOKUP($A$29,'Doanh thu, chi TB hàng tháng'!$B$3:$E$22,4,0)</f>
        <v>138</v>
      </c>
      <c r="N31" s="40">
        <f t="shared" si="18"/>
        <v>212</v>
      </c>
    </row>
    <row r="32" spans="1:16" ht="60" customHeight="1" x14ac:dyDescent="0.3">
      <c r="A32" s="109" t="str">
        <f>A4</f>
        <v>Combo tinh dầu nước hoa LuxPaws</v>
      </c>
      <c r="B32" s="136"/>
      <c r="E32" s="136"/>
      <c r="H32" s="136"/>
      <c r="K32" s="136"/>
    </row>
    <row r="33" spans="1:16" ht="60" customHeight="1" x14ac:dyDescent="0.3">
      <c r="B33" s="40">
        <f>A$34+VLOOKUP($A$32,$A$2:$F$9,6,0)</f>
        <v>182</v>
      </c>
      <c r="C33" s="40">
        <f>B34</f>
        <v>132</v>
      </c>
      <c r="D33" s="40">
        <f t="shared" ref="D33:M33" si="20">C34</f>
        <v>82</v>
      </c>
      <c r="E33" s="40">
        <f t="shared" ref="E33:M33" si="21">D$34+VLOOKUP($A$32,$A$2:$F$9,6,0)</f>
        <v>214</v>
      </c>
      <c r="F33" s="40">
        <f t="shared" ref="F33:M33" si="22">E34</f>
        <v>164</v>
      </c>
      <c r="G33" s="40">
        <f t="shared" si="20"/>
        <v>114</v>
      </c>
      <c r="H33" s="40">
        <f t="shared" ref="H33:M33" si="23">G$34+VLOOKUP($A$32,$A$2:$F$9,6,0)</f>
        <v>246</v>
      </c>
      <c r="I33" s="40">
        <f t="shared" ref="I33:M33" si="24">H34</f>
        <v>196</v>
      </c>
      <c r="J33" s="40">
        <f t="shared" si="20"/>
        <v>146</v>
      </c>
      <c r="K33" s="40">
        <f t="shared" ref="K33:M33" si="25">J$34+VLOOKUP($A$32,$A$2:$F$9,6,0)</f>
        <v>278</v>
      </c>
      <c r="L33" s="40">
        <f t="shared" ref="L33:M33" si="26">K34</f>
        <v>228</v>
      </c>
      <c r="M33" s="40">
        <f t="shared" si="20"/>
        <v>178</v>
      </c>
      <c r="N33" s="40">
        <f t="shared" ref="N33:N34" si="27">SUM(B33:M33)/12</f>
        <v>180</v>
      </c>
      <c r="O33" s="40">
        <f t="shared" ref="O33" si="28">(N33+N34)/2</f>
        <v>155</v>
      </c>
      <c r="P33" s="240">
        <f>O33*VLOOKUP($A32,'Doanh thu, chi TB hàng tháng'!$B$26:$D$46,3,0)</f>
        <v>15655000</v>
      </c>
    </row>
    <row r="34" spans="1:16" ht="60" customHeight="1" x14ac:dyDescent="0.3">
      <c r="B34" s="40">
        <f>B$33-VLOOKUP($A$32,'Doanh thu, chi TB hàng tháng'!$B$3:$E$22,4,0)</f>
        <v>132</v>
      </c>
      <c r="C34" s="40">
        <f>C$33-VLOOKUP($A$32,'Doanh thu, chi TB hàng tháng'!$B$3:$E$22,4,0)</f>
        <v>82</v>
      </c>
      <c r="D34" s="40">
        <f>D$33-VLOOKUP($A$32,'Doanh thu, chi TB hàng tháng'!$B$3:$E$22,4,0)</f>
        <v>32</v>
      </c>
      <c r="E34" s="40">
        <f>E$33-VLOOKUP($A$32,'Doanh thu, chi TB hàng tháng'!$B$3:$E$22,4,0)</f>
        <v>164</v>
      </c>
      <c r="F34" s="40">
        <f>F$33-VLOOKUP($A$32,'Doanh thu, chi TB hàng tháng'!$B$3:$E$22,4,0)</f>
        <v>114</v>
      </c>
      <c r="G34" s="40">
        <f>G$33-VLOOKUP($A$32,'Doanh thu, chi TB hàng tháng'!$B$3:$E$22,4,0)</f>
        <v>64</v>
      </c>
      <c r="H34" s="40">
        <f>H$33-VLOOKUP($A$32,'Doanh thu, chi TB hàng tháng'!$B$3:$E$22,4,0)</f>
        <v>196</v>
      </c>
      <c r="I34" s="40">
        <f>I$33-VLOOKUP($A$32,'Doanh thu, chi TB hàng tháng'!$B$3:$E$22,4,0)</f>
        <v>146</v>
      </c>
      <c r="J34" s="40">
        <f>J$33-VLOOKUP($A$32,'Doanh thu, chi TB hàng tháng'!$B$3:$E$22,4,0)</f>
        <v>96</v>
      </c>
      <c r="K34" s="40">
        <f>K$33-VLOOKUP($A$32,'Doanh thu, chi TB hàng tháng'!$B$3:$E$22,4,0)</f>
        <v>228</v>
      </c>
      <c r="L34" s="40">
        <f>L$33-VLOOKUP($A$32,'Doanh thu, chi TB hàng tháng'!$B$3:$E$22,4,0)</f>
        <v>178</v>
      </c>
      <c r="M34" s="40">
        <f>M$33-VLOOKUP($A$32,'Doanh thu, chi TB hàng tháng'!$B$3:$E$22,4,0)</f>
        <v>128</v>
      </c>
      <c r="N34" s="40">
        <f t="shared" si="27"/>
        <v>130</v>
      </c>
    </row>
    <row r="35" spans="1:16" ht="60" customHeight="1" x14ac:dyDescent="0.3">
      <c r="A35" s="109" t="str">
        <f>A5</f>
        <v>Sữa tắm chó mèo LuxPaws</v>
      </c>
      <c r="B35" s="136"/>
      <c r="F35" s="136"/>
      <c r="J35" s="137"/>
    </row>
    <row r="36" spans="1:16" ht="60" customHeight="1" x14ac:dyDescent="0.3">
      <c r="B36" s="40">
        <f>A$37+VLOOKUP($A$35,$A$2:$F$9,6,0)</f>
        <v>261</v>
      </c>
      <c r="C36" s="40">
        <f>B37</f>
        <v>201</v>
      </c>
      <c r="D36" s="40">
        <f t="shared" ref="D36:E36" si="29">C37</f>
        <v>141</v>
      </c>
      <c r="E36" s="40">
        <f t="shared" si="29"/>
        <v>81</v>
      </c>
      <c r="F36" s="40">
        <f t="shared" ref="F36:M36" si="30">E$37+VLOOKUP($A$35,$A$2:$F$9,6,0)</f>
        <v>282</v>
      </c>
      <c r="G36" s="40">
        <f t="shared" ref="G36:M36" si="31">F37</f>
        <v>222</v>
      </c>
      <c r="H36" s="40">
        <f t="shared" si="31"/>
        <v>162</v>
      </c>
      <c r="I36" s="40">
        <f t="shared" si="31"/>
        <v>102</v>
      </c>
      <c r="J36" s="40">
        <f t="shared" ref="J36:M36" si="32">I$37+VLOOKUP($A$35,$A$2:$F$9,6,0)</f>
        <v>303</v>
      </c>
      <c r="K36" s="40">
        <f t="shared" ref="K36:M36" si="33">J37</f>
        <v>243</v>
      </c>
      <c r="L36" s="40">
        <f t="shared" si="31"/>
        <v>183</v>
      </c>
      <c r="M36" s="40">
        <f t="shared" si="31"/>
        <v>123</v>
      </c>
      <c r="N36" s="40">
        <f t="shared" ref="N36:N37" si="34">SUM(B36:M36)/12</f>
        <v>192</v>
      </c>
      <c r="O36" s="40">
        <f t="shared" ref="O36" si="35">(N36+N37)/2</f>
        <v>162</v>
      </c>
      <c r="P36" s="240">
        <f>O36*VLOOKUP($A35,'Doanh thu, chi TB hàng tháng'!$B$26:$D$46,3,0)</f>
        <v>9558000</v>
      </c>
    </row>
    <row r="37" spans="1:16" ht="60" customHeight="1" x14ac:dyDescent="0.3">
      <c r="B37" s="40">
        <f>B$36-VLOOKUP($A$35,'Doanh thu, chi TB hàng tháng'!$B$3:$E$22,4,0)</f>
        <v>201</v>
      </c>
      <c r="C37" s="40">
        <f>C$36-VLOOKUP($A$35,'Doanh thu, chi TB hàng tháng'!$B$3:$E$22,4,0)</f>
        <v>141</v>
      </c>
      <c r="D37" s="40">
        <f>D$36-VLOOKUP($A$35,'Doanh thu, chi TB hàng tháng'!$B$3:$E$22,4,0)</f>
        <v>81</v>
      </c>
      <c r="E37" s="40">
        <f>E$36-VLOOKUP($A$35,'Doanh thu, chi TB hàng tháng'!$B$3:$E$22,4,0)</f>
        <v>21</v>
      </c>
      <c r="F37" s="40">
        <f>F$36-VLOOKUP($A$35,'Doanh thu, chi TB hàng tháng'!$B$3:$E$22,4,0)</f>
        <v>222</v>
      </c>
      <c r="G37" s="40">
        <f>G$36-VLOOKUP($A$35,'Doanh thu, chi TB hàng tháng'!$B$3:$E$22,4,0)</f>
        <v>162</v>
      </c>
      <c r="H37" s="40">
        <f>H$36-VLOOKUP($A$35,'Doanh thu, chi TB hàng tháng'!$B$3:$E$22,4,0)</f>
        <v>102</v>
      </c>
      <c r="I37" s="40">
        <f>I$36-VLOOKUP($A$35,'Doanh thu, chi TB hàng tháng'!$B$3:$E$22,4,0)</f>
        <v>42</v>
      </c>
      <c r="J37" s="40">
        <f>J$36-VLOOKUP($A$35,'Doanh thu, chi TB hàng tháng'!$B$3:$E$22,4,0)</f>
        <v>243</v>
      </c>
      <c r="K37" s="40">
        <f>K$36-VLOOKUP($A$35,'Doanh thu, chi TB hàng tháng'!$B$3:$E$22,4,0)</f>
        <v>183</v>
      </c>
      <c r="L37" s="40">
        <f>L$36-VLOOKUP($A$35,'Doanh thu, chi TB hàng tháng'!$B$3:$E$22,4,0)</f>
        <v>123</v>
      </c>
      <c r="M37" s="40">
        <f>M$36-VLOOKUP($A$35,'Doanh thu, chi TB hàng tháng'!$B$3:$E$22,4,0)</f>
        <v>63</v>
      </c>
      <c r="N37" s="40">
        <f t="shared" si="34"/>
        <v>132</v>
      </c>
    </row>
    <row r="38" spans="1:16" ht="60" customHeight="1" x14ac:dyDescent="0.3">
      <c r="A38" s="109" t="str">
        <f>A6</f>
        <v>Cỏ mèo</v>
      </c>
      <c r="B38" s="136"/>
      <c r="F38" s="136"/>
      <c r="J38" s="137"/>
    </row>
    <row r="39" spans="1:16" ht="60" customHeight="1" x14ac:dyDescent="0.3">
      <c r="B39" s="40">
        <f>A$40+VLOOKUP($A$38,$A$2:$F$9,6,0)</f>
        <v>1055</v>
      </c>
      <c r="C39" s="40">
        <f>B40</f>
        <v>855</v>
      </c>
      <c r="D39" s="40">
        <f t="shared" ref="D39:M39" si="36">C40</f>
        <v>655</v>
      </c>
      <c r="E39" s="40">
        <f t="shared" si="36"/>
        <v>455</v>
      </c>
      <c r="F39" s="40">
        <f t="shared" ref="F39:M39" si="37">E$40+VLOOKUP($A$38,$A$2:$F$9,6,0)</f>
        <v>1310</v>
      </c>
      <c r="G39" s="40">
        <f t="shared" ref="G39:M39" si="38">F40</f>
        <v>1110</v>
      </c>
      <c r="H39" s="40">
        <f t="shared" si="36"/>
        <v>910</v>
      </c>
      <c r="I39" s="40">
        <f t="shared" si="36"/>
        <v>710</v>
      </c>
      <c r="J39" s="40">
        <f t="shared" ref="J39:M39" si="39">I$40+VLOOKUP($A$38,$A$2:$F$9,6,0)</f>
        <v>1565</v>
      </c>
      <c r="K39" s="40">
        <f t="shared" ref="K39:M39" si="40">J40</f>
        <v>1365</v>
      </c>
      <c r="L39" s="40">
        <f t="shared" si="36"/>
        <v>1165</v>
      </c>
      <c r="M39" s="40">
        <f t="shared" si="36"/>
        <v>965</v>
      </c>
      <c r="N39" s="40">
        <f t="shared" ref="N39:N40" si="41">SUM(B39:M39)/12</f>
        <v>1010</v>
      </c>
      <c r="O39" s="40">
        <f t="shared" ref="O39" si="42">(N39+N40)/2</f>
        <v>910</v>
      </c>
      <c r="P39" s="240">
        <f>O39*VLOOKUP($A38,'Doanh thu, chi TB hàng tháng'!$B$26:$D$46,3,0)</f>
        <v>10920000</v>
      </c>
    </row>
    <row r="40" spans="1:16" ht="60" customHeight="1" x14ac:dyDescent="0.3">
      <c r="B40" s="40">
        <f>B$39-VLOOKUP($A$38,'Doanh thu, chi TB hàng tháng'!$B$3:$E$22,4,0)</f>
        <v>855</v>
      </c>
      <c r="C40" s="40">
        <f>C$39-VLOOKUP($A$38,'Doanh thu, chi TB hàng tháng'!$B$3:$E$22,4,0)</f>
        <v>655</v>
      </c>
      <c r="D40" s="40">
        <f>D$39-VLOOKUP($A$38,'Doanh thu, chi TB hàng tháng'!$B$3:$E$22,4,0)</f>
        <v>455</v>
      </c>
      <c r="E40" s="40">
        <f>E$39-VLOOKUP($A$38,'Doanh thu, chi TB hàng tháng'!$B$3:$E$22,4,0)</f>
        <v>255</v>
      </c>
      <c r="F40" s="40">
        <f>F$39-VLOOKUP($A$38,'Doanh thu, chi TB hàng tháng'!$B$3:$E$22,4,0)</f>
        <v>1110</v>
      </c>
      <c r="G40" s="40">
        <f>G$39-VLOOKUP($A$38,'Doanh thu, chi TB hàng tháng'!$B$3:$E$22,4,0)</f>
        <v>910</v>
      </c>
      <c r="H40" s="40">
        <f>H$39-VLOOKUP($A$38,'Doanh thu, chi TB hàng tháng'!$B$3:$E$22,4,0)</f>
        <v>710</v>
      </c>
      <c r="I40" s="40">
        <f>I$39-VLOOKUP($A$38,'Doanh thu, chi TB hàng tháng'!$B$3:$E$22,4,0)</f>
        <v>510</v>
      </c>
      <c r="J40" s="40">
        <f>J$39-VLOOKUP($A$38,'Doanh thu, chi TB hàng tháng'!$B$3:$E$22,4,0)</f>
        <v>1365</v>
      </c>
      <c r="K40" s="40">
        <f>K$39-VLOOKUP($A$38,'Doanh thu, chi TB hàng tháng'!$B$3:$E$22,4,0)</f>
        <v>1165</v>
      </c>
      <c r="L40" s="40">
        <f>L$39-VLOOKUP($A$38,'Doanh thu, chi TB hàng tháng'!$B$3:$E$22,4,0)</f>
        <v>965</v>
      </c>
      <c r="M40" s="40">
        <f>M$39-VLOOKUP($A$38,'Doanh thu, chi TB hàng tháng'!$B$3:$E$22,4,0)</f>
        <v>765</v>
      </c>
      <c r="N40" s="40">
        <f t="shared" si="41"/>
        <v>810</v>
      </c>
    </row>
    <row r="41" spans="1:16" ht="60" customHeight="1" x14ac:dyDescent="0.3">
      <c r="A41" s="109" t="str">
        <f>A7</f>
        <v>Phấn tắm khô LuxPaw</v>
      </c>
      <c r="B41" s="136"/>
      <c r="C41" s="136"/>
      <c r="E41" s="136"/>
      <c r="G41" s="136"/>
      <c r="H41" s="94"/>
      <c r="I41" s="137"/>
      <c r="K41" s="136"/>
      <c r="M41" s="136"/>
    </row>
    <row r="42" spans="1:16" ht="60" customHeight="1" x14ac:dyDescent="0.3">
      <c r="B42" s="40">
        <f>A$43+VLOOKUP($A$41,$A$2:$F$9,6,0)</f>
        <v>578</v>
      </c>
      <c r="C42" s="40">
        <f>B$43+VLOOKUP($A$41,$A$2:$F$9,6,0)</f>
        <v>856</v>
      </c>
      <c r="D42" s="40">
        <f>C43</f>
        <v>556</v>
      </c>
      <c r="E42" s="40">
        <f>D$43+VLOOKUP($A$41,$A$2:$F$9,6,0)</f>
        <v>834</v>
      </c>
      <c r="F42" s="40">
        <f>E43</f>
        <v>534</v>
      </c>
      <c r="G42" s="40">
        <f t="shared" ref="G42:M42" si="43">F$43+VLOOKUP($A$41,$A$2:$F$9,6,0)</f>
        <v>812</v>
      </c>
      <c r="H42" s="40">
        <f t="shared" ref="H42:M42" si="44">G43</f>
        <v>512</v>
      </c>
      <c r="I42" s="40">
        <f t="shared" ref="I42:M42" si="45">H$43+VLOOKUP($A$41,$A$2:$F$9,6,0)</f>
        <v>790</v>
      </c>
      <c r="J42" s="40">
        <f t="shared" ref="J42:M42" si="46">I43</f>
        <v>490</v>
      </c>
      <c r="K42" s="40">
        <f t="shared" ref="K42:M42" si="47">J$43+VLOOKUP($A$41,$A$2:$F$9,6,0)</f>
        <v>768</v>
      </c>
      <c r="L42" s="40">
        <f t="shared" ref="L42:M42" si="48">K43</f>
        <v>468</v>
      </c>
      <c r="M42" s="40">
        <f t="shared" ref="M42" si="49">L$43+VLOOKUP($A$41,$A$2:$F$9,6,0)</f>
        <v>746</v>
      </c>
      <c r="N42" s="40">
        <f t="shared" ref="N42:N43" si="50">SUM(B42:M42)/12</f>
        <v>662</v>
      </c>
      <c r="O42" s="40">
        <f t="shared" ref="O42" si="51">(N42+N43)/2</f>
        <v>512</v>
      </c>
      <c r="P42" s="240">
        <f>O42*VLOOKUP($A41,'Doanh thu, chi TB hàng tháng'!$B$26:$D$46,3,0)</f>
        <v>30720000</v>
      </c>
    </row>
    <row r="43" spans="1:16" ht="60" customHeight="1" x14ac:dyDescent="0.3">
      <c r="B43" s="40">
        <f>B$42-VLOOKUP($A$41,'Doanh thu, chi TB hàng tháng'!$B$3:$E$22,4,0)</f>
        <v>278</v>
      </c>
      <c r="C43" s="40">
        <f>C$42-VLOOKUP($A$41,'Doanh thu, chi TB hàng tháng'!$B$3:$E$22,4,0)</f>
        <v>556</v>
      </c>
      <c r="D43" s="40">
        <f>D$42-VLOOKUP($A$41,'Doanh thu, chi TB hàng tháng'!$B$3:$E$22,4,0)</f>
        <v>256</v>
      </c>
      <c r="E43" s="40">
        <f>E$42-VLOOKUP($A$41,'Doanh thu, chi TB hàng tháng'!$B$3:$E$22,4,0)</f>
        <v>534</v>
      </c>
      <c r="F43" s="40">
        <f>F$42-VLOOKUP($A$41,'Doanh thu, chi TB hàng tháng'!$B$3:$E$22,4,0)</f>
        <v>234</v>
      </c>
      <c r="G43" s="40">
        <f>G$42-VLOOKUP($A$41,'Doanh thu, chi TB hàng tháng'!$B$3:$E$22,4,0)</f>
        <v>512</v>
      </c>
      <c r="H43" s="40">
        <f>H$42-VLOOKUP($A$41,'Doanh thu, chi TB hàng tháng'!$B$3:$E$22,4,0)</f>
        <v>212</v>
      </c>
      <c r="I43" s="40">
        <f>I$42-VLOOKUP($A$41,'Doanh thu, chi TB hàng tháng'!$B$3:$E$22,4,0)</f>
        <v>490</v>
      </c>
      <c r="J43" s="40">
        <f>J$42-VLOOKUP($A$41,'Doanh thu, chi TB hàng tháng'!$B$3:$E$22,4,0)</f>
        <v>190</v>
      </c>
      <c r="K43" s="40">
        <f>K$42-VLOOKUP($A$41,'Doanh thu, chi TB hàng tháng'!$B$3:$E$22,4,0)</f>
        <v>468</v>
      </c>
      <c r="L43" s="40">
        <f>L$42-VLOOKUP($A$41,'Doanh thu, chi TB hàng tháng'!$B$3:$E$22,4,0)</f>
        <v>168</v>
      </c>
      <c r="M43" s="40">
        <f>M$42-VLOOKUP($A$41,'Doanh thu, chi TB hàng tháng'!$B$3:$E$22,4,0)</f>
        <v>446</v>
      </c>
      <c r="N43" s="40">
        <f t="shared" si="50"/>
        <v>362</v>
      </c>
    </row>
    <row r="44" spans="1:16" ht="60" customHeight="1" x14ac:dyDescent="0.3">
      <c r="A44" s="109" t="str">
        <f>A8</f>
        <v>Súp thưởng LuxPaws cho mèo</v>
      </c>
      <c r="B44" s="136"/>
      <c r="C44" s="136"/>
      <c r="E44" s="136"/>
      <c r="G44" s="136"/>
      <c r="I44" s="137"/>
      <c r="K44" s="136"/>
      <c r="L44" s="136"/>
    </row>
    <row r="45" spans="1:16" ht="60" customHeight="1" x14ac:dyDescent="0.3">
      <c r="B45" s="40">
        <f>A$46+VLOOKUP($A$44,$A$2:$F$9,6,0)</f>
        <v>3652</v>
      </c>
      <c r="C45" s="40">
        <f>B$46+VLOOKUP($A$44,$A$2:$F$9,6,0)</f>
        <v>5304</v>
      </c>
      <c r="D45" s="40">
        <f>C46</f>
        <v>3304</v>
      </c>
      <c r="E45" s="40">
        <f t="shared" ref="E45:M45" si="52">D$46+VLOOKUP($A$44,$A$2:$F$9,6,0)</f>
        <v>4956</v>
      </c>
      <c r="F45" s="40">
        <f t="shared" ref="F45:M45" si="53">E46</f>
        <v>2956</v>
      </c>
      <c r="G45" s="40">
        <f t="shared" ref="G45:M45" si="54">F$46+VLOOKUP($A$44,$A$2:$F$9,6,0)</f>
        <v>4608</v>
      </c>
      <c r="H45" s="40">
        <f t="shared" ref="H45:M45" si="55">G46</f>
        <v>2608</v>
      </c>
      <c r="I45" s="40">
        <f t="shared" ref="I45:M45" si="56">H$46+VLOOKUP($A$44,$A$2:$F$9,6,0)</f>
        <v>4260</v>
      </c>
      <c r="J45" s="40">
        <f t="shared" ref="J45:M45" si="57">I46</f>
        <v>2260</v>
      </c>
      <c r="K45" s="40">
        <f t="shared" ref="K45:M45" si="58">J$46+VLOOKUP($A$44,$A$2:$F$9,6,0)</f>
        <v>3912</v>
      </c>
      <c r="L45" s="40">
        <f>K46+VLOOKUP($A$44,$A$2:$F$9,6,0)</f>
        <v>5564</v>
      </c>
      <c r="M45" s="40">
        <f>L$46+VLOOKUP($A$44,$A$2:$F$9,6,0)</f>
        <v>7216</v>
      </c>
      <c r="N45" s="40">
        <f t="shared" ref="N45:N46" si="59">SUM(B45:M45)/12</f>
        <v>4216.666666666667</v>
      </c>
      <c r="O45" s="40">
        <f t="shared" ref="O45" si="60">(N45+N46)/2</f>
        <v>3216.666666666667</v>
      </c>
      <c r="P45" s="240">
        <f>O45*VLOOKUP($A44,'Doanh thu, chi TB hàng tháng'!$B$26:$D$46,3,0)</f>
        <v>32166666.666666668</v>
      </c>
    </row>
    <row r="46" spans="1:16" ht="60" customHeight="1" x14ac:dyDescent="0.3">
      <c r="B46" s="40">
        <f>B$45-VLOOKUP($A$44,'Doanh thu, chi TB hàng tháng'!$B$3:$E$22,4,0)</f>
        <v>1652</v>
      </c>
      <c r="C46" s="40">
        <f>C$45-VLOOKUP($A$44,'Doanh thu, chi TB hàng tháng'!$B$3:$E$22,4,0)</f>
        <v>3304</v>
      </c>
      <c r="D46" s="40">
        <f>D$45-VLOOKUP($A$44,'Doanh thu, chi TB hàng tháng'!$B$3:$E$22,4,0)</f>
        <v>1304</v>
      </c>
      <c r="E46" s="40">
        <f>E$45-VLOOKUP($A$44,'Doanh thu, chi TB hàng tháng'!$B$3:$E$22,4,0)</f>
        <v>2956</v>
      </c>
      <c r="F46" s="40">
        <f>F$45-VLOOKUP($A$44,'Doanh thu, chi TB hàng tháng'!$B$3:$E$22,4,0)</f>
        <v>956</v>
      </c>
      <c r="G46" s="40">
        <f>G$45-VLOOKUP($A$44,'Doanh thu, chi TB hàng tháng'!$B$3:$E$22,4,0)</f>
        <v>2608</v>
      </c>
      <c r="H46" s="40">
        <f>H$45-VLOOKUP($A$44,'Doanh thu, chi TB hàng tháng'!$B$3:$E$22,4,0)</f>
        <v>608</v>
      </c>
      <c r="I46" s="40">
        <f>I$45-VLOOKUP($A$44,'Doanh thu, chi TB hàng tháng'!$B$3:$E$22,4,0)</f>
        <v>2260</v>
      </c>
      <c r="J46" s="40">
        <f>J$45-VLOOKUP($A$44,'Doanh thu, chi TB hàng tháng'!$B$3:$E$22,4,0)</f>
        <v>260</v>
      </c>
      <c r="K46" s="40">
        <f>K$45-VLOOKUP($A$44,'Doanh thu, chi TB hàng tháng'!$B$3:$E$22,4,0)</f>
        <v>1912</v>
      </c>
      <c r="L46" s="40">
        <f>L$45-VLOOKUP($A$44,'Doanh thu, chi TB hàng tháng'!$B$3:$E$22,4,0)</f>
        <v>3564</v>
      </c>
      <c r="M46" s="40">
        <f>M$45-VLOOKUP($A$44,'Doanh thu, chi TB hàng tháng'!$B$3:$E$22,4,0)</f>
        <v>5216</v>
      </c>
      <c r="N46" s="40">
        <f t="shared" si="59"/>
        <v>2216.6666666666665</v>
      </c>
    </row>
    <row r="47" spans="1:16" ht="60" customHeight="1" x14ac:dyDescent="0.3">
      <c r="A47" s="109" t="str">
        <f>A9</f>
        <v>Bánh thưởng LuxPaws</v>
      </c>
      <c r="B47" s="136"/>
      <c r="D47" s="136"/>
      <c r="G47" s="136"/>
      <c r="H47" s="94"/>
      <c r="J47" s="137"/>
      <c r="M47" s="136"/>
    </row>
    <row r="48" spans="1:16" ht="60" customHeight="1" x14ac:dyDescent="0.3">
      <c r="B48" s="40">
        <f>A$49+VLOOKUP($A$47,$A$2:$F$9,6,0)</f>
        <v>1491</v>
      </c>
      <c r="C48" s="40">
        <f>B49</f>
        <v>991</v>
      </c>
      <c r="D48" s="40">
        <f>C49+VLOOKUP($A$47,$A$2:$F$9,6,0)</f>
        <v>1982</v>
      </c>
      <c r="E48" s="40">
        <f>D49</f>
        <v>1482</v>
      </c>
      <c r="F48" s="40">
        <f>E49</f>
        <v>982</v>
      </c>
      <c r="G48" s="40">
        <f>F49+VLOOKUP($A$47,$A$2:$F$9,6,0)</f>
        <v>1973</v>
      </c>
      <c r="H48" s="40">
        <f>G49</f>
        <v>1473</v>
      </c>
      <c r="I48" s="40">
        <f t="shared" ref="I48" si="61">H49</f>
        <v>973</v>
      </c>
      <c r="J48" s="40">
        <f>I49+VLOOKUP($A$47,$A$2:$F$9,6,0)</f>
        <v>1964</v>
      </c>
      <c r="K48" s="40">
        <f>J49</f>
        <v>1464</v>
      </c>
      <c r="L48" s="40">
        <f t="shared" ref="L48" si="62">K49</f>
        <v>964</v>
      </c>
      <c r="M48" s="40">
        <f>L49+VLOOKUP($A$47,$A$2:$F$9,6,0)</f>
        <v>1955</v>
      </c>
      <c r="N48" s="40">
        <f t="shared" ref="N48:N49" si="63">SUM(B48:M48)/12</f>
        <v>1474.5</v>
      </c>
      <c r="O48" s="40">
        <f t="shared" ref="O48" si="64">(N48+N49)/2</f>
        <v>1224.5</v>
      </c>
      <c r="P48" s="240">
        <f>O48*VLOOKUP($A47,'Doanh thu, chi TB hàng tháng'!$B$26:$D$46,3,0)</f>
        <v>18367500</v>
      </c>
    </row>
    <row r="49" spans="2:14" ht="60" customHeight="1" x14ac:dyDescent="0.3">
      <c r="B49" s="40">
        <f>B$48-VLOOKUP($A$47,'Doanh thu, chi TB hàng tháng'!$B$3:$E$22,4,0)</f>
        <v>991</v>
      </c>
      <c r="C49" s="40">
        <f>C$48-VLOOKUP($A$47,'Doanh thu, chi TB hàng tháng'!$B$3:$E$22,4,0)</f>
        <v>491</v>
      </c>
      <c r="D49" s="40">
        <f>D$48-VLOOKUP($A$47,'Doanh thu, chi TB hàng tháng'!$B$3:$E$22,4,0)</f>
        <v>1482</v>
      </c>
      <c r="E49" s="40">
        <f>E$48-VLOOKUP($A$47,'Doanh thu, chi TB hàng tháng'!$B$3:$E$22,4,0)</f>
        <v>982</v>
      </c>
      <c r="F49" s="40">
        <f>F$48-VLOOKUP($A$47,'Doanh thu, chi TB hàng tháng'!$B$3:$E$22,4,0)</f>
        <v>482</v>
      </c>
      <c r="G49" s="40">
        <f>G$48-VLOOKUP($A$47,'Doanh thu, chi TB hàng tháng'!$B$3:$E$22,4,0)</f>
        <v>1473</v>
      </c>
      <c r="H49" s="40">
        <f>H$48-VLOOKUP($A$47,'Doanh thu, chi TB hàng tháng'!$B$3:$E$22,4,0)</f>
        <v>973</v>
      </c>
      <c r="I49" s="40">
        <f>I$48-VLOOKUP($A$47,'Doanh thu, chi TB hàng tháng'!$B$3:$E$22,4,0)</f>
        <v>473</v>
      </c>
      <c r="J49" s="40">
        <f>J$48-VLOOKUP($A$47,'Doanh thu, chi TB hàng tháng'!$B$3:$E$22,4,0)</f>
        <v>1464</v>
      </c>
      <c r="K49" s="40">
        <f>K$48-VLOOKUP($A$47,'Doanh thu, chi TB hàng tháng'!$B$3:$E$22,4,0)</f>
        <v>964</v>
      </c>
      <c r="L49" s="40">
        <f>L$48-VLOOKUP($A$47,'Doanh thu, chi TB hàng tháng'!$B$3:$E$22,4,0)</f>
        <v>464</v>
      </c>
      <c r="M49" s="40">
        <f>M$48-VLOOKUP($A$47,'Doanh thu, chi TB hàng tháng'!$B$3:$E$22,4,0)</f>
        <v>1455</v>
      </c>
      <c r="N49" s="40">
        <f t="shared" si="63"/>
        <v>974.5</v>
      </c>
    </row>
    <row r="50" spans="2:14" ht="60" customHeight="1" x14ac:dyDescent="0.3"/>
    <row r="51" spans="2:14" ht="60" customHeight="1" x14ac:dyDescent="0.3"/>
    <row r="52" spans="2:14" ht="60" customHeight="1" x14ac:dyDescent="0.3"/>
    <row r="53" spans="2:14" ht="60" customHeight="1" x14ac:dyDescent="0.3"/>
    <row r="54" spans="2:14" ht="60" customHeight="1" x14ac:dyDescent="0.3"/>
    <row r="55" spans="2:14" ht="60" customHeight="1" x14ac:dyDescent="0.3"/>
    <row r="56" spans="2:14" ht="60" customHeight="1" x14ac:dyDescent="0.3"/>
    <row r="57" spans="2:14" ht="60" customHeight="1" x14ac:dyDescent="0.3"/>
    <row r="58" spans="2:14" ht="60" customHeight="1" x14ac:dyDescent="0.3"/>
    <row r="59" spans="2:14" ht="60" customHeight="1" x14ac:dyDescent="0.3"/>
    <row r="60" spans="2:14" ht="60" customHeight="1" x14ac:dyDescent="0.3"/>
    <row r="61" spans="2:14" ht="60" customHeight="1" x14ac:dyDescent="0.3"/>
    <row r="62" spans="2:14" ht="60" customHeight="1" x14ac:dyDescent="0.3"/>
    <row r="63" spans="2:14" ht="60" customHeight="1" x14ac:dyDescent="0.3"/>
    <row r="64" spans="2:1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</sheetData>
  <mergeCells count="1">
    <mergeCell ref="M4:N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80DA-B56D-4116-A45F-8B8F70A25620}">
  <dimension ref="A1:Q103"/>
  <sheetViews>
    <sheetView topLeftCell="A5" zoomScale="55" zoomScaleNormal="55" workbookViewId="0">
      <selection activeCell="O23" sqref="O23"/>
    </sheetView>
  </sheetViews>
  <sheetFormatPr defaultRowHeight="18" x14ac:dyDescent="0.35"/>
  <cols>
    <col min="1" max="1" width="30.77734375" style="294" customWidth="1"/>
    <col min="2" max="2" width="30.77734375" style="1" customWidth="1"/>
    <col min="3" max="3" width="30.77734375" style="104" customWidth="1"/>
    <col min="4" max="15" width="30.77734375" style="1" customWidth="1"/>
    <col min="16" max="16" width="29.33203125" style="312" customWidth="1"/>
    <col min="17" max="17" width="31.109375" style="1" customWidth="1"/>
    <col min="18" max="16384" width="8.88671875" style="1"/>
  </cols>
  <sheetData>
    <row r="1" spans="1:17" ht="54" customHeight="1" x14ac:dyDescent="0.35">
      <c r="A1" s="105" t="s">
        <v>155</v>
      </c>
      <c r="B1" s="105" t="s">
        <v>156</v>
      </c>
      <c r="C1" s="105" t="s">
        <v>157</v>
      </c>
      <c r="D1" s="105" t="s">
        <v>242</v>
      </c>
      <c r="E1" s="105" t="s">
        <v>158</v>
      </c>
      <c r="F1" s="105" t="s">
        <v>159</v>
      </c>
      <c r="G1" s="105" t="s">
        <v>160</v>
      </c>
      <c r="H1" s="105" t="s">
        <v>161</v>
      </c>
      <c r="I1" s="105" t="s">
        <v>239</v>
      </c>
      <c r="M1" s="219" t="s">
        <v>219</v>
      </c>
      <c r="N1" s="220"/>
      <c r="O1" s="220"/>
      <c r="P1" s="220"/>
      <c r="Q1" s="220"/>
    </row>
    <row r="2" spans="1:17" ht="49.95" customHeight="1" x14ac:dyDescent="0.35">
      <c r="A2" s="293" t="str">
        <f>'Sản phẩm'!B3</f>
        <v>Hạt khô vị nguyên bản LuxPaws</v>
      </c>
      <c r="B2" s="98">
        <f>'Doanh thu, chi TB hàng tháng'!E3*12</f>
        <v>1200</v>
      </c>
      <c r="C2" s="99">
        <f>Q8</f>
        <v>390000</v>
      </c>
      <c r="D2" s="99">
        <f>'Sản phẩm'!D3 + 'Chi phí hằng tháng'!$I$5/'Doanh thu, chi TB hàng tháng'!$J$3</f>
        <v>113115.00547645126</v>
      </c>
      <c r="E2" s="100">
        <v>0.22500000000000001</v>
      </c>
      <c r="F2" s="99">
        <f>D2*E2</f>
        <v>25450.876232201535</v>
      </c>
      <c r="G2" s="101">
        <f>B2*1.3</f>
        <v>1560</v>
      </c>
      <c r="H2" s="101">
        <f>ROUNDUP((SQRT((2*B2*C2)/F2)*SQRT(G2/(G2-B2))),0)</f>
        <v>400</v>
      </c>
      <c r="I2" s="101">
        <f>ROUNDDOWN(12/(B2/H2),0)</f>
        <v>4</v>
      </c>
      <c r="M2" s="96" t="s">
        <v>18</v>
      </c>
      <c r="N2" s="96" t="s">
        <v>221</v>
      </c>
      <c r="O2" s="96" t="s">
        <v>217</v>
      </c>
      <c r="P2" s="311" t="s">
        <v>220</v>
      </c>
      <c r="Q2" s="96" t="s">
        <v>199</v>
      </c>
    </row>
    <row r="3" spans="1:17" ht="49.95" customHeight="1" x14ac:dyDescent="0.35">
      <c r="A3" s="293" t="str">
        <f>'Sản phẩm'!B4</f>
        <v>Hạt khô vị bò LuxPaws</v>
      </c>
      <c r="B3" s="98">
        <f>'Doanh thu, chi TB hàng tháng'!E4*12</f>
        <v>1200</v>
      </c>
      <c r="C3" s="99">
        <f>Q8</f>
        <v>390000</v>
      </c>
      <c r="D3" s="99">
        <f>'Sản phẩm'!D4 + 'Chi phí hằng tháng'!$I$5/'Doanh thu, chi TB hàng tháng'!$J$3</f>
        <v>193115.00547645125</v>
      </c>
      <c r="E3" s="102">
        <v>0.22500000000000001</v>
      </c>
      <c r="F3" s="99">
        <f t="shared" ref="F3:F13" si="0">D3*E3</f>
        <v>43450.876232201532</v>
      </c>
      <c r="G3" s="101">
        <f t="shared" ref="G3:G13" si="1">B3*1.3</f>
        <v>1560</v>
      </c>
      <c r="H3" s="101">
        <f t="shared" ref="H3:H13" si="2">ROUNDUP((SQRT((2*B3*C3)/F3)*SQRT(G3/(G3-B3))),0)</f>
        <v>306</v>
      </c>
      <c r="I3" s="101">
        <f t="shared" ref="I3:I13" si="3">ROUNDDOWN(12/(B3/H3),0)</f>
        <v>3</v>
      </c>
      <c r="M3" s="96">
        <v>1</v>
      </c>
      <c r="N3" s="109" t="s">
        <v>226</v>
      </c>
      <c r="O3" s="110">
        <f>2*0.75</f>
        <v>1.5</v>
      </c>
      <c r="P3" s="240">
        <v>60000</v>
      </c>
      <c r="Q3" s="111">
        <f t="shared" ref="Q3:Q5" si="4">P3*O3</f>
        <v>90000</v>
      </c>
    </row>
    <row r="4" spans="1:17" ht="49.95" customHeight="1" x14ac:dyDescent="0.35">
      <c r="A4" s="293" t="str">
        <f>'Sản phẩm'!B5</f>
        <v>Hạt khô vị heo LuxPaws</v>
      </c>
      <c r="B4" s="98">
        <f>'Doanh thu, chi TB hàng tháng'!E5*12</f>
        <v>1200</v>
      </c>
      <c r="C4" s="99">
        <f>Q8</f>
        <v>390000</v>
      </c>
      <c r="D4" s="99">
        <f>'Sản phẩm'!D5 + 'Chi phí hằng tháng'!$I$5/'Doanh thu, chi TB hàng tháng'!$J$3</f>
        <v>153115.00547645125</v>
      </c>
      <c r="E4" s="100">
        <v>0.22500000000000001</v>
      </c>
      <c r="F4" s="99">
        <f t="shared" si="0"/>
        <v>34450.876232201532</v>
      </c>
      <c r="G4" s="101">
        <f t="shared" si="1"/>
        <v>1560</v>
      </c>
      <c r="H4" s="101">
        <f t="shared" si="2"/>
        <v>344</v>
      </c>
      <c r="I4" s="101">
        <f t="shared" si="3"/>
        <v>3</v>
      </c>
      <c r="M4" s="96">
        <v>2</v>
      </c>
      <c r="N4" s="109" t="s">
        <v>225</v>
      </c>
      <c r="O4" s="110">
        <v>12</v>
      </c>
      <c r="P4" s="240">
        <v>23000</v>
      </c>
      <c r="Q4" s="111">
        <f t="shared" si="4"/>
        <v>276000</v>
      </c>
    </row>
    <row r="5" spans="1:17" ht="49.95" customHeight="1" x14ac:dyDescent="0.35">
      <c r="A5" s="293" t="str">
        <f>'Sản phẩm'!B6</f>
        <v>Hạt khô bổ sung rau củ LuxPaws</v>
      </c>
      <c r="B5" s="98">
        <f>'Doanh thu, chi TB hàng tháng'!E6*12</f>
        <v>1200</v>
      </c>
      <c r="C5" s="99">
        <f>Q8</f>
        <v>390000</v>
      </c>
      <c r="D5" s="99">
        <f>'Sản phẩm'!D6 + 'Chi phí hằng tháng'!$I$5/'Doanh thu, chi TB hàng tháng'!$J$3</f>
        <v>108115.00547645126</v>
      </c>
      <c r="E5" s="102">
        <v>0.22500000000000001</v>
      </c>
      <c r="F5" s="99">
        <f t="shared" si="0"/>
        <v>24325.876232201535</v>
      </c>
      <c r="G5" s="101">
        <f t="shared" si="1"/>
        <v>1560</v>
      </c>
      <c r="H5" s="101">
        <f t="shared" si="2"/>
        <v>409</v>
      </c>
      <c r="I5" s="101">
        <f t="shared" si="3"/>
        <v>4</v>
      </c>
      <c r="M5" s="96">
        <v>3</v>
      </c>
      <c r="N5" s="109" t="s">
        <v>224</v>
      </c>
      <c r="O5" s="110">
        <v>1</v>
      </c>
      <c r="P5" s="240">
        <v>18000</v>
      </c>
      <c r="Q5" s="111">
        <f t="shared" si="4"/>
        <v>18000</v>
      </c>
    </row>
    <row r="6" spans="1:17" ht="49.95" customHeight="1" x14ac:dyDescent="0.35">
      <c r="A6" s="293" t="str">
        <f>'Sản phẩm'!B7</f>
        <v>Combo 4 loại hỗn hợp LuxPaws</v>
      </c>
      <c r="B6" s="98">
        <f>'Doanh thu, chi TB hàng tháng'!E7*12</f>
        <v>840</v>
      </c>
      <c r="C6" s="99">
        <f>Q8</f>
        <v>390000</v>
      </c>
      <c r="D6" s="99">
        <f>'Sản phẩm'!D7 + 'Chi phí hằng tháng'!$I$5/'Doanh thu, chi TB hàng tháng'!$J$3</f>
        <v>522115.00547645125</v>
      </c>
      <c r="E6" s="100">
        <v>0.22500000000000001</v>
      </c>
      <c r="F6" s="99">
        <f t="shared" si="0"/>
        <v>117475.87623220154</v>
      </c>
      <c r="G6" s="101">
        <f t="shared" si="1"/>
        <v>1092</v>
      </c>
      <c r="H6" s="101">
        <f t="shared" si="2"/>
        <v>156</v>
      </c>
      <c r="I6" s="101">
        <f t="shared" si="3"/>
        <v>2</v>
      </c>
      <c r="M6" s="96">
        <v>4</v>
      </c>
      <c r="N6" s="109" t="s">
        <v>222</v>
      </c>
      <c r="O6" s="110">
        <v>60000000</v>
      </c>
      <c r="P6" s="240">
        <v>20000</v>
      </c>
      <c r="Q6" s="111">
        <f>O6/P6</f>
        <v>3000</v>
      </c>
    </row>
    <row r="7" spans="1:17" ht="49.95" customHeight="1" x14ac:dyDescent="0.35">
      <c r="A7" s="293" t="str">
        <f>'Sản phẩm'!B8</f>
        <v>Sữa hạt lanh LuxPaws</v>
      </c>
      <c r="B7" s="98">
        <f>'Doanh thu, chi TB hàng tháng'!E8*12</f>
        <v>900</v>
      </c>
      <c r="C7" s="99">
        <f>Q8</f>
        <v>390000</v>
      </c>
      <c r="D7" s="99">
        <f>'Sản phẩm'!D8 + 'Chi phí hằng tháng'!$I$5/'Doanh thu, chi TB hàng tháng'!$J$3</f>
        <v>25895.005476451261</v>
      </c>
      <c r="E7" s="103">
        <v>0.22500000000000001</v>
      </c>
      <c r="F7" s="99">
        <f t="shared" si="0"/>
        <v>5826.3762322015336</v>
      </c>
      <c r="G7" s="101">
        <f t="shared" si="1"/>
        <v>1170</v>
      </c>
      <c r="H7" s="101">
        <f t="shared" si="2"/>
        <v>723</v>
      </c>
      <c r="I7" s="101">
        <f t="shared" si="3"/>
        <v>9</v>
      </c>
      <c r="M7" s="96">
        <v>5</v>
      </c>
      <c r="N7" s="109" t="s">
        <v>223</v>
      </c>
      <c r="O7" s="110">
        <v>600000</v>
      </c>
      <c r="P7" s="240">
        <v>200</v>
      </c>
      <c r="Q7" s="111">
        <f>O7/P7</f>
        <v>3000</v>
      </c>
    </row>
    <row r="8" spans="1:17" ht="49.95" customHeight="1" x14ac:dyDescent="0.35">
      <c r="A8" s="293" t="str">
        <f>'Sản phẩm'!B9</f>
        <v>Sữa bột pha sẵn LuxPaws</v>
      </c>
      <c r="B8" s="98">
        <f>'Doanh thu, chi TB hàng tháng'!E9*12</f>
        <v>1080</v>
      </c>
      <c r="C8" s="99">
        <f>Q8</f>
        <v>390000</v>
      </c>
      <c r="D8" s="99">
        <f>'Sản phẩm'!D9 + 'Chi phí hằng tháng'!$I$5/'Doanh thu, chi TB hàng tháng'!$J$3</f>
        <v>25395.005476451261</v>
      </c>
      <c r="E8" s="100">
        <v>0.22500000000000001</v>
      </c>
      <c r="F8" s="99">
        <f t="shared" si="0"/>
        <v>5713.8762322015336</v>
      </c>
      <c r="G8" s="101">
        <f t="shared" si="1"/>
        <v>1404</v>
      </c>
      <c r="H8" s="101">
        <f t="shared" si="2"/>
        <v>800</v>
      </c>
      <c r="I8" s="101">
        <f t="shared" si="3"/>
        <v>8</v>
      </c>
      <c r="M8" s="109"/>
      <c r="N8" s="109" t="s">
        <v>218</v>
      </c>
      <c r="O8" s="110"/>
      <c r="Q8" s="111">
        <f>SUM(Q3:Q7)</f>
        <v>390000</v>
      </c>
    </row>
    <row r="9" spans="1:17" ht="49.95" customHeight="1" x14ac:dyDescent="0.35">
      <c r="A9" s="293" t="str">
        <f>'Sản phẩm'!B10</f>
        <v>Pate gà LuxPaws</v>
      </c>
      <c r="B9" s="98">
        <f>'Doanh thu, chi TB hàng tháng'!E10*12</f>
        <v>1200</v>
      </c>
      <c r="C9" s="99">
        <f>Q8</f>
        <v>390000</v>
      </c>
      <c r="D9" s="99">
        <f>'Sản phẩm'!D10 + 'Chi phí hằng tháng'!$I$5/'Doanh thu, chi TB hàng tháng'!$J$3</f>
        <v>35115.005476451261</v>
      </c>
      <c r="E9" s="103">
        <v>0.22500000000000001</v>
      </c>
      <c r="F9" s="99">
        <f t="shared" si="0"/>
        <v>7900.8762322015336</v>
      </c>
      <c r="G9" s="101">
        <f t="shared" si="1"/>
        <v>1560</v>
      </c>
      <c r="H9" s="101">
        <f t="shared" si="2"/>
        <v>717</v>
      </c>
      <c r="I9" s="101">
        <f t="shared" si="3"/>
        <v>7</v>
      </c>
    </row>
    <row r="10" spans="1:17" ht="49.95" customHeight="1" x14ac:dyDescent="0.35">
      <c r="A10" s="293" t="str">
        <f>'Sản phẩm'!B11</f>
        <v>Pate heo LuxPaws</v>
      </c>
      <c r="B10" s="98">
        <f>'Doanh thu, chi TB hàng tháng'!E11*12</f>
        <v>1200</v>
      </c>
      <c r="C10" s="99">
        <f>Q8</f>
        <v>390000</v>
      </c>
      <c r="D10" s="99">
        <f>'Sản phẩm'!D11 + 'Chi phí hằng tháng'!$I$5/'Doanh thu, chi TB hàng tháng'!$J$3</f>
        <v>55115.005476451261</v>
      </c>
      <c r="E10" s="100">
        <v>0.22500000000000001</v>
      </c>
      <c r="F10" s="99">
        <f t="shared" si="0"/>
        <v>12400.876232201534</v>
      </c>
      <c r="G10" s="101">
        <f t="shared" si="1"/>
        <v>1560</v>
      </c>
      <c r="H10" s="101">
        <f t="shared" si="2"/>
        <v>572</v>
      </c>
      <c r="I10" s="101">
        <f t="shared" si="3"/>
        <v>5</v>
      </c>
    </row>
    <row r="11" spans="1:17" ht="49.95" customHeight="1" x14ac:dyDescent="0.35">
      <c r="A11" s="293" t="str">
        <f>'Sản phẩm'!B12</f>
        <v>Pate hỗn hợp LuxPaws</v>
      </c>
      <c r="B11" s="98">
        <f>'Doanh thu, chi TB hàng tháng'!E12*12</f>
        <v>1200</v>
      </c>
      <c r="C11" s="99">
        <f>Q8</f>
        <v>390000</v>
      </c>
      <c r="D11" s="99">
        <f>'Sản phẩm'!D12 + 'Chi phí hằng tháng'!$I$5/'Doanh thu, chi TB hàng tháng'!$J$3</f>
        <v>61115.005476451261</v>
      </c>
      <c r="E11" s="100">
        <v>0.22500000000000001</v>
      </c>
      <c r="F11" s="99">
        <f t="shared" si="0"/>
        <v>13750.876232201534</v>
      </c>
      <c r="G11" s="101">
        <f t="shared" si="1"/>
        <v>1560</v>
      </c>
      <c r="H11" s="101">
        <f t="shared" si="2"/>
        <v>544</v>
      </c>
      <c r="I11" s="101">
        <f t="shared" si="3"/>
        <v>5</v>
      </c>
      <c r="N11"/>
    </row>
    <row r="12" spans="1:17" ht="49.95" customHeight="1" x14ac:dyDescent="0.35">
      <c r="A12" s="293" t="str">
        <f>'Sản phẩm'!B13</f>
        <v>Combo 3 loại pate LuxPaws</v>
      </c>
      <c r="B12" s="98">
        <f>'Doanh thu, chi TB hàng tháng'!E13*12</f>
        <v>840</v>
      </c>
      <c r="C12" s="99">
        <f>Q8</f>
        <v>390000</v>
      </c>
      <c r="D12" s="99">
        <f>'Sản phẩm'!D13 + 'Chi phí hằng tháng'!$I$5/'Doanh thu, chi TB hàng tháng'!$J$3</f>
        <v>121115.00547645126</v>
      </c>
      <c r="E12" s="100">
        <v>0.22500000000000001</v>
      </c>
      <c r="F12" s="99">
        <f t="shared" si="0"/>
        <v>27250.876232201535</v>
      </c>
      <c r="G12" s="101">
        <f t="shared" si="1"/>
        <v>1092</v>
      </c>
      <c r="H12" s="101">
        <f t="shared" si="2"/>
        <v>323</v>
      </c>
      <c r="I12" s="101">
        <f t="shared" si="3"/>
        <v>4</v>
      </c>
    </row>
    <row r="13" spans="1:17" ht="49.95" customHeight="1" x14ac:dyDescent="0.35">
      <c r="A13" s="293" t="str">
        <f>'Sản phẩm'!B14</f>
        <v>Pate gói nhỏ LuxPaws</v>
      </c>
      <c r="B13" s="98">
        <f>'Doanh thu, chi TB hàng tháng'!E14*12</f>
        <v>3600</v>
      </c>
      <c r="C13" s="99">
        <f>Q8</f>
        <v>390000</v>
      </c>
      <c r="D13" s="99">
        <f>'Sản phẩm'!D14 + 'Chi phí hằng tháng'!$I$5/'Doanh thu, chi TB hàng tháng'!$J$3</f>
        <v>19115.005476451261</v>
      </c>
      <c r="E13" s="100">
        <v>0.22500000000000001</v>
      </c>
      <c r="F13" s="99">
        <f t="shared" si="0"/>
        <v>4300.8762322015336</v>
      </c>
      <c r="G13" s="101">
        <f t="shared" si="1"/>
        <v>4680</v>
      </c>
      <c r="H13" s="101">
        <f t="shared" si="2"/>
        <v>1683</v>
      </c>
      <c r="I13" s="101">
        <f t="shared" si="3"/>
        <v>5</v>
      </c>
    </row>
    <row r="14" spans="1:17" ht="49.95" customHeight="1" x14ac:dyDescent="0.35">
      <c r="C14" s="1"/>
      <c r="J14" s="1" t="s">
        <v>194</v>
      </c>
    </row>
    <row r="15" spans="1:17" ht="49.95" customHeight="1" x14ac:dyDescent="0.35">
      <c r="A15" s="295"/>
      <c r="B15" s="296">
        <v>1</v>
      </c>
      <c r="C15" s="296">
        <v>2</v>
      </c>
      <c r="D15" s="296">
        <v>3</v>
      </c>
      <c r="E15" s="296">
        <v>4</v>
      </c>
      <c r="F15" s="296">
        <v>5</v>
      </c>
      <c r="G15" s="296">
        <v>6</v>
      </c>
      <c r="H15" s="296">
        <v>7</v>
      </c>
      <c r="I15" s="296">
        <v>8</v>
      </c>
      <c r="J15" s="296">
        <v>9</v>
      </c>
      <c r="K15" s="296">
        <v>10</v>
      </c>
      <c r="L15" s="296">
        <v>11</v>
      </c>
      <c r="M15" s="297">
        <v>12</v>
      </c>
    </row>
    <row r="16" spans="1:17" ht="49.95" customHeight="1" x14ac:dyDescent="0.35">
      <c r="A16" s="298" t="str">
        <f>A2</f>
        <v>Hạt khô vị nguyên bản LuxPaws</v>
      </c>
      <c r="B16" s="299"/>
      <c r="C16" s="300"/>
      <c r="D16" s="300"/>
      <c r="E16" s="300"/>
      <c r="F16" s="299"/>
      <c r="G16" s="300"/>
      <c r="H16" s="300"/>
      <c r="I16" s="300"/>
      <c r="J16" s="299"/>
      <c r="K16" s="300"/>
      <c r="L16" s="300"/>
      <c r="M16" s="301"/>
      <c r="O16" s="1" t="s">
        <v>257</v>
      </c>
      <c r="P16" s="312" t="s">
        <v>93</v>
      </c>
    </row>
    <row r="17" spans="1:16" ht="49.95" customHeight="1" x14ac:dyDescent="0.35">
      <c r="A17" s="298"/>
      <c r="B17" s="302">
        <f>H2</f>
        <v>400</v>
      </c>
      <c r="C17" s="302">
        <f>B$18</f>
        <v>300</v>
      </c>
      <c r="D17" s="302">
        <f t="shared" ref="D17:M17" si="5">C$18</f>
        <v>200</v>
      </c>
      <c r="E17" s="302">
        <f t="shared" si="5"/>
        <v>100</v>
      </c>
      <c r="F17" s="302">
        <f>E$18 +H2</f>
        <v>400</v>
      </c>
      <c r="G17" s="302">
        <f t="shared" si="5"/>
        <v>300</v>
      </c>
      <c r="H17" s="302">
        <f t="shared" si="5"/>
        <v>200</v>
      </c>
      <c r="I17" s="302">
        <f t="shared" si="5"/>
        <v>100</v>
      </c>
      <c r="J17" s="302">
        <f>I$18+H2</f>
        <v>400</v>
      </c>
      <c r="K17" s="302">
        <f t="shared" si="5"/>
        <v>300</v>
      </c>
      <c r="L17" s="302">
        <f t="shared" si="5"/>
        <v>200</v>
      </c>
      <c r="M17" s="303">
        <f t="shared" si="5"/>
        <v>100</v>
      </c>
      <c r="N17" s="185">
        <f>SUM(B17:M17)/12</f>
        <v>250</v>
      </c>
      <c r="O17" s="1">
        <f>SUM(N17:N18)/2</f>
        <v>200</v>
      </c>
      <c r="P17" s="312">
        <f>O17*VLOOKUP(ELS!$A16,'Doanh thu, chi TB hàng tháng'!$B$26:$D$46,3,0)</f>
        <v>22623001.095290251</v>
      </c>
    </row>
    <row r="18" spans="1:16" ht="49.95" customHeight="1" x14ac:dyDescent="0.35">
      <c r="A18" s="298"/>
      <c r="B18" s="302">
        <f>B17-'Doanh thu, chi TB hàng tháng'!E3</f>
        <v>300</v>
      </c>
      <c r="C18" s="302">
        <f>C17-'Doanh thu, chi TB hàng tháng'!$E$3</f>
        <v>200</v>
      </c>
      <c r="D18" s="302">
        <f>D17-'Doanh thu, chi TB hàng tháng'!$E$3</f>
        <v>100</v>
      </c>
      <c r="E18" s="302">
        <f>E17-'Doanh thu, chi TB hàng tháng'!$E$3</f>
        <v>0</v>
      </c>
      <c r="F18" s="302">
        <f>F17-'Doanh thu, chi TB hàng tháng'!$E$3</f>
        <v>300</v>
      </c>
      <c r="G18" s="302">
        <f>G17-'Doanh thu, chi TB hàng tháng'!$E$3</f>
        <v>200</v>
      </c>
      <c r="H18" s="302">
        <f>H17-'Doanh thu, chi TB hàng tháng'!$E$3</f>
        <v>100</v>
      </c>
      <c r="I18" s="302">
        <f>I17-'Doanh thu, chi TB hàng tháng'!$E$3</f>
        <v>0</v>
      </c>
      <c r="J18" s="302">
        <f>J17-'Doanh thu, chi TB hàng tháng'!$E$3</f>
        <v>300</v>
      </c>
      <c r="K18" s="302">
        <f>K17-'Doanh thu, chi TB hàng tháng'!$E$3</f>
        <v>200</v>
      </c>
      <c r="L18" s="302">
        <f>L17-'Doanh thu, chi TB hàng tháng'!$E$3</f>
        <v>100</v>
      </c>
      <c r="M18" s="303">
        <f>M17-'Doanh thu, chi TB hàng tháng'!$E$3</f>
        <v>0</v>
      </c>
      <c r="N18" s="1">
        <f>SUM(B18:M18)/12</f>
        <v>150</v>
      </c>
    </row>
    <row r="19" spans="1:16" ht="49.95" customHeight="1" x14ac:dyDescent="0.35">
      <c r="A19" s="298" t="str">
        <f>A5</f>
        <v>Hạt khô bổ sung rau củ LuxPaws</v>
      </c>
      <c r="B19" s="299"/>
      <c r="C19" s="300"/>
      <c r="D19" s="300"/>
      <c r="E19" s="299"/>
      <c r="F19" s="300"/>
      <c r="G19" s="300"/>
      <c r="H19" s="299"/>
      <c r="I19" s="300"/>
      <c r="J19" s="300"/>
      <c r="K19" s="299"/>
      <c r="L19" s="300"/>
      <c r="M19" s="301"/>
      <c r="O19" s="1" t="s">
        <v>257</v>
      </c>
    </row>
    <row r="20" spans="1:16" ht="49.95" customHeight="1" x14ac:dyDescent="0.35">
      <c r="A20" s="298"/>
      <c r="B20" s="302">
        <f>H3</f>
        <v>306</v>
      </c>
      <c r="C20" s="302">
        <f>B$21</f>
        <v>206</v>
      </c>
      <c r="D20" s="302">
        <f t="shared" ref="D20:M20" si="6">C$21</f>
        <v>106</v>
      </c>
      <c r="E20" s="302">
        <f>D$21+H3</f>
        <v>312</v>
      </c>
      <c r="F20" s="302">
        <f>E$21</f>
        <v>212</v>
      </c>
      <c r="G20" s="302">
        <f>F$21</f>
        <v>112</v>
      </c>
      <c r="H20" s="302">
        <f>G$21+H3</f>
        <v>318</v>
      </c>
      <c r="I20" s="302">
        <f t="shared" si="6"/>
        <v>218</v>
      </c>
      <c r="J20" s="302">
        <f>I$21</f>
        <v>118</v>
      </c>
      <c r="K20" s="302">
        <f>J$21+H3</f>
        <v>324</v>
      </c>
      <c r="L20" s="302">
        <f t="shared" si="6"/>
        <v>224</v>
      </c>
      <c r="M20" s="303">
        <f t="shared" si="6"/>
        <v>124</v>
      </c>
      <c r="N20" s="185">
        <f>SUM(B20:M20)/12</f>
        <v>215</v>
      </c>
      <c r="O20" s="1">
        <f>SUM(N20:N21)/2</f>
        <v>165</v>
      </c>
      <c r="P20" s="312">
        <f>O20*VLOOKUP(ELS!$A19,'Doanh thu, chi TB hàng tháng'!$B$26:$D$46,3,0)</f>
        <v>17838975.903614458</v>
      </c>
    </row>
    <row r="21" spans="1:16" ht="49.95" customHeight="1" x14ac:dyDescent="0.35">
      <c r="A21" s="298"/>
      <c r="B21" s="302">
        <f>B20-'Doanh thu, chi TB hàng tháng'!E4</f>
        <v>206</v>
      </c>
      <c r="C21" s="302">
        <f>C20-'Doanh thu, chi TB hàng tháng'!$E$4</f>
        <v>106</v>
      </c>
      <c r="D21" s="302">
        <f>D20-'Doanh thu, chi TB hàng tháng'!$E$4</f>
        <v>6</v>
      </c>
      <c r="E21" s="302">
        <f>E20-'Doanh thu, chi TB hàng tháng'!$E$4</f>
        <v>212</v>
      </c>
      <c r="F21" s="302">
        <f>F20-'Doanh thu, chi TB hàng tháng'!$E$4</f>
        <v>112</v>
      </c>
      <c r="G21" s="302">
        <f>G20-'Doanh thu, chi TB hàng tháng'!$E$4</f>
        <v>12</v>
      </c>
      <c r="H21" s="302">
        <f>H20-'Doanh thu, chi TB hàng tháng'!$E$4</f>
        <v>218</v>
      </c>
      <c r="I21" s="302">
        <f>I20-'Doanh thu, chi TB hàng tháng'!$E$4</f>
        <v>118</v>
      </c>
      <c r="J21" s="302">
        <f>J20-'Doanh thu, chi TB hàng tháng'!$E$4</f>
        <v>18</v>
      </c>
      <c r="K21" s="302">
        <f>K20-'Doanh thu, chi TB hàng tháng'!$E$4</f>
        <v>224</v>
      </c>
      <c r="L21" s="302">
        <f>L20-'Doanh thu, chi TB hàng tháng'!$E$4</f>
        <v>124</v>
      </c>
      <c r="M21" s="303">
        <f>M20-'Doanh thu, chi TB hàng tháng'!$E$4</f>
        <v>24</v>
      </c>
      <c r="N21" s="1">
        <f>SUM(B21:M21)/12</f>
        <v>115</v>
      </c>
    </row>
    <row r="22" spans="1:16" ht="49.95" customHeight="1" x14ac:dyDescent="0.35">
      <c r="A22" s="298" t="str">
        <f>A4</f>
        <v>Hạt khô vị heo LuxPaws</v>
      </c>
      <c r="B22" s="299"/>
      <c r="C22" s="300"/>
      <c r="D22" s="300"/>
      <c r="E22" s="299"/>
      <c r="F22" s="300"/>
      <c r="G22" s="300"/>
      <c r="H22" s="299"/>
      <c r="I22" s="300"/>
      <c r="J22" s="300"/>
      <c r="K22" s="299"/>
      <c r="L22" s="300"/>
      <c r="M22" s="301"/>
    </row>
    <row r="23" spans="1:16" ht="49.95" customHeight="1" x14ac:dyDescent="0.35">
      <c r="A23" s="298"/>
      <c r="B23" s="302">
        <f>H4</f>
        <v>344</v>
      </c>
      <c r="C23" s="302">
        <f>B$24</f>
        <v>244</v>
      </c>
      <c r="D23" s="302">
        <f>C$24</f>
        <v>144</v>
      </c>
      <c r="E23" s="302">
        <f>D$24+H4</f>
        <v>388</v>
      </c>
      <c r="F23" s="302">
        <f t="shared" ref="F23:M23" si="7">E$24</f>
        <v>288</v>
      </c>
      <c r="G23" s="302">
        <f t="shared" si="7"/>
        <v>188</v>
      </c>
      <c r="H23" s="302">
        <f>G$24 +H4</f>
        <v>432</v>
      </c>
      <c r="I23" s="302">
        <f t="shared" si="7"/>
        <v>332</v>
      </c>
      <c r="J23" s="302">
        <f t="shared" si="7"/>
        <v>232</v>
      </c>
      <c r="K23" s="302">
        <f>J$24+H4</f>
        <v>476</v>
      </c>
      <c r="L23" s="302">
        <f t="shared" si="7"/>
        <v>376</v>
      </c>
      <c r="M23" s="303">
        <f t="shared" si="7"/>
        <v>276</v>
      </c>
      <c r="N23" s="185">
        <f>SUM(B23:M23)/12</f>
        <v>310</v>
      </c>
      <c r="O23" s="1">
        <f>SUM(N23:N24)/2</f>
        <v>260</v>
      </c>
      <c r="P23" s="312">
        <f>O23*VLOOKUP(ELS!$A22,'Doanh thu, chi TB hàng tháng'!$B$26:$D$46,3,0)</f>
        <v>39809901.423877321</v>
      </c>
    </row>
    <row r="24" spans="1:16" ht="49.95" customHeight="1" x14ac:dyDescent="0.35">
      <c r="A24" s="298"/>
      <c r="B24" s="302">
        <f>B23-VLOOKUP(A22,'Doanh thu, chi TB hàng tháng'!$B$2:$E$22,4,0)</f>
        <v>244</v>
      </c>
      <c r="C24" s="302">
        <f>C23-VLOOKUP(A22,'Doanh thu, chi TB hàng tháng'!$B$2:$E$22,4,0)</f>
        <v>144</v>
      </c>
      <c r="D24" s="302">
        <f>D23-VLOOKUP($A$22,'Doanh thu, chi TB hàng tháng'!$B$2:$E$22,4,0)</f>
        <v>44</v>
      </c>
      <c r="E24" s="302">
        <f>E23-VLOOKUP($A$22,'Doanh thu, chi TB hàng tháng'!$B$2:$E$22,4,0)</f>
        <v>288</v>
      </c>
      <c r="F24" s="302">
        <f>F23-VLOOKUP($A$22,'Doanh thu, chi TB hàng tháng'!$B$2:$E$22,4,0)</f>
        <v>188</v>
      </c>
      <c r="G24" s="302">
        <f>G23-VLOOKUP($A$22,'Doanh thu, chi TB hàng tháng'!$B$2:$E$22,4,0)</f>
        <v>88</v>
      </c>
      <c r="H24" s="302">
        <f>H23-VLOOKUP($A$22,'Doanh thu, chi TB hàng tháng'!$B$2:$E$22,4,0)</f>
        <v>332</v>
      </c>
      <c r="I24" s="302">
        <f>I23-VLOOKUP($A$22,'Doanh thu, chi TB hàng tháng'!$B$2:$E$22,4,0)</f>
        <v>232</v>
      </c>
      <c r="J24" s="302">
        <f>J23-VLOOKUP($A$22,'Doanh thu, chi TB hàng tháng'!$B$2:$E$22,4,0)</f>
        <v>132</v>
      </c>
      <c r="K24" s="302">
        <f>K23-VLOOKUP($A$22,'Doanh thu, chi TB hàng tháng'!$B$2:$E$22,4,0)</f>
        <v>376</v>
      </c>
      <c r="L24" s="302">
        <f>L23-VLOOKUP($A$22,'Doanh thu, chi TB hàng tháng'!$B$2:$E$22,4,0)</f>
        <v>276</v>
      </c>
      <c r="M24" s="303">
        <f>M23-VLOOKUP($A$22,'Doanh thu, chi TB hàng tháng'!$B$2:$E$22,4,0)</f>
        <v>176</v>
      </c>
      <c r="N24" s="1">
        <f>SUM(B24:M24)/12</f>
        <v>210</v>
      </c>
    </row>
    <row r="25" spans="1:16" ht="49.95" customHeight="1" x14ac:dyDescent="0.35">
      <c r="A25" s="298" t="str">
        <f>A5</f>
        <v>Hạt khô bổ sung rau củ LuxPaws</v>
      </c>
      <c r="B25" s="304"/>
      <c r="C25" s="305"/>
      <c r="D25" s="305"/>
      <c r="E25" s="305"/>
      <c r="F25" s="304"/>
      <c r="G25" s="305"/>
      <c r="H25" s="305"/>
      <c r="I25" s="305"/>
      <c r="J25" s="304"/>
      <c r="K25" s="305"/>
      <c r="L25" s="305"/>
      <c r="M25" s="306"/>
    </row>
    <row r="26" spans="1:16" ht="49.95" customHeight="1" x14ac:dyDescent="0.35">
      <c r="A26" s="298"/>
      <c r="B26" s="302">
        <f>H5</f>
        <v>409</v>
      </c>
      <c r="C26" s="302">
        <f>B$27</f>
        <v>309</v>
      </c>
      <c r="D26" s="302">
        <f>C27</f>
        <v>209</v>
      </c>
      <c r="E26" s="302">
        <f>D$27+VLOOKUP($A$25,$A$2:$H$13,8,0)</f>
        <v>518</v>
      </c>
      <c r="F26" s="302">
        <f t="shared" ref="F26" si="8">E$27</f>
        <v>418</v>
      </c>
      <c r="G26" s="302">
        <f t="shared" ref="G26" si="9">F$24</f>
        <v>188</v>
      </c>
      <c r="H26" s="302">
        <f>G$27+VLOOKUP($A$25,$A$2:$H$13,8,0)</f>
        <v>497</v>
      </c>
      <c r="I26" s="302">
        <f t="shared" ref="I26" si="10">H$27</f>
        <v>397</v>
      </c>
      <c r="J26" s="302">
        <f>I$27</f>
        <v>297</v>
      </c>
      <c r="K26" s="302">
        <f>J$27+VLOOKUP($A$25,$A$2:$H$13,8,0)</f>
        <v>606</v>
      </c>
      <c r="L26" s="302">
        <f t="shared" ref="L26" si="11">K$27</f>
        <v>506</v>
      </c>
      <c r="M26" s="303">
        <f>L$27</f>
        <v>406</v>
      </c>
      <c r="N26" s="185">
        <f>SUM(B26:M26)/12</f>
        <v>396.66666666666669</v>
      </c>
      <c r="O26" s="1">
        <f>SUM(N26:N27)/2</f>
        <v>346.66666666666669</v>
      </c>
      <c r="P26" s="312">
        <f>O26*VLOOKUP(ELS!$A25,'Doanh thu, chi TB hàng tháng'!$B$26:$D$46,3,0)</f>
        <v>37479868.565169774</v>
      </c>
    </row>
    <row r="27" spans="1:16" ht="49.95" customHeight="1" x14ac:dyDescent="0.35">
      <c r="A27" s="298"/>
      <c r="B27" s="302">
        <f>B26-VLOOKUP(A25,'Doanh thu, chi TB hàng tháng'!$B$2:$E$22,4,0)</f>
        <v>309</v>
      </c>
      <c r="C27" s="302">
        <f>C26-VLOOKUP($A$25,'Doanh thu, chi TB hàng tháng'!$B$2:$E$22,4,0)</f>
        <v>209</v>
      </c>
      <c r="D27" s="302">
        <f>D26-VLOOKUP($A$22,'Doanh thu, chi TB hàng tháng'!$B$2:$E$22,4,0)</f>
        <v>109</v>
      </c>
      <c r="E27" s="302">
        <f>E26-VLOOKUP($A$22,'Doanh thu, chi TB hàng tháng'!$B$2:$E$22,4,0)</f>
        <v>418</v>
      </c>
      <c r="F27" s="302">
        <f>F26-VLOOKUP($A$25,'Doanh thu, chi TB hàng tháng'!$B$2:$E$22,4,0)</f>
        <v>318</v>
      </c>
      <c r="G27" s="302">
        <f>G26-VLOOKUP($A$22,'Doanh thu, chi TB hàng tháng'!$B$2:$E$22,4,0)</f>
        <v>88</v>
      </c>
      <c r="H27" s="302">
        <f>H26-VLOOKUP($A$22,'Doanh thu, chi TB hàng tháng'!$B$2:$E$22,4,0)</f>
        <v>397</v>
      </c>
      <c r="I27" s="302">
        <f>I26-VLOOKUP($A$25,'Doanh thu, chi TB hàng tháng'!$B$2:$E$22,4,0)</f>
        <v>297</v>
      </c>
      <c r="J27" s="302">
        <f>J26-VLOOKUP($A$22,'Doanh thu, chi TB hàng tháng'!$B$2:$E$22,4,0)</f>
        <v>197</v>
      </c>
      <c r="K27" s="302">
        <f>K26-VLOOKUP($A$22,'Doanh thu, chi TB hàng tháng'!$B$2:$E$22,4,0)</f>
        <v>506</v>
      </c>
      <c r="L27" s="302">
        <f>L26-VLOOKUP($A$25,'Doanh thu, chi TB hàng tháng'!$B$2:$E$22,4,0)</f>
        <v>406</v>
      </c>
      <c r="M27" s="303">
        <f>M26-VLOOKUP($A$22,'Doanh thu, chi TB hàng tháng'!$B$2:$E$22,4,0)</f>
        <v>306</v>
      </c>
      <c r="N27" s="185">
        <f>SUM(B27:M27)/12</f>
        <v>296.66666666666669</v>
      </c>
    </row>
    <row r="28" spans="1:16" ht="49.95" customHeight="1" x14ac:dyDescent="0.35">
      <c r="A28" s="298" t="str">
        <f>A6</f>
        <v>Combo 4 loại hỗn hợp LuxPaws</v>
      </c>
      <c r="B28" s="299"/>
      <c r="C28" s="300"/>
      <c r="D28" s="299"/>
      <c r="E28" s="300"/>
      <c r="F28" s="299"/>
      <c r="G28" s="300"/>
      <c r="H28" s="299"/>
      <c r="I28" s="300"/>
      <c r="J28" s="299"/>
      <c r="K28" s="300"/>
      <c r="L28" s="299"/>
      <c r="M28" s="301"/>
    </row>
    <row r="29" spans="1:16" ht="49.95" customHeight="1" x14ac:dyDescent="0.35">
      <c r="A29" s="298"/>
      <c r="B29" s="302">
        <f>H6</f>
        <v>156</v>
      </c>
      <c r="C29" s="302">
        <f>B$30</f>
        <v>86</v>
      </c>
      <c r="D29" s="302">
        <f>C$30+VLOOKUP($A$28,$A$2:$H$13,8,0)</f>
        <v>172</v>
      </c>
      <c r="E29" s="302">
        <f t="shared" ref="E29" si="12">D$30</f>
        <v>102</v>
      </c>
      <c r="F29" s="302">
        <f t="shared" ref="F29" si="13">E$30+VLOOKUP($A$28,$A$2:$H$13,8,0)</f>
        <v>188</v>
      </c>
      <c r="G29" s="302">
        <f t="shared" ref="G29" si="14">F$30</f>
        <v>118</v>
      </c>
      <c r="H29" s="302">
        <f t="shared" ref="H29" si="15">G$30+VLOOKUP($A$28,$A$2:$H$13,8,0)</f>
        <v>204</v>
      </c>
      <c r="I29" s="302">
        <f t="shared" ref="I29" si="16">H$30</f>
        <v>134</v>
      </c>
      <c r="J29" s="302">
        <f t="shared" ref="J29" si="17">I$30+VLOOKUP($A$28,$A$2:$H$13,8,0)</f>
        <v>220</v>
      </c>
      <c r="K29" s="302">
        <f t="shared" ref="K29" si="18">J$30</f>
        <v>150</v>
      </c>
      <c r="L29" s="302">
        <f>K$30+VLOOKUP($A$28,$A$2:$H$13,8,0)</f>
        <v>236</v>
      </c>
      <c r="M29" s="303">
        <f t="shared" ref="M29" si="19">L$30</f>
        <v>166</v>
      </c>
      <c r="N29" s="185">
        <f t="shared" ref="N29:N30" si="20">SUM(B29:M29)/12</f>
        <v>161</v>
      </c>
      <c r="O29" s="1">
        <f t="shared" ref="O29" si="21">SUM(N29:N30)/2</f>
        <v>126</v>
      </c>
      <c r="P29" s="312">
        <f>O29*VLOOKUP(ELS!$A28,'Doanh thu, chi TB hàng tháng'!$B$26:$D$46,3,0)</f>
        <v>65786490.690032855</v>
      </c>
    </row>
    <row r="30" spans="1:16" ht="49.95" customHeight="1" x14ac:dyDescent="0.35">
      <c r="A30" s="298"/>
      <c r="B30" s="302">
        <f>B29-VLOOKUP(A28,'Doanh thu, chi TB hàng tháng'!$B$2:$E$22,4,0)</f>
        <v>86</v>
      </c>
      <c r="C30" s="302">
        <f>C29-VLOOKUP($A$28,'Doanh thu, chi TB hàng tháng'!$B$2:$E$22,4,0)</f>
        <v>16</v>
      </c>
      <c r="D30" s="302">
        <f>D29-VLOOKUP($A$28,'Doanh thu, chi TB hàng tháng'!$B$2:$E$22,4,0)</f>
        <v>102</v>
      </c>
      <c r="E30" s="302">
        <f>E29-VLOOKUP($A$28,'Doanh thu, chi TB hàng tháng'!$B$2:$E$22,4,0)</f>
        <v>32</v>
      </c>
      <c r="F30" s="302">
        <f>F29-VLOOKUP($A$28,'Doanh thu, chi TB hàng tháng'!$B$2:$E$22,4,0)</f>
        <v>118</v>
      </c>
      <c r="G30" s="302">
        <f>G29-VLOOKUP($A$28,'Doanh thu, chi TB hàng tháng'!$B$2:$E$22,4,0)</f>
        <v>48</v>
      </c>
      <c r="H30" s="302">
        <f>H29-VLOOKUP($A$28,'Doanh thu, chi TB hàng tháng'!$B$2:$E$22,4,0)</f>
        <v>134</v>
      </c>
      <c r="I30" s="302">
        <f>I29-VLOOKUP($A$28,'Doanh thu, chi TB hàng tháng'!$B$2:$E$22,4,0)</f>
        <v>64</v>
      </c>
      <c r="J30" s="302">
        <f>J29-VLOOKUP($A$28,'Doanh thu, chi TB hàng tháng'!$B$2:$E$22,4,0)</f>
        <v>150</v>
      </c>
      <c r="K30" s="302">
        <f>K29-VLOOKUP($A$28,'Doanh thu, chi TB hàng tháng'!$B$2:$E$22,4,0)</f>
        <v>80</v>
      </c>
      <c r="L30" s="302">
        <f>L29-VLOOKUP($A$28,'Doanh thu, chi TB hàng tháng'!$B$2:$E$22,4,0)</f>
        <v>166</v>
      </c>
      <c r="M30" s="303">
        <f>M29-VLOOKUP($A$28,'Doanh thu, chi TB hàng tháng'!$B$2:$E$22,4,0)</f>
        <v>96</v>
      </c>
      <c r="N30" s="185">
        <f t="shared" si="20"/>
        <v>91</v>
      </c>
    </row>
    <row r="31" spans="1:16" ht="49.95" customHeight="1" x14ac:dyDescent="0.35">
      <c r="A31" s="298" t="str">
        <f>A7</f>
        <v>Sữa hạt lanh LuxPaws</v>
      </c>
      <c r="B31" s="299"/>
      <c r="C31" s="300"/>
      <c r="D31" s="300"/>
      <c r="E31" s="300"/>
      <c r="F31" s="300"/>
      <c r="G31" s="300"/>
      <c r="H31" s="300"/>
      <c r="I31" s="300"/>
      <c r="J31" s="300"/>
      <c r="K31" s="299"/>
      <c r="L31" s="300"/>
      <c r="M31" s="301"/>
    </row>
    <row r="32" spans="1:16" ht="49.95" customHeight="1" x14ac:dyDescent="0.35">
      <c r="A32" s="298"/>
      <c r="B32" s="302">
        <f>H7</f>
        <v>723</v>
      </c>
      <c r="C32" s="302">
        <f>B$33</f>
        <v>648</v>
      </c>
      <c r="D32" s="302">
        <f t="shared" ref="D32:G32" si="22">C$33</f>
        <v>573</v>
      </c>
      <c r="E32" s="302">
        <f t="shared" si="22"/>
        <v>498</v>
      </c>
      <c r="F32" s="302">
        <f t="shared" si="22"/>
        <v>423</v>
      </c>
      <c r="G32" s="302">
        <f t="shared" si="22"/>
        <v>348</v>
      </c>
      <c r="H32" s="302">
        <f>G33</f>
        <v>273</v>
      </c>
      <c r="I32" s="302">
        <f>H$33</f>
        <v>198</v>
      </c>
      <c r="J32" s="302">
        <f>I$33</f>
        <v>123</v>
      </c>
      <c r="K32" s="302">
        <f>J$33+VLOOKUP($A$31,$A$2:$H$13,8,0)</f>
        <v>771</v>
      </c>
      <c r="L32" s="302">
        <f t="shared" ref="J32:M32" si="23">K$33</f>
        <v>696</v>
      </c>
      <c r="M32" s="303">
        <f>L$33</f>
        <v>621</v>
      </c>
      <c r="N32" s="185">
        <f t="shared" ref="N32:N33" si="24">SUM(B32:M32)/12</f>
        <v>491.25</v>
      </c>
      <c r="O32" s="1">
        <f t="shared" ref="O32" si="25">SUM(N32:N33)/2</f>
        <v>453.75</v>
      </c>
      <c r="P32" s="312">
        <f>O32*VLOOKUP(ELS!$A31,'Doanh thu, chi TB hàng tháng'!$B$26:$D$46,3,0)</f>
        <v>11749858.73493976</v>
      </c>
    </row>
    <row r="33" spans="1:16" ht="49.95" customHeight="1" x14ac:dyDescent="0.35">
      <c r="A33" s="298"/>
      <c r="B33" s="302">
        <f>B32-VLOOKUP(A31,'Doanh thu, chi TB hàng tháng'!$B$2:$E$22,4,0)</f>
        <v>648</v>
      </c>
      <c r="C33" s="302">
        <f>C32-VLOOKUP($A$31,'Doanh thu, chi TB hàng tháng'!$B$2:$E$22,4,0)</f>
        <v>573</v>
      </c>
      <c r="D33" s="302">
        <f>D32-VLOOKUP($A$31,'Doanh thu, chi TB hàng tháng'!$B$2:$E$22,4,0)</f>
        <v>498</v>
      </c>
      <c r="E33" s="302">
        <f>E32-VLOOKUP($A$31,'Doanh thu, chi TB hàng tháng'!$B$2:$E$22,4,0)</f>
        <v>423</v>
      </c>
      <c r="F33" s="302">
        <f>F32-VLOOKUP($A$31,'Doanh thu, chi TB hàng tháng'!$B$2:$E$22,4,0)</f>
        <v>348</v>
      </c>
      <c r="G33" s="302">
        <f>G32-VLOOKUP($A$31,'Doanh thu, chi TB hàng tháng'!$B$2:$E$22,4,0)</f>
        <v>273</v>
      </c>
      <c r="H33" s="302">
        <f>H32-VLOOKUP($A$31,'Doanh thu, chi TB hàng tháng'!$B$2:$E$22,4,0)</f>
        <v>198</v>
      </c>
      <c r="I33" s="302">
        <f>I32-VLOOKUP($A$31,'Doanh thu, chi TB hàng tháng'!$B$2:$E$22,4,0)</f>
        <v>123</v>
      </c>
      <c r="J33" s="302">
        <f>J32-VLOOKUP($A$31,'Doanh thu, chi TB hàng tháng'!$B$2:$E$22,4,0)</f>
        <v>48</v>
      </c>
      <c r="K33" s="302">
        <f>K32-VLOOKUP($A$31,'Doanh thu, chi TB hàng tháng'!$B$2:$E$22,4,0)</f>
        <v>696</v>
      </c>
      <c r="L33" s="302">
        <f>L32-VLOOKUP($A$31,'Doanh thu, chi TB hàng tháng'!$B$2:$E$22,4,0)</f>
        <v>621</v>
      </c>
      <c r="M33" s="303">
        <f>M32-VLOOKUP($A$31,'Doanh thu, chi TB hàng tháng'!$B$2:$E$22,4,0)</f>
        <v>546</v>
      </c>
      <c r="N33" s="185">
        <f t="shared" si="24"/>
        <v>416.25</v>
      </c>
    </row>
    <row r="34" spans="1:16" ht="49.95" customHeight="1" x14ac:dyDescent="0.35">
      <c r="A34" s="298" t="str">
        <f>A8</f>
        <v>Sữa bột pha sẵn LuxPaws</v>
      </c>
      <c r="B34" s="299"/>
      <c r="C34" s="300"/>
      <c r="D34" s="300"/>
      <c r="E34" s="300"/>
      <c r="F34" s="300"/>
      <c r="G34" s="300"/>
      <c r="H34" s="300"/>
      <c r="I34" s="300"/>
      <c r="J34" s="299"/>
      <c r="K34" s="300"/>
      <c r="L34" s="300"/>
      <c r="M34" s="301"/>
    </row>
    <row r="35" spans="1:16" ht="49.95" customHeight="1" x14ac:dyDescent="0.35">
      <c r="A35" s="298"/>
      <c r="B35" s="302">
        <f>A$36+VLOOKUP($A$34,$A$2:$H$13,8,0)</f>
        <v>800</v>
      </c>
      <c r="C35" s="302">
        <f>B36</f>
        <v>710</v>
      </c>
      <c r="D35" s="302">
        <f t="shared" ref="D35:I35" si="26">C36</f>
        <v>620</v>
      </c>
      <c r="E35" s="302">
        <f t="shared" si="26"/>
        <v>530</v>
      </c>
      <c r="F35" s="302">
        <f t="shared" si="26"/>
        <v>440</v>
      </c>
      <c r="G35" s="302">
        <f t="shared" si="26"/>
        <v>350</v>
      </c>
      <c r="H35" s="302">
        <f t="shared" si="26"/>
        <v>260</v>
      </c>
      <c r="I35" s="302">
        <f t="shared" si="26"/>
        <v>170</v>
      </c>
      <c r="J35" s="302">
        <f>I$36+VLOOKUP($A$34,$A$2:$H$13,8,0)</f>
        <v>880</v>
      </c>
      <c r="K35" s="302">
        <f>J36</f>
        <v>790</v>
      </c>
      <c r="L35" s="302">
        <f t="shared" ref="L35:N35" si="27">K36</f>
        <v>700</v>
      </c>
      <c r="M35" s="303">
        <f t="shared" si="27"/>
        <v>610</v>
      </c>
      <c r="N35" s="185">
        <f t="shared" ref="N35:N51" si="28">SUM(B35:M35)/12</f>
        <v>571.66666666666663</v>
      </c>
      <c r="O35" s="1">
        <f t="shared" ref="O35:O51" si="29">SUM(N35:N36)/2</f>
        <v>526.66666666666663</v>
      </c>
      <c r="P35" s="312">
        <f>O35*VLOOKUP(ELS!$A34,'Doanh thu, chi TB hàng tháng'!$B$26:$D$46,3,0)</f>
        <v>13374702.884264329</v>
      </c>
    </row>
    <row r="36" spans="1:16" ht="49.95" customHeight="1" x14ac:dyDescent="0.35">
      <c r="A36" s="298"/>
      <c r="B36" s="302">
        <f>B35-VLOOKUP($A$34,'Doanh thu, chi TB hàng tháng'!$B$2:$E$22,4,0)</f>
        <v>710</v>
      </c>
      <c r="C36" s="302">
        <f>C35-VLOOKUP($A$34,'Doanh thu, chi TB hàng tháng'!$B$2:$E$22,4,0)</f>
        <v>620</v>
      </c>
      <c r="D36" s="302">
        <f>D35-VLOOKUP($A$34,'Doanh thu, chi TB hàng tháng'!$B$2:$E$22,4,0)</f>
        <v>530</v>
      </c>
      <c r="E36" s="302">
        <f>E35-VLOOKUP($A$34,'Doanh thu, chi TB hàng tháng'!$B$2:$E$22,4,0)</f>
        <v>440</v>
      </c>
      <c r="F36" s="302">
        <f>F35-VLOOKUP($A$34,'Doanh thu, chi TB hàng tháng'!$B$2:$E$22,4,0)</f>
        <v>350</v>
      </c>
      <c r="G36" s="302">
        <f>G35-VLOOKUP($A$34,'Doanh thu, chi TB hàng tháng'!$B$2:$E$22,4,0)</f>
        <v>260</v>
      </c>
      <c r="H36" s="302">
        <f>H35-VLOOKUP($A$34,'Doanh thu, chi TB hàng tháng'!$B$2:$E$22,4,0)</f>
        <v>170</v>
      </c>
      <c r="I36" s="302">
        <f>I35-VLOOKUP($A$34,'Doanh thu, chi TB hàng tháng'!$B$2:$E$22,4,0)</f>
        <v>80</v>
      </c>
      <c r="J36" s="302">
        <f>J35-VLOOKUP($A$34,'Doanh thu, chi TB hàng tháng'!$B$2:$E$22,4,0)</f>
        <v>790</v>
      </c>
      <c r="K36" s="302">
        <f>K35-VLOOKUP($A$34,'Doanh thu, chi TB hàng tháng'!$B$2:$E$22,4,0)</f>
        <v>700</v>
      </c>
      <c r="L36" s="302">
        <f>L35-VLOOKUP($A$34,'Doanh thu, chi TB hàng tháng'!$B$2:$E$22,4,0)</f>
        <v>610</v>
      </c>
      <c r="M36" s="303">
        <f>M35-VLOOKUP($A$34,'Doanh thu, chi TB hàng tháng'!$B$2:$E$22,4,0)</f>
        <v>520</v>
      </c>
      <c r="N36" s="185">
        <f t="shared" si="28"/>
        <v>481.66666666666669</v>
      </c>
    </row>
    <row r="37" spans="1:16" ht="49.95" customHeight="1" x14ac:dyDescent="0.35">
      <c r="A37" s="298" t="str">
        <f>A9</f>
        <v>Pate gà LuxPaws</v>
      </c>
      <c r="B37" s="299"/>
      <c r="C37" s="300"/>
      <c r="D37" s="300"/>
      <c r="E37" s="300"/>
      <c r="F37" s="300"/>
      <c r="G37" s="300"/>
      <c r="H37" s="300"/>
      <c r="I37" s="299"/>
      <c r="J37" s="300"/>
      <c r="K37" s="300"/>
      <c r="L37" s="300"/>
      <c r="M37" s="301"/>
    </row>
    <row r="38" spans="1:16" ht="49.95" customHeight="1" x14ac:dyDescent="0.35">
      <c r="A38" s="298"/>
      <c r="B38" s="302">
        <f>A$39+VLOOKUP($A$37,$A$2:$H$13,8,0)</f>
        <v>717</v>
      </c>
      <c r="C38" s="302">
        <f>B39</f>
        <v>617</v>
      </c>
      <c r="D38" s="302">
        <f t="shared" ref="D38:N38" si="30">C39</f>
        <v>517</v>
      </c>
      <c r="E38" s="302">
        <f t="shared" si="30"/>
        <v>417</v>
      </c>
      <c r="F38" s="302">
        <f t="shared" si="30"/>
        <v>317</v>
      </c>
      <c r="G38" s="302">
        <f t="shared" si="30"/>
        <v>217</v>
      </c>
      <c r="H38" s="302">
        <f t="shared" si="30"/>
        <v>117</v>
      </c>
      <c r="I38" s="302">
        <f>H$39+VLOOKUP($A$37,$A$2:$H$13,8,0)</f>
        <v>734</v>
      </c>
      <c r="J38" s="302">
        <f>I39</f>
        <v>634</v>
      </c>
      <c r="K38" s="302">
        <f t="shared" si="30"/>
        <v>534</v>
      </c>
      <c r="L38" s="302">
        <f t="shared" si="30"/>
        <v>434</v>
      </c>
      <c r="M38" s="303">
        <f t="shared" si="30"/>
        <v>334</v>
      </c>
      <c r="N38" s="185">
        <f t="shared" ref="N38:N51" si="31">SUM(B38:M38)/12</f>
        <v>465.75</v>
      </c>
      <c r="O38" s="1">
        <f t="shared" ref="O38:O51" si="32">SUM(N38:N39)/2</f>
        <v>415.75</v>
      </c>
      <c r="P38" s="312">
        <f>O38*VLOOKUP(ELS!$A37,'Doanh thu, chi TB hàng tháng'!$B$26:$D$46,3,0)</f>
        <v>14599063.526834611</v>
      </c>
    </row>
    <row r="39" spans="1:16" ht="49.95" customHeight="1" x14ac:dyDescent="0.35">
      <c r="A39" s="298"/>
      <c r="B39" s="302">
        <f>B38-VLOOKUP($A$37,'Doanh thu, chi TB hàng tháng'!$B$2:$E$22,4,0)</f>
        <v>617</v>
      </c>
      <c r="C39" s="302">
        <f>C38-VLOOKUP($A$37,'Doanh thu, chi TB hàng tháng'!$B$2:$E$22,4,0)</f>
        <v>517</v>
      </c>
      <c r="D39" s="302">
        <f>D38-VLOOKUP($A$37,'Doanh thu, chi TB hàng tháng'!$B$2:$E$22,4,0)</f>
        <v>417</v>
      </c>
      <c r="E39" s="302">
        <f>E38-VLOOKUP($A$37,'Doanh thu, chi TB hàng tháng'!$B$2:$E$22,4,0)</f>
        <v>317</v>
      </c>
      <c r="F39" s="302">
        <f>F38-VLOOKUP($A$37,'Doanh thu, chi TB hàng tháng'!$B$2:$E$22,4,0)</f>
        <v>217</v>
      </c>
      <c r="G39" s="302">
        <f>G38-VLOOKUP($A$37,'Doanh thu, chi TB hàng tháng'!$B$2:$E$22,4,0)</f>
        <v>117</v>
      </c>
      <c r="H39" s="302">
        <f>H38-VLOOKUP($A$37,'Doanh thu, chi TB hàng tháng'!$B$2:$E$22,4,0)</f>
        <v>17</v>
      </c>
      <c r="I39" s="302">
        <f>I38-VLOOKUP($A$37,'Doanh thu, chi TB hàng tháng'!$B$2:$E$22,4,0)</f>
        <v>634</v>
      </c>
      <c r="J39" s="302">
        <f>J38-VLOOKUP($A$37,'Doanh thu, chi TB hàng tháng'!$B$2:$E$22,4,0)</f>
        <v>534</v>
      </c>
      <c r="K39" s="302">
        <f>K38-VLOOKUP($A$37,'Doanh thu, chi TB hàng tháng'!$B$2:$E$22,4,0)</f>
        <v>434</v>
      </c>
      <c r="L39" s="302">
        <f>L38-VLOOKUP($A$37,'Doanh thu, chi TB hàng tháng'!$B$2:$E$22,4,0)</f>
        <v>334</v>
      </c>
      <c r="M39" s="303">
        <f>M38-VLOOKUP($A$37,'Doanh thu, chi TB hàng tháng'!$B$2:$E$22,4,0)</f>
        <v>234</v>
      </c>
      <c r="N39" s="185">
        <f t="shared" si="31"/>
        <v>365.75</v>
      </c>
    </row>
    <row r="40" spans="1:16" ht="49.95" customHeight="1" x14ac:dyDescent="0.35">
      <c r="A40" s="298" t="str">
        <f>A10</f>
        <v>Pate heo LuxPaws</v>
      </c>
      <c r="B40" s="299"/>
      <c r="C40" s="300"/>
      <c r="D40" s="300"/>
      <c r="E40" s="300"/>
      <c r="F40" s="300"/>
      <c r="G40" s="299"/>
      <c r="H40" s="300"/>
      <c r="I40" s="300"/>
      <c r="J40" s="300"/>
      <c r="K40" s="300"/>
      <c r="L40" s="299"/>
      <c r="M40" s="301"/>
    </row>
    <row r="41" spans="1:16" ht="49.95" customHeight="1" x14ac:dyDescent="0.35">
      <c r="A41" s="298"/>
      <c r="B41" s="302">
        <f>A$42+VLOOKUP($A$40,$A$2:$H$13,8,0)</f>
        <v>572</v>
      </c>
      <c r="C41" s="302">
        <f>B42</f>
        <v>472</v>
      </c>
      <c r="D41" s="302">
        <f t="shared" ref="D41:F41" si="33">C42</f>
        <v>372</v>
      </c>
      <c r="E41" s="302">
        <f t="shared" si="33"/>
        <v>272</v>
      </c>
      <c r="F41" s="302">
        <f t="shared" si="33"/>
        <v>172</v>
      </c>
      <c r="G41" s="302">
        <f t="shared" ref="G41:N41" si="34">F$42+VLOOKUP($A$40,$A$2:$H$13,8,0)</f>
        <v>644</v>
      </c>
      <c r="H41" s="302">
        <f t="shared" ref="H41:N41" si="35">G42</f>
        <v>544</v>
      </c>
      <c r="I41" s="302">
        <f t="shared" si="35"/>
        <v>444</v>
      </c>
      <c r="J41" s="302">
        <f t="shared" si="35"/>
        <v>344</v>
      </c>
      <c r="K41" s="302">
        <f t="shared" si="35"/>
        <v>244</v>
      </c>
      <c r="L41" s="302">
        <f t="shared" ref="L41:N41" si="36">K$42+VLOOKUP($A$40,$A$2:$H$13,8,0)</f>
        <v>716</v>
      </c>
      <c r="M41" s="303">
        <f t="shared" ref="M41:N41" si="37">L42</f>
        <v>616</v>
      </c>
      <c r="N41" s="185">
        <f t="shared" ref="N41:N51" si="38">SUM(B41:M41)/12</f>
        <v>451</v>
      </c>
      <c r="O41" s="1">
        <f t="shared" ref="O41:O51" si="39">SUM(N41:N42)/2</f>
        <v>401</v>
      </c>
      <c r="P41" s="312">
        <f>O41*VLOOKUP(ELS!$A40,'Doanh thu, chi TB hàng tháng'!$B$26:$D$46,3,0)</f>
        <v>22101117.196056955</v>
      </c>
    </row>
    <row r="42" spans="1:16" ht="49.95" customHeight="1" x14ac:dyDescent="0.35">
      <c r="A42" s="298"/>
      <c r="B42" s="302">
        <f>B41-VLOOKUP($A$40,'Doanh thu, chi TB hàng tháng'!$B$2:$E$22,4,0)</f>
        <v>472</v>
      </c>
      <c r="C42" s="302">
        <f>C41-VLOOKUP($A$40,'Doanh thu, chi TB hàng tháng'!$B$2:$E$22,4,0)</f>
        <v>372</v>
      </c>
      <c r="D42" s="302">
        <f>D41-VLOOKUP($A$40,'Doanh thu, chi TB hàng tháng'!$B$2:$E$22,4,0)</f>
        <v>272</v>
      </c>
      <c r="E42" s="302">
        <f>E41-VLOOKUP($A$40,'Doanh thu, chi TB hàng tháng'!$B$2:$E$22,4,0)</f>
        <v>172</v>
      </c>
      <c r="F42" s="302">
        <f>F41-VLOOKUP($A$40,'Doanh thu, chi TB hàng tháng'!$B$2:$E$22,4,0)</f>
        <v>72</v>
      </c>
      <c r="G42" s="302">
        <f>G41-VLOOKUP($A$40,'Doanh thu, chi TB hàng tháng'!$B$2:$E$22,4,0)</f>
        <v>544</v>
      </c>
      <c r="H42" s="302">
        <f>H41-VLOOKUP($A$40,'Doanh thu, chi TB hàng tháng'!$B$2:$E$22,4,0)</f>
        <v>444</v>
      </c>
      <c r="I42" s="302">
        <f>I41-VLOOKUP($A$40,'Doanh thu, chi TB hàng tháng'!$B$2:$E$22,4,0)</f>
        <v>344</v>
      </c>
      <c r="J42" s="302">
        <f>J41-VLOOKUP($A$40,'Doanh thu, chi TB hàng tháng'!$B$2:$E$22,4,0)</f>
        <v>244</v>
      </c>
      <c r="K42" s="302">
        <f>K41-VLOOKUP($A$40,'Doanh thu, chi TB hàng tháng'!$B$2:$E$22,4,0)</f>
        <v>144</v>
      </c>
      <c r="L42" s="302">
        <f>L41-VLOOKUP($A$40,'Doanh thu, chi TB hàng tháng'!$B$2:$E$22,4,0)</f>
        <v>616</v>
      </c>
      <c r="M42" s="303">
        <f>M41-VLOOKUP($A$40,'Doanh thu, chi TB hàng tháng'!$B$2:$E$22,4,0)</f>
        <v>516</v>
      </c>
      <c r="N42" s="185">
        <f t="shared" si="38"/>
        <v>351</v>
      </c>
    </row>
    <row r="43" spans="1:16" ht="49.95" customHeight="1" x14ac:dyDescent="0.35">
      <c r="A43" s="298" t="str">
        <f>A11</f>
        <v>Pate hỗn hợp LuxPaws</v>
      </c>
      <c r="B43" s="299"/>
      <c r="C43" s="300"/>
      <c r="D43" s="300"/>
      <c r="E43" s="300"/>
      <c r="F43" s="300"/>
      <c r="G43" s="299"/>
      <c r="H43" s="300"/>
      <c r="I43" s="300"/>
      <c r="J43" s="300"/>
      <c r="K43" s="300"/>
      <c r="L43" s="299"/>
      <c r="M43" s="301"/>
    </row>
    <row r="44" spans="1:16" ht="49.95" customHeight="1" x14ac:dyDescent="0.35">
      <c r="A44" s="298"/>
      <c r="B44" s="302">
        <f>A$45+VLOOKUP($A$43,$A$2:$H$13,8,0)</f>
        <v>544</v>
      </c>
      <c r="C44" s="302">
        <f>B45</f>
        <v>444</v>
      </c>
      <c r="D44" s="302">
        <f t="shared" ref="D44:F44" si="40">C45</f>
        <v>344</v>
      </c>
      <c r="E44" s="302">
        <f t="shared" si="40"/>
        <v>244</v>
      </c>
      <c r="F44" s="302">
        <f t="shared" si="40"/>
        <v>144</v>
      </c>
      <c r="G44" s="302">
        <f t="shared" ref="G44:N44" si="41">F$45+VLOOKUP($A$43,$A$2:$H$13,8,0)</f>
        <v>588</v>
      </c>
      <c r="H44" s="302">
        <f t="shared" ref="H44:N44" si="42">G45</f>
        <v>488</v>
      </c>
      <c r="I44" s="302">
        <f t="shared" si="42"/>
        <v>388</v>
      </c>
      <c r="J44" s="302">
        <f t="shared" si="42"/>
        <v>288</v>
      </c>
      <c r="K44" s="302">
        <f t="shared" si="42"/>
        <v>188</v>
      </c>
      <c r="L44" s="302">
        <f t="shared" ref="L44:N44" si="43">K$45+VLOOKUP($A$43,$A$2:$H$13,8,0)</f>
        <v>632</v>
      </c>
      <c r="M44" s="303">
        <f t="shared" ref="M44:N44" si="44">L45</f>
        <v>532</v>
      </c>
      <c r="N44" s="185">
        <f t="shared" ref="N44:N51" si="45">SUM(B44:M44)/12</f>
        <v>402</v>
      </c>
      <c r="O44" s="1">
        <f t="shared" ref="O44:O51" si="46">SUM(N44:N45)/2</f>
        <v>352</v>
      </c>
      <c r="P44" s="312">
        <f>O44*VLOOKUP(ELS!$A43,'Doanh thu, chi TB hàng tháng'!$B$26:$D$46,3,0)</f>
        <v>21512481.927710842</v>
      </c>
    </row>
    <row r="45" spans="1:16" ht="49.95" customHeight="1" x14ac:dyDescent="0.35">
      <c r="A45" s="298"/>
      <c r="B45" s="302">
        <f>B44-VLOOKUP($A$43,'Doanh thu, chi TB hàng tháng'!$B$2:$E$22,4,0)</f>
        <v>444</v>
      </c>
      <c r="C45" s="302">
        <f>C44-VLOOKUP($A$43,'Doanh thu, chi TB hàng tháng'!$B$2:$E$22,4,0)</f>
        <v>344</v>
      </c>
      <c r="D45" s="302">
        <f>D44-VLOOKUP($A$43,'Doanh thu, chi TB hàng tháng'!$B$2:$E$22,4,0)</f>
        <v>244</v>
      </c>
      <c r="E45" s="302">
        <f>E44-VLOOKUP($A$43,'Doanh thu, chi TB hàng tháng'!$B$2:$E$22,4,0)</f>
        <v>144</v>
      </c>
      <c r="F45" s="302">
        <f>F44-VLOOKUP($A$43,'Doanh thu, chi TB hàng tháng'!$B$2:$E$22,4,0)</f>
        <v>44</v>
      </c>
      <c r="G45" s="302">
        <f>G44-VLOOKUP($A$43,'Doanh thu, chi TB hàng tháng'!$B$2:$E$22,4,0)</f>
        <v>488</v>
      </c>
      <c r="H45" s="302">
        <f>H44-VLOOKUP($A$43,'Doanh thu, chi TB hàng tháng'!$B$2:$E$22,4,0)</f>
        <v>388</v>
      </c>
      <c r="I45" s="302">
        <f>I44-VLOOKUP($A$43,'Doanh thu, chi TB hàng tháng'!$B$2:$E$22,4,0)</f>
        <v>288</v>
      </c>
      <c r="J45" s="302">
        <f>J44-VLOOKUP($A$43,'Doanh thu, chi TB hàng tháng'!$B$2:$E$22,4,0)</f>
        <v>188</v>
      </c>
      <c r="K45" s="302">
        <f>K44-VLOOKUP($A$43,'Doanh thu, chi TB hàng tháng'!$B$2:$E$22,4,0)</f>
        <v>88</v>
      </c>
      <c r="L45" s="302">
        <f>L44-VLOOKUP($A$43,'Doanh thu, chi TB hàng tháng'!$B$2:$E$22,4,0)</f>
        <v>532</v>
      </c>
      <c r="M45" s="303">
        <f>M44-VLOOKUP($A$43,'Doanh thu, chi TB hàng tháng'!$B$2:$E$22,4,0)</f>
        <v>432</v>
      </c>
      <c r="N45" s="185">
        <f t="shared" si="45"/>
        <v>302</v>
      </c>
    </row>
    <row r="46" spans="1:16" ht="49.95" customHeight="1" x14ac:dyDescent="0.35">
      <c r="A46" s="298" t="str">
        <f>A12</f>
        <v>Combo 3 loại pate LuxPaws</v>
      </c>
      <c r="B46" s="299"/>
      <c r="C46" s="300"/>
      <c r="D46" s="300"/>
      <c r="E46" s="300"/>
      <c r="F46" s="299"/>
      <c r="G46" s="300"/>
      <c r="H46" s="300"/>
      <c r="I46" s="300"/>
      <c r="J46" s="299"/>
      <c r="K46" s="300"/>
      <c r="L46" s="300"/>
      <c r="M46" s="301"/>
    </row>
    <row r="47" spans="1:16" ht="49.95" customHeight="1" x14ac:dyDescent="0.35">
      <c r="A47" s="298"/>
      <c r="B47" s="302">
        <f>A48+VLOOKUP($A$46,$A$2:$H$13,8,0)</f>
        <v>323</v>
      </c>
      <c r="C47" s="302">
        <f>B48</f>
        <v>253</v>
      </c>
      <c r="D47" s="302">
        <f t="shared" ref="D47" si="47">C$18</f>
        <v>200</v>
      </c>
      <c r="E47" s="302">
        <f t="shared" ref="E47" si="48">D$18</f>
        <v>100</v>
      </c>
      <c r="F47" s="302">
        <f t="shared" ref="F47:N47" si="49">E48+VLOOKUP($A$46,$A$2:$H$13,8,0)</f>
        <v>353</v>
      </c>
      <c r="G47" s="302">
        <f t="shared" ref="G47:N47" si="50">F48</f>
        <v>283</v>
      </c>
      <c r="H47" s="302">
        <f t="shared" ref="H47" si="51">G$18</f>
        <v>200</v>
      </c>
      <c r="I47" s="302">
        <f t="shared" ref="I47" si="52">H$18</f>
        <v>100</v>
      </c>
      <c r="J47" s="302">
        <f t="shared" ref="J47:N47" si="53">I48+VLOOKUP($A$46,$A$2:$H$13,8,0)</f>
        <v>353</v>
      </c>
      <c r="K47" s="302">
        <f t="shared" ref="K47:N47" si="54">J48</f>
        <v>283</v>
      </c>
      <c r="L47" s="302">
        <f t="shared" ref="L47" si="55">K$18</f>
        <v>200</v>
      </c>
      <c r="M47" s="303">
        <f t="shared" ref="M47" si="56">L$18</f>
        <v>100</v>
      </c>
      <c r="N47" s="185">
        <f t="shared" ref="N47:N51" si="57">SUM(B47:M47)/12</f>
        <v>229</v>
      </c>
      <c r="O47" s="1">
        <f t="shared" ref="O47:O51" si="58">SUM(N47:N48)/2</f>
        <v>194</v>
      </c>
      <c r="P47" s="312">
        <f>O47*VLOOKUP(ELS!$A46,'Doanh thu, chi TB hàng tháng'!$B$26:$D$46,3,0)</f>
        <v>23496311.062431544</v>
      </c>
    </row>
    <row r="48" spans="1:16" ht="49.95" customHeight="1" x14ac:dyDescent="0.35">
      <c r="A48" s="298"/>
      <c r="B48" s="302">
        <f>B47-VLOOKUP($A$46,'Doanh thu, chi TB hàng tháng'!$B$2:$E$22,4,0)</f>
        <v>253</v>
      </c>
      <c r="C48" s="302">
        <f>C47-VLOOKUP($A$46,'Doanh thu, chi TB hàng tháng'!$B$2:$E$22,4,0)</f>
        <v>183</v>
      </c>
      <c r="D48" s="302">
        <f>D47-VLOOKUP($A$46,'Doanh thu, chi TB hàng tháng'!$B$2:$E$22,4,0)</f>
        <v>130</v>
      </c>
      <c r="E48" s="302">
        <f>E47-VLOOKUP($A$46,'Doanh thu, chi TB hàng tháng'!$B$2:$E$22,4,0)</f>
        <v>30</v>
      </c>
      <c r="F48" s="302">
        <f>F47-VLOOKUP($A$46,'Doanh thu, chi TB hàng tháng'!$B$2:$E$22,4,0)</f>
        <v>283</v>
      </c>
      <c r="G48" s="302">
        <f>G47-VLOOKUP($A$46,'Doanh thu, chi TB hàng tháng'!$B$2:$E$22,4,0)</f>
        <v>213</v>
      </c>
      <c r="H48" s="302">
        <f>H47-VLOOKUP($A$46,'Doanh thu, chi TB hàng tháng'!$B$2:$E$22,4,0)</f>
        <v>130</v>
      </c>
      <c r="I48" s="302">
        <f>I47-VLOOKUP($A$46,'Doanh thu, chi TB hàng tháng'!$B$2:$E$22,4,0)</f>
        <v>30</v>
      </c>
      <c r="J48" s="302">
        <f>J47-VLOOKUP($A$46,'Doanh thu, chi TB hàng tháng'!$B$2:$E$22,4,0)</f>
        <v>283</v>
      </c>
      <c r="K48" s="302">
        <f>K47-VLOOKUP($A$46,'Doanh thu, chi TB hàng tháng'!$B$2:$E$22,4,0)</f>
        <v>213</v>
      </c>
      <c r="L48" s="302">
        <f>L47-VLOOKUP($A$46,'Doanh thu, chi TB hàng tháng'!$B$2:$E$22,4,0)</f>
        <v>130</v>
      </c>
      <c r="M48" s="303">
        <f>M47-VLOOKUP($A$46,'Doanh thu, chi TB hàng tháng'!$B$2:$E$22,4,0)</f>
        <v>30</v>
      </c>
      <c r="N48" s="185">
        <f t="shared" si="57"/>
        <v>159</v>
      </c>
    </row>
    <row r="49" spans="1:16" ht="49.95" customHeight="1" x14ac:dyDescent="0.35">
      <c r="A49" s="298" t="str">
        <f>A13</f>
        <v>Pate gói nhỏ LuxPaws</v>
      </c>
      <c r="B49" s="299"/>
      <c r="C49" s="300"/>
      <c r="D49" s="300"/>
      <c r="E49" s="300"/>
      <c r="F49" s="300"/>
      <c r="G49" s="299"/>
      <c r="H49" s="300"/>
      <c r="I49" s="300"/>
      <c r="J49" s="300"/>
      <c r="K49" s="300"/>
      <c r="L49" s="299"/>
      <c r="M49" s="301"/>
    </row>
    <row r="50" spans="1:16" ht="49.95" customHeight="1" x14ac:dyDescent="0.35">
      <c r="A50" s="298"/>
      <c r="B50" s="302">
        <f>A51+VLOOKUP($A$49,$A$2:$H$13,8,0)</f>
        <v>1683</v>
      </c>
      <c r="C50" s="302">
        <f>B51</f>
        <v>1383</v>
      </c>
      <c r="D50" s="302">
        <f t="shared" ref="D50:F50" si="59">C51</f>
        <v>1083</v>
      </c>
      <c r="E50" s="302">
        <f t="shared" si="59"/>
        <v>783</v>
      </c>
      <c r="F50" s="302">
        <f t="shared" si="59"/>
        <v>483</v>
      </c>
      <c r="G50" s="302">
        <f t="shared" ref="G50:M50" si="60">F51+VLOOKUP($A$49,$A$2:$H$13,8,0)</f>
        <v>1866</v>
      </c>
      <c r="H50" s="302">
        <f t="shared" ref="H50:M50" si="61">G51</f>
        <v>1566</v>
      </c>
      <c r="I50" s="302">
        <f t="shared" si="61"/>
        <v>1266</v>
      </c>
      <c r="J50" s="302">
        <f t="shared" si="61"/>
        <v>966</v>
      </c>
      <c r="K50" s="302">
        <f t="shared" si="61"/>
        <v>666</v>
      </c>
      <c r="L50" s="302">
        <f t="shared" ref="L50:M50" si="62">K51+VLOOKUP($A$49,$A$2:$H$13,8,0)</f>
        <v>2049</v>
      </c>
      <c r="M50" s="303">
        <f t="shared" ref="M50" si="63">L51</f>
        <v>1749</v>
      </c>
      <c r="N50" s="185">
        <f t="shared" ref="N50:N51" si="64">SUM(B50:M50)/12</f>
        <v>1295.25</v>
      </c>
      <c r="O50" s="1">
        <f t="shared" ref="O50:O51" si="65">SUM(N50:N51)/2</f>
        <v>1145.25</v>
      </c>
      <c r="P50" s="312">
        <f>O50*VLOOKUP(ELS!$A49,'Doanh thu, chi TB hàng tháng'!$B$26:$D$46,3,0)</f>
        <v>21891460.021905806</v>
      </c>
    </row>
    <row r="51" spans="1:16" ht="49.95" customHeight="1" x14ac:dyDescent="0.35">
      <c r="A51" s="307"/>
      <c r="B51" s="308">
        <f>B50-VLOOKUP($A$49,'Doanh thu, chi TB hàng tháng'!$B$2:$E$22,4,0)</f>
        <v>1383</v>
      </c>
      <c r="C51" s="308">
        <f>C50-VLOOKUP($A$49,'Doanh thu, chi TB hàng tháng'!$B$2:$E$22,4,0)</f>
        <v>1083</v>
      </c>
      <c r="D51" s="308">
        <f>D50-VLOOKUP($A$49,'Doanh thu, chi TB hàng tháng'!$B$2:$E$22,4,0)</f>
        <v>783</v>
      </c>
      <c r="E51" s="308">
        <f>E50-VLOOKUP($A$49,'Doanh thu, chi TB hàng tháng'!$B$2:$E$22,4,0)</f>
        <v>483</v>
      </c>
      <c r="F51" s="308">
        <f>F50-VLOOKUP($A$49,'Doanh thu, chi TB hàng tháng'!$B$2:$E$22,4,0)</f>
        <v>183</v>
      </c>
      <c r="G51" s="308">
        <f>G50-VLOOKUP($A$49,'Doanh thu, chi TB hàng tháng'!$B$2:$E$22,4,0)</f>
        <v>1566</v>
      </c>
      <c r="H51" s="308">
        <f>H50-VLOOKUP($A$49,'Doanh thu, chi TB hàng tháng'!$B$2:$E$22,4,0)</f>
        <v>1266</v>
      </c>
      <c r="I51" s="308">
        <f>I50-VLOOKUP($A$49,'Doanh thu, chi TB hàng tháng'!$B$2:$E$22,4,0)</f>
        <v>966</v>
      </c>
      <c r="J51" s="308">
        <f>J50-VLOOKUP($A$49,'Doanh thu, chi TB hàng tháng'!$B$2:$E$22,4,0)</f>
        <v>666</v>
      </c>
      <c r="K51" s="308">
        <f>K50-VLOOKUP($A$49,'Doanh thu, chi TB hàng tháng'!$B$2:$E$22,4,0)</f>
        <v>366</v>
      </c>
      <c r="L51" s="308">
        <f>L50-VLOOKUP($A$49,'Doanh thu, chi TB hàng tháng'!$B$2:$E$22,4,0)</f>
        <v>1749</v>
      </c>
      <c r="M51" s="309">
        <f>M50-VLOOKUP($A$49,'Doanh thu, chi TB hàng tháng'!$B$2:$E$22,4,0)</f>
        <v>1449</v>
      </c>
      <c r="N51" s="185">
        <f t="shared" si="64"/>
        <v>995.25</v>
      </c>
    </row>
    <row r="52" spans="1:16" ht="49.95" customHeight="1" x14ac:dyDescent="0.35">
      <c r="A52" s="298"/>
      <c r="B52" s="300"/>
      <c r="C52" s="300"/>
      <c r="D52" s="300"/>
      <c r="E52" s="300"/>
      <c r="F52" s="300"/>
      <c r="G52" s="300"/>
      <c r="H52" s="300"/>
      <c r="I52" s="300"/>
      <c r="J52" s="300"/>
      <c r="K52" s="300"/>
      <c r="L52" s="300"/>
    </row>
    <row r="53" spans="1:16" ht="49.95" customHeight="1" x14ac:dyDescent="0.35">
      <c r="A53" s="298"/>
      <c r="B53" s="300"/>
      <c r="C53" s="300"/>
      <c r="D53" s="300"/>
      <c r="E53" s="300"/>
      <c r="F53" s="300"/>
      <c r="G53" s="300"/>
      <c r="H53" s="300"/>
      <c r="I53" s="300"/>
      <c r="J53" s="300"/>
      <c r="K53" s="300"/>
      <c r="L53" s="300"/>
    </row>
    <row r="54" spans="1:16" ht="49.95" customHeight="1" x14ac:dyDescent="0.35">
      <c r="A54" s="298"/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0"/>
    </row>
    <row r="55" spans="1:16" ht="49.95" customHeight="1" x14ac:dyDescent="0.35">
      <c r="A55" s="298"/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</row>
    <row r="56" spans="1:16" ht="49.95" customHeight="1" x14ac:dyDescent="0.35">
      <c r="A56" s="298"/>
      <c r="B56" s="300"/>
      <c r="C56" s="300"/>
      <c r="D56" s="300"/>
      <c r="E56" s="300"/>
      <c r="F56" s="300"/>
      <c r="G56" s="300"/>
      <c r="H56" s="300"/>
      <c r="I56" s="300"/>
      <c r="J56" s="300"/>
      <c r="K56" s="300"/>
      <c r="L56" s="300"/>
    </row>
    <row r="57" spans="1:16" ht="49.95" customHeight="1" x14ac:dyDescent="0.35">
      <c r="A57" s="298"/>
      <c r="B57" s="300"/>
      <c r="C57" s="300"/>
      <c r="D57" s="300"/>
      <c r="E57" s="300"/>
      <c r="F57" s="300"/>
      <c r="G57" s="300"/>
      <c r="H57" s="300"/>
      <c r="I57" s="300"/>
      <c r="J57" s="300"/>
      <c r="K57" s="300"/>
      <c r="L57" s="300"/>
    </row>
    <row r="58" spans="1:16" ht="49.95" customHeight="1" x14ac:dyDescent="0.35">
      <c r="A58" s="298"/>
      <c r="B58" s="300"/>
      <c r="C58" s="300"/>
      <c r="D58" s="300"/>
      <c r="E58" s="300"/>
      <c r="F58" s="300"/>
      <c r="G58" s="300"/>
      <c r="H58" s="300"/>
      <c r="I58" s="300"/>
      <c r="J58" s="300"/>
      <c r="K58" s="300"/>
      <c r="L58" s="300"/>
    </row>
    <row r="59" spans="1:16" ht="49.95" customHeight="1" x14ac:dyDescent="0.35">
      <c r="A59" s="1"/>
      <c r="C59" s="1"/>
    </row>
    <row r="60" spans="1:16" ht="49.95" customHeight="1" x14ac:dyDescent="0.35">
      <c r="C60" s="1"/>
    </row>
    <row r="61" spans="1:16" ht="49.95" customHeight="1" x14ac:dyDescent="0.35">
      <c r="C61" s="1"/>
    </row>
    <row r="62" spans="1:16" ht="49.95" customHeight="1" x14ac:dyDescent="0.35">
      <c r="C62" s="1"/>
    </row>
    <row r="63" spans="1:16" ht="49.95" customHeight="1" x14ac:dyDescent="0.35">
      <c r="C63" s="1"/>
    </row>
    <row r="64" spans="1:16" ht="49.95" customHeight="1" x14ac:dyDescent="0.35">
      <c r="C64" s="1"/>
    </row>
    <row r="65" spans="3:3" ht="49.95" customHeight="1" x14ac:dyDescent="0.35">
      <c r="C65" s="1"/>
    </row>
    <row r="66" spans="3:3" ht="49.95" customHeight="1" x14ac:dyDescent="0.35">
      <c r="C66" s="1"/>
    </row>
    <row r="67" spans="3:3" ht="49.95" customHeight="1" x14ac:dyDescent="0.35">
      <c r="C67" s="1"/>
    </row>
    <row r="68" spans="3:3" ht="49.95" customHeight="1" x14ac:dyDescent="0.35">
      <c r="C68" s="1"/>
    </row>
    <row r="69" spans="3:3" ht="49.95" customHeight="1" x14ac:dyDescent="0.35">
      <c r="C69" s="1"/>
    </row>
    <row r="70" spans="3:3" ht="49.95" customHeight="1" x14ac:dyDescent="0.35">
      <c r="C70" s="1"/>
    </row>
    <row r="71" spans="3:3" ht="49.95" customHeight="1" x14ac:dyDescent="0.35">
      <c r="C71" s="1"/>
    </row>
    <row r="72" spans="3:3" ht="49.95" customHeight="1" x14ac:dyDescent="0.35">
      <c r="C72" s="1"/>
    </row>
    <row r="73" spans="3:3" ht="49.95" customHeight="1" x14ac:dyDescent="0.35">
      <c r="C73" s="1"/>
    </row>
    <row r="74" spans="3:3" ht="49.95" customHeight="1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  <row r="78" spans="3:3" x14ac:dyDescent="0.35">
      <c r="C78" s="1"/>
    </row>
    <row r="79" spans="3:3" x14ac:dyDescent="0.35">
      <c r="C79" s="1"/>
    </row>
    <row r="80" spans="3:3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</sheetData>
  <mergeCells count="1">
    <mergeCell ref="M1:Q1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DCA8-9919-4160-99BA-4E86B4CB8AF2}">
  <dimension ref="A1:I42"/>
  <sheetViews>
    <sheetView topLeftCell="A16" zoomScale="55" zoomScaleNormal="55" workbookViewId="0">
      <selection activeCell="D14" sqref="D14"/>
    </sheetView>
  </sheetViews>
  <sheetFormatPr defaultRowHeight="18" x14ac:dyDescent="0.35"/>
  <cols>
    <col min="1" max="1" width="14.77734375" style="1" customWidth="1"/>
    <col min="2" max="2" width="48.21875" style="1" customWidth="1"/>
    <col min="3" max="3" width="22.44140625" style="1" customWidth="1"/>
    <col min="4" max="4" width="22.44140625" style="312" customWidth="1"/>
    <col min="5" max="5" width="28.6640625" style="1" customWidth="1"/>
    <col min="6" max="6" width="33.77734375" style="312" customWidth="1"/>
    <col min="7" max="7" width="9.33203125" style="1" customWidth="1"/>
    <col min="8" max="16384" width="8.88671875" style="1"/>
  </cols>
  <sheetData>
    <row r="1" spans="1:9" ht="49.95" customHeight="1" thickBot="1" x14ac:dyDescent="0.4">
      <c r="A1" s="34" t="s">
        <v>111</v>
      </c>
      <c r="B1" s="35" t="s">
        <v>117</v>
      </c>
      <c r="C1" s="36" t="s">
        <v>112</v>
      </c>
      <c r="D1" s="317" t="s">
        <v>304</v>
      </c>
      <c r="E1" s="36" t="s">
        <v>102</v>
      </c>
      <c r="F1" s="313" t="s">
        <v>152</v>
      </c>
    </row>
    <row r="2" spans="1:9" ht="49.95" customHeight="1" thickBot="1" x14ac:dyDescent="0.4">
      <c r="A2" s="37">
        <v>12</v>
      </c>
      <c r="B2" s="38" t="s">
        <v>119</v>
      </c>
      <c r="C2" s="39">
        <v>0.5</v>
      </c>
      <c r="D2" s="316">
        <f>C2*'Doanh thu, chi TB hàng tháng'!$J$3</f>
        <v>2282.5</v>
      </c>
      <c r="E2" s="43">
        <f>'Doanh thu, chi TB hàng tháng'!$F$23*'Dự đoán doanh thu'!C2-'Doanh thu, chi TB hàng tháng'!F4</f>
        <v>161767500</v>
      </c>
      <c r="F2" s="314">
        <f>'Doanh thu, chi TB hàng tháng'!$H$23 * C2-'Doanh thu, chi TB hàng tháng'!$G$4*'Doanh thu, chi TB hàng tháng'!$E$4</f>
        <v>76067890.525739312</v>
      </c>
      <c r="H2" s="1" t="s">
        <v>316</v>
      </c>
      <c r="I2" s="1" t="s">
        <v>317</v>
      </c>
    </row>
    <row r="3" spans="1:9" ht="49.95" customHeight="1" thickBot="1" x14ac:dyDescent="0.4">
      <c r="A3" s="37">
        <v>1</v>
      </c>
      <c r="B3" s="38" t="s">
        <v>120</v>
      </c>
      <c r="C3" s="39">
        <v>0.6</v>
      </c>
      <c r="D3" s="316">
        <f>C3*'Doanh thu, chi TB hàng tháng'!$J$3</f>
        <v>2739</v>
      </c>
      <c r="E3" s="43">
        <f>'Doanh thu, chi TB hàng tháng'!$F$23*'Dự đoán doanh thu'!C3-'Doanh thu, chi TB hàng tháng'!F5</f>
        <v>205221000</v>
      </c>
      <c r="F3" s="314">
        <f>'Doanh thu, chi TB hàng tháng'!$H$23 * C3-'Doanh thu, chi TB hàng tháng'!$G$4*'Doanh thu, chi TB hàng tháng'!$E$4</f>
        <v>95143768.740416199</v>
      </c>
    </row>
    <row r="4" spans="1:9" ht="49.95" customHeight="1" thickBot="1" x14ac:dyDescent="0.4">
      <c r="A4" s="37">
        <v>2</v>
      </c>
      <c r="B4" s="38" t="s">
        <v>121</v>
      </c>
      <c r="C4" s="39">
        <v>1</v>
      </c>
      <c r="D4" s="316">
        <f>C4*'Doanh thu, chi TB hàng tháng'!$J$3</f>
        <v>4565</v>
      </c>
      <c r="E4" s="43">
        <f>'Doanh thu, chi TB hàng tháng'!$F$23*'Dự đoán doanh thu'!C4-'Doanh thu, chi TB hàng tháng'!F6</f>
        <v>367635000</v>
      </c>
      <c r="F4" s="314">
        <f>'Doanh thu, chi TB hàng tháng'!$H$23 * C4-'Doanh thu, chi TB hàng tháng'!$G$4*'Doanh thu, chi TB hàng tháng'!$E$4</f>
        <v>171447281.59912375</v>
      </c>
    </row>
    <row r="5" spans="1:9" ht="49.95" customHeight="1" thickBot="1" x14ac:dyDescent="0.4">
      <c r="A5" s="37">
        <v>3</v>
      </c>
      <c r="B5" s="38" t="s">
        <v>131</v>
      </c>
      <c r="C5" s="39">
        <v>1.1000000000000001</v>
      </c>
      <c r="D5" s="316">
        <f>C5*'Doanh thu, chi TB hàng tháng'!$J$3</f>
        <v>5021.5</v>
      </c>
      <c r="E5" s="43">
        <f>'Doanh thu, chi TB hàng tháng'!$F$23*'Dự đoán doanh thu'!C5-'Doanh thu, chi TB hàng tháng'!F7</f>
        <v>379958500.00000006</v>
      </c>
      <c r="F5" s="314">
        <f>'Doanh thu, chi TB hàng tháng'!$H$23 * C5-'Doanh thu, chi TB hàng tháng'!$G$4*'Doanh thu, chi TB hàng tháng'!$E$4</f>
        <v>190523159.81380066</v>
      </c>
    </row>
    <row r="6" spans="1:9" ht="49.95" customHeight="1" thickBot="1" x14ac:dyDescent="0.4">
      <c r="A6" s="37">
        <v>4</v>
      </c>
      <c r="B6" s="38" t="s">
        <v>132</v>
      </c>
      <c r="C6" s="39">
        <v>1</v>
      </c>
      <c r="D6" s="316">
        <f>C6*'Doanh thu, chi TB hàng tháng'!$J$3</f>
        <v>4565</v>
      </c>
      <c r="E6" s="43">
        <f>'Doanh thu, chi TB hàng tháng'!$F$23*'Dự đoán doanh thu'!C6-'Doanh thu, chi TB hàng tháng'!F8</f>
        <v>380610000</v>
      </c>
      <c r="F6" s="314">
        <f>'Doanh thu, chi TB hàng tháng'!$H$23 * C6-'Doanh thu, chi TB hàng tháng'!$G$4*'Doanh thu, chi TB hàng tháng'!$E$4</f>
        <v>171447281.59912375</v>
      </c>
    </row>
    <row r="7" spans="1:9" ht="49.95" customHeight="1" thickBot="1" x14ac:dyDescent="0.4">
      <c r="A7" s="37">
        <v>5</v>
      </c>
      <c r="B7" s="38" t="s">
        <v>122</v>
      </c>
      <c r="C7" s="39">
        <v>1.1000000000000001</v>
      </c>
      <c r="D7" s="316">
        <f>C7*'Doanh thu, chi TB hàng tháng'!$J$3</f>
        <v>5021.5</v>
      </c>
      <c r="E7" s="43">
        <f>'Doanh thu, chi TB hàng tháng'!$F$23*'Dự đoán doanh thu'!C7-'Doanh thu, chi TB hàng tháng'!F9</f>
        <v>418378500.00000006</v>
      </c>
      <c r="F7" s="314">
        <f>'Doanh thu, chi TB hàng tháng'!$H$23 * C7-'Doanh thu, chi TB hàng tháng'!$G$4*'Doanh thu, chi TB hàng tháng'!$E$4</f>
        <v>190523159.81380066</v>
      </c>
    </row>
    <row r="8" spans="1:9" ht="49.95" customHeight="1" thickBot="1" x14ac:dyDescent="0.4">
      <c r="A8" s="37">
        <v>6</v>
      </c>
      <c r="B8" s="38" t="s">
        <v>133</v>
      </c>
      <c r="C8" s="39">
        <v>1.1000000000000001</v>
      </c>
      <c r="D8" s="316">
        <f>C8*'Doanh thu, chi TB hàng tháng'!$J$3</f>
        <v>5021.5</v>
      </c>
      <c r="E8" s="43">
        <f>'Doanh thu, chi TB hàng tháng'!$F$23*'Dự đoán doanh thu'!C8-'Doanh thu, chi TB hàng tháng'!F10</f>
        <v>397988500.00000006</v>
      </c>
      <c r="F8" s="314">
        <f>'Doanh thu, chi TB hàng tháng'!$H$23 * C8-'Doanh thu, chi TB hàng tháng'!$G$4*'Doanh thu, chi TB hàng tháng'!$E$4</f>
        <v>190523159.81380066</v>
      </c>
    </row>
    <row r="9" spans="1:9" ht="49.95" customHeight="1" thickBot="1" x14ac:dyDescent="0.4">
      <c r="A9" s="37">
        <v>7</v>
      </c>
      <c r="B9" s="38" t="s">
        <v>123</v>
      </c>
      <c r="C9" s="39">
        <v>1</v>
      </c>
      <c r="D9" s="316">
        <f>C9*'Doanh thu, chi TB hàng tháng'!$J$3</f>
        <v>4565</v>
      </c>
      <c r="E9" s="43">
        <f>'Doanh thu, chi TB hàng tháng'!$F$23*'Dự đoán doanh thu'!C9-'Doanh thu, chi TB hàng tháng'!F11</f>
        <v>359635000</v>
      </c>
      <c r="F9" s="314">
        <f>'Doanh thu, chi TB hàng tháng'!$H$23 * C9-'Doanh thu, chi TB hàng tháng'!$G$4*'Doanh thu, chi TB hàng tháng'!$E$4</f>
        <v>171447281.59912375</v>
      </c>
    </row>
    <row r="10" spans="1:9" ht="49.95" customHeight="1" thickBot="1" x14ac:dyDescent="0.4">
      <c r="A10" s="37">
        <v>8</v>
      </c>
      <c r="B10" s="38" t="s">
        <v>113</v>
      </c>
      <c r="C10" s="39">
        <v>1</v>
      </c>
      <c r="D10" s="316">
        <f>C10*'Doanh thu, chi TB hàng tháng'!$J$3</f>
        <v>4565</v>
      </c>
      <c r="E10" s="43">
        <f>'Doanh thu, chi TB hàng tháng'!$F$23*'Dự đoán doanh thu'!C10-'Doanh thu, chi TB hàng tháng'!F12</f>
        <v>357635000</v>
      </c>
      <c r="F10" s="314">
        <f>'Doanh thu, chi TB hàng tháng'!$H$23 * C10-'Doanh thu, chi TB hàng tháng'!$G$4*'Doanh thu, chi TB hàng tháng'!$E$4</f>
        <v>171447281.59912375</v>
      </c>
    </row>
    <row r="11" spans="1:9" ht="49.95" customHeight="1" thickBot="1" x14ac:dyDescent="0.4">
      <c r="A11" s="37">
        <v>9</v>
      </c>
      <c r="B11" s="38" t="s">
        <v>113</v>
      </c>
      <c r="C11" s="39">
        <v>1</v>
      </c>
      <c r="D11" s="316">
        <f>C11*'Doanh thu, chi TB hàng tháng'!$J$3</f>
        <v>4565</v>
      </c>
      <c r="E11" s="43">
        <f>'Doanh thu, chi TB hàng tháng'!$F$23*'Dự đoán doanh thu'!C11-'Doanh thu, chi TB hàng tháng'!F13</f>
        <v>334605000</v>
      </c>
      <c r="F11" s="314">
        <f>'Doanh thu, chi TB hàng tháng'!$H$23 * C11-'Doanh thu, chi TB hàng tháng'!$G$4*'Doanh thu, chi TB hàng tháng'!$E$4</f>
        <v>171447281.59912375</v>
      </c>
    </row>
    <row r="12" spans="1:9" ht="49.95" customHeight="1" thickBot="1" x14ac:dyDescent="0.4">
      <c r="A12" s="37">
        <v>10</v>
      </c>
      <c r="B12" s="38" t="s">
        <v>115</v>
      </c>
      <c r="C12" s="39">
        <v>1</v>
      </c>
      <c r="D12" s="316">
        <f>C12*'Doanh thu, chi TB hàng tháng'!$J$3</f>
        <v>4565</v>
      </c>
      <c r="E12" s="43">
        <f>'Doanh thu, chi TB hàng tháng'!$F$23*'Dự đoán doanh thu'!C12-'Doanh thu, chi TB hàng tháng'!F14</f>
        <v>368835000</v>
      </c>
      <c r="F12" s="314">
        <f>'Doanh thu, chi TB hàng tháng'!$H$23 * C12-'Doanh thu, chi TB hàng tháng'!$G$4*'Doanh thu, chi TB hàng tháng'!$E$4</f>
        <v>171447281.59912375</v>
      </c>
    </row>
    <row r="13" spans="1:9" ht="49.95" customHeight="1" thickBot="1" x14ac:dyDescent="0.4">
      <c r="A13" s="37">
        <v>11</v>
      </c>
      <c r="B13" s="38" t="s">
        <v>115</v>
      </c>
      <c r="C13" s="39">
        <v>1</v>
      </c>
      <c r="D13" s="316">
        <f>C13*'Doanh thu, chi TB hàng tháng'!$J$3</f>
        <v>4565</v>
      </c>
      <c r="E13" s="43">
        <f>'Doanh thu, chi TB hàng tháng'!$F$23*'Dự đoán doanh thu'!C13-'Doanh thu, chi TB hàng tháng'!F15</f>
        <v>377305000</v>
      </c>
      <c r="F13" s="314">
        <f>'Doanh thu, chi TB hàng tháng'!$H$23 * C13-'Doanh thu, chi TB hàng tháng'!$G$4*'Doanh thu, chi TB hàng tháng'!$E$4</f>
        <v>171447281.59912375</v>
      </c>
    </row>
    <row r="14" spans="1:9" ht="49.95" customHeight="1" thickBot="1" x14ac:dyDescent="0.4">
      <c r="A14" s="221" t="s">
        <v>114</v>
      </c>
      <c r="B14" s="222"/>
      <c r="C14" s="223"/>
      <c r="D14" s="335">
        <f>SUM(D2:D13)</f>
        <v>52041</v>
      </c>
      <c r="E14" s="44">
        <f>SUM(E2:E13)</f>
        <v>4109574000</v>
      </c>
      <c r="F14" s="336">
        <f>SUM(F2:F13)</f>
        <v>1942912109.9014235</v>
      </c>
    </row>
    <row r="15" spans="1:9" ht="49.95" customHeight="1" thickBot="1" x14ac:dyDescent="0.4">
      <c r="A15" s="34"/>
      <c r="B15" s="35" t="s">
        <v>118</v>
      </c>
      <c r="C15" s="36"/>
      <c r="D15" s="318"/>
      <c r="E15" s="45"/>
      <c r="F15" s="315"/>
    </row>
    <row r="16" spans="1:9" ht="49.95" customHeight="1" thickBot="1" x14ac:dyDescent="0.4">
      <c r="A16" s="37">
        <v>12</v>
      </c>
      <c r="B16" s="38" t="s">
        <v>124</v>
      </c>
      <c r="C16" s="39">
        <v>1.1000000000000001</v>
      </c>
      <c r="D16" s="319">
        <f>C16*'Doanh thu, chi TB hàng tháng'!$J$3-100</f>
        <v>4921.5</v>
      </c>
      <c r="E16" s="43">
        <f>'Doanh thu, chi TB hàng tháng'!F23*'Dự đoán doanh thu'!C16</f>
        <v>421888500.00000006</v>
      </c>
      <c r="F16" s="314">
        <f>'Doanh thu, chi TB hàng tháng'!$H$23 * C16</f>
        <v>209834660.36144578</v>
      </c>
    </row>
    <row r="17" spans="1:6" ht="49.95" customHeight="1" thickBot="1" x14ac:dyDescent="0.4">
      <c r="A17" s="37">
        <v>1</v>
      </c>
      <c r="B17" s="38" t="s">
        <v>125</v>
      </c>
      <c r="C17" s="39">
        <v>0.8</v>
      </c>
      <c r="D17" s="319">
        <f>C17*'Doanh thu, chi TB hàng tháng'!$J$3-100</f>
        <v>3552</v>
      </c>
      <c r="E17" s="43">
        <f>'Doanh thu, chi TB hàng tháng'!F23*'Dự đoán doanh thu'!C17</f>
        <v>306828000</v>
      </c>
      <c r="F17" s="314">
        <f>'Doanh thu, chi TB hàng tháng'!$H$23 * C17</f>
        <v>152607025.71741509</v>
      </c>
    </row>
    <row r="18" spans="1:6" ht="49.95" customHeight="1" thickBot="1" x14ac:dyDescent="0.4">
      <c r="A18" s="37">
        <v>2</v>
      </c>
      <c r="B18" s="38" t="s">
        <v>126</v>
      </c>
      <c r="C18" s="39">
        <v>1.1000000000000001</v>
      </c>
      <c r="D18" s="319">
        <f>C18*'Doanh thu, chi TB hàng tháng'!$J$3-100</f>
        <v>4921.5</v>
      </c>
      <c r="E18" s="43">
        <f>'Doanh thu, chi TB hàng tháng'!F23*'Dự đoán doanh thu'!C18</f>
        <v>421888500.00000006</v>
      </c>
      <c r="F18" s="314">
        <f>'Doanh thu, chi TB hàng tháng'!$H$23 * C18</f>
        <v>209834660.36144578</v>
      </c>
    </row>
    <row r="19" spans="1:6" ht="49.95" customHeight="1" thickBot="1" x14ac:dyDescent="0.4">
      <c r="A19" s="37">
        <v>3</v>
      </c>
      <c r="B19" s="38" t="s">
        <v>127</v>
      </c>
      <c r="C19" s="39">
        <v>0.8</v>
      </c>
      <c r="D19" s="319">
        <f>C19*'Doanh thu, chi TB hàng tháng'!$J$3-100</f>
        <v>3552</v>
      </c>
      <c r="E19" s="43">
        <f>'Doanh thu, chi TB hàng tháng'!F23*'Dự đoán doanh thu'!C19</f>
        <v>306828000</v>
      </c>
      <c r="F19" s="314">
        <f>'Doanh thu, chi TB hàng tháng'!$H$23 * C19</f>
        <v>152607025.71741509</v>
      </c>
    </row>
    <row r="20" spans="1:6" ht="49.95" customHeight="1" thickBot="1" x14ac:dyDescent="0.4">
      <c r="A20" s="37">
        <v>4</v>
      </c>
      <c r="B20" s="38" t="s">
        <v>128</v>
      </c>
      <c r="C20" s="39">
        <v>1.2</v>
      </c>
      <c r="D20" s="319">
        <f>C20*'Doanh thu, chi TB hàng tháng'!$J$3-100</f>
        <v>5378</v>
      </c>
      <c r="E20" s="43">
        <f>'Doanh thu, chi TB hàng tháng'!F23*'Dự đoán doanh thu'!C20</f>
        <v>460242000</v>
      </c>
      <c r="F20" s="314">
        <f>'Doanh thu, chi TB hàng tháng'!$H$23 * C20</f>
        <v>228910538.57612264</v>
      </c>
    </row>
    <row r="21" spans="1:6" ht="49.95" customHeight="1" thickBot="1" x14ac:dyDescent="0.4">
      <c r="A21" s="37">
        <v>5</v>
      </c>
      <c r="B21" s="38" t="s">
        <v>129</v>
      </c>
      <c r="C21" s="39">
        <v>1.1000000000000001</v>
      </c>
      <c r="D21" s="319">
        <f>C21*'Doanh thu, chi TB hàng tháng'!$J$3-100</f>
        <v>4921.5</v>
      </c>
      <c r="E21" s="43">
        <f>'Doanh thu, chi TB hàng tháng'!F23*'Dự đoán doanh thu'!C21</f>
        <v>421888500.00000006</v>
      </c>
      <c r="F21" s="314">
        <f>'Doanh thu, chi TB hàng tháng'!$H$23 * C21</f>
        <v>209834660.36144578</v>
      </c>
    </row>
    <row r="22" spans="1:6" ht="49.95" customHeight="1" thickBot="1" x14ac:dyDescent="0.4">
      <c r="A22" s="37">
        <v>6</v>
      </c>
      <c r="B22" s="38" t="s">
        <v>122</v>
      </c>
      <c r="C22" s="39">
        <v>1.1000000000000001</v>
      </c>
      <c r="D22" s="319">
        <f>C22*'Doanh thu, chi TB hàng tháng'!$J$3-100</f>
        <v>4921.5</v>
      </c>
      <c r="E22" s="43">
        <f>'Doanh thu, chi TB hàng tháng'!F23*'Dự đoán doanh thu'!C22</f>
        <v>421888500.00000006</v>
      </c>
      <c r="F22" s="314">
        <f>'Doanh thu, chi TB hàng tháng'!$H$23 * C22</f>
        <v>209834660.36144578</v>
      </c>
    </row>
    <row r="23" spans="1:6" ht="49.95" customHeight="1" thickBot="1" x14ac:dyDescent="0.4">
      <c r="A23" s="37">
        <v>7</v>
      </c>
      <c r="B23" s="38" t="s">
        <v>113</v>
      </c>
      <c r="C23" s="39">
        <v>1</v>
      </c>
      <c r="D23" s="319">
        <f>C23*'Doanh thu, chi TB hàng tháng'!$J$3-100</f>
        <v>4465</v>
      </c>
      <c r="E23" s="43">
        <f>'Doanh thu, chi TB hàng tháng'!F23*'Dự đoán doanh thu'!C23</f>
        <v>383535000</v>
      </c>
      <c r="F23" s="314">
        <f>'Doanh thu, chi TB hàng tháng'!$H$23 * C23</f>
        <v>190758782.14676887</v>
      </c>
    </row>
    <row r="24" spans="1:6" ht="49.95" customHeight="1" thickBot="1" x14ac:dyDescent="0.4">
      <c r="A24" s="37">
        <v>8</v>
      </c>
      <c r="B24" s="38" t="s">
        <v>113</v>
      </c>
      <c r="C24" s="39">
        <v>1</v>
      </c>
      <c r="D24" s="319">
        <f>C24*'Doanh thu, chi TB hàng tháng'!$J$3-100</f>
        <v>4465</v>
      </c>
      <c r="E24" s="43">
        <f>'Doanh thu, chi TB hàng tháng'!F23*'Dự đoán doanh thu'!C24</f>
        <v>383535000</v>
      </c>
      <c r="F24" s="314">
        <f>'Doanh thu, chi TB hàng tháng'!$H$23 * C24</f>
        <v>190758782.14676887</v>
      </c>
    </row>
    <row r="25" spans="1:6" ht="49.95" customHeight="1" thickBot="1" x14ac:dyDescent="0.4">
      <c r="A25" s="37">
        <v>9</v>
      </c>
      <c r="B25" s="38" t="s">
        <v>113</v>
      </c>
      <c r="C25" s="39">
        <v>1</v>
      </c>
      <c r="D25" s="319">
        <f>C25*'Doanh thu, chi TB hàng tháng'!$J$3-100</f>
        <v>4465</v>
      </c>
      <c r="E25" s="43">
        <f>'Doanh thu, chi TB hàng tháng'!F23*'Dự đoán doanh thu'!C25</f>
        <v>383535000</v>
      </c>
      <c r="F25" s="314">
        <f>'Doanh thu, chi TB hàng tháng'!$H$23 * C25</f>
        <v>190758782.14676887</v>
      </c>
    </row>
    <row r="26" spans="1:6" ht="49.95" customHeight="1" thickBot="1" x14ac:dyDescent="0.4">
      <c r="A26" s="37">
        <v>10</v>
      </c>
      <c r="B26" s="38" t="s">
        <v>113</v>
      </c>
      <c r="C26" s="39">
        <v>1</v>
      </c>
      <c r="D26" s="319">
        <f>C26*'Doanh thu, chi TB hàng tháng'!$J$3-100</f>
        <v>4465</v>
      </c>
      <c r="E26" s="43">
        <f>'Doanh thu, chi TB hàng tháng'!F23*'Dự đoán doanh thu'!C26</f>
        <v>383535000</v>
      </c>
      <c r="F26" s="314">
        <f>'Doanh thu, chi TB hàng tháng'!$H$23 * C26</f>
        <v>190758782.14676887</v>
      </c>
    </row>
    <row r="27" spans="1:6" ht="49.95" customHeight="1" thickBot="1" x14ac:dyDescent="0.4">
      <c r="A27" s="37">
        <v>11</v>
      </c>
      <c r="B27" s="38" t="s">
        <v>130</v>
      </c>
      <c r="C27" s="39">
        <v>1</v>
      </c>
      <c r="D27" s="319">
        <f>C27*'Doanh thu, chi TB hàng tháng'!$J$3-100</f>
        <v>4465</v>
      </c>
      <c r="E27" s="43">
        <f>'Doanh thu, chi TB hàng tháng'!F23*'Dự đoán doanh thu'!C27</f>
        <v>383535000</v>
      </c>
      <c r="F27" s="314">
        <f>'Doanh thu, chi TB hàng tháng'!$H$23 * C27</f>
        <v>190758782.14676887</v>
      </c>
    </row>
    <row r="28" spans="1:6" ht="49.95" customHeight="1" thickBot="1" x14ac:dyDescent="0.4">
      <c r="A28" s="221" t="s">
        <v>116</v>
      </c>
      <c r="B28" s="222"/>
      <c r="C28" s="223"/>
      <c r="D28" s="335">
        <f>SUM(D16:D27)</f>
        <v>54493</v>
      </c>
      <c r="E28" s="46">
        <f>SUM(E16:E27)</f>
        <v>4679127000</v>
      </c>
      <c r="F28" s="320">
        <f>SUM(F16:F27)</f>
        <v>2327257142.1905804</v>
      </c>
    </row>
    <row r="29" spans="1:6" ht="49.95" customHeight="1" x14ac:dyDescent="0.35">
      <c r="A29" s="312"/>
      <c r="B29" s="312"/>
      <c r="C29" s="312"/>
      <c r="E29" s="312"/>
    </row>
    <row r="30" spans="1:6" ht="49.95" customHeight="1" x14ac:dyDescent="0.35">
      <c r="A30" s="312"/>
      <c r="B30" s="312"/>
      <c r="C30" s="312"/>
      <c r="E30" s="312"/>
    </row>
    <row r="31" spans="1:6" ht="49.95" customHeight="1" x14ac:dyDescent="0.35">
      <c r="A31" s="312"/>
      <c r="B31" s="312"/>
      <c r="C31" s="312"/>
      <c r="E31" s="312"/>
    </row>
    <row r="32" spans="1:6" ht="49.95" customHeight="1" x14ac:dyDescent="0.35">
      <c r="A32" s="312"/>
      <c r="B32" s="312"/>
      <c r="C32" s="312"/>
      <c r="E32" s="312"/>
    </row>
    <row r="33" spans="1:5" ht="49.95" customHeight="1" x14ac:dyDescent="0.35">
      <c r="A33" s="312"/>
      <c r="B33" s="312"/>
      <c r="C33" s="312"/>
      <c r="E33" s="312"/>
    </row>
    <row r="34" spans="1:5" ht="49.95" customHeight="1" x14ac:dyDescent="0.35">
      <c r="A34" s="312"/>
      <c r="B34" s="312"/>
      <c r="C34" s="312"/>
      <c r="E34" s="312"/>
    </row>
    <row r="35" spans="1:5" ht="49.95" customHeight="1" x14ac:dyDescent="0.35">
      <c r="A35" s="312"/>
      <c r="B35" s="312"/>
      <c r="C35" s="312"/>
      <c r="E35" s="312"/>
    </row>
    <row r="36" spans="1:5" ht="49.95" customHeight="1" x14ac:dyDescent="0.35">
      <c r="A36" s="312"/>
      <c r="B36" s="312"/>
      <c r="C36" s="312"/>
      <c r="E36" s="312"/>
    </row>
    <row r="37" spans="1:5" ht="49.95" customHeight="1" x14ac:dyDescent="0.35">
      <c r="A37" s="312"/>
      <c r="B37" s="312"/>
      <c r="C37" s="312"/>
      <c r="E37" s="312"/>
    </row>
    <row r="38" spans="1:5" ht="49.95" customHeight="1" x14ac:dyDescent="0.35">
      <c r="A38" s="312"/>
      <c r="B38" s="312"/>
      <c r="C38" s="312"/>
      <c r="E38" s="312"/>
    </row>
    <row r="39" spans="1:5" ht="49.95" customHeight="1" x14ac:dyDescent="0.35">
      <c r="A39" s="312"/>
      <c r="B39" s="312"/>
      <c r="C39" s="312"/>
      <c r="E39" s="312"/>
    </row>
    <row r="40" spans="1:5" ht="49.95" customHeight="1" x14ac:dyDescent="0.35">
      <c r="A40" s="312"/>
      <c r="B40" s="312"/>
      <c r="C40" s="312"/>
      <c r="E40" s="312"/>
    </row>
    <row r="41" spans="1:5" ht="49.95" customHeight="1" x14ac:dyDescent="0.35">
      <c r="A41" s="312"/>
      <c r="B41" s="312"/>
      <c r="C41" s="312"/>
      <c r="E41" s="312"/>
    </row>
    <row r="42" spans="1:5" ht="49.95" customHeight="1" x14ac:dyDescent="0.35">
      <c r="A42" s="312"/>
      <c r="B42" s="312"/>
      <c r="C42" s="312"/>
      <c r="E42" s="312"/>
    </row>
  </sheetData>
  <mergeCells count="2">
    <mergeCell ref="A14:C14"/>
    <mergeCell ref="A28:C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B2FE-11A8-4170-ABA7-25B894E83FAA}">
  <dimension ref="A1:K27"/>
  <sheetViews>
    <sheetView workbookViewId="0">
      <selection activeCell="D3" sqref="D3"/>
    </sheetView>
  </sheetViews>
  <sheetFormatPr defaultRowHeight="18" x14ac:dyDescent="0.35"/>
  <cols>
    <col min="1" max="1" width="21.88671875" style="91" customWidth="1"/>
    <col min="2" max="2" width="32" style="1" customWidth="1"/>
    <col min="3" max="3" width="28.5546875" style="1" customWidth="1"/>
    <col min="4" max="4" width="25.88671875" style="1" customWidth="1"/>
    <col min="5" max="5" width="25.109375" style="1" customWidth="1"/>
    <col min="6" max="6" width="9.21875" style="1" customWidth="1"/>
    <col min="7" max="16384" width="8.88671875" style="1"/>
  </cols>
  <sheetData>
    <row r="1" spans="1:11" x14ac:dyDescent="0.35">
      <c r="A1" s="224" t="s">
        <v>143</v>
      </c>
      <c r="B1" s="225"/>
      <c r="C1" s="225"/>
      <c r="D1" s="225"/>
      <c r="E1" s="226"/>
    </row>
    <row r="2" spans="1:11" x14ac:dyDescent="0.35">
      <c r="A2" s="73" t="s">
        <v>143</v>
      </c>
      <c r="B2" s="74" t="s">
        <v>144</v>
      </c>
      <c r="C2" s="74" t="s">
        <v>145</v>
      </c>
      <c r="D2" s="74" t="s">
        <v>146</v>
      </c>
      <c r="E2" s="74" t="s">
        <v>147</v>
      </c>
    </row>
    <row r="3" spans="1:11" x14ac:dyDescent="0.35">
      <c r="A3" s="75">
        <v>12</v>
      </c>
      <c r="B3" s="71">
        <f>'Dự đoán doanh thu'!E2</f>
        <v>161767500</v>
      </c>
      <c r="C3" s="71">
        <f>'Dự đoán doanh thu'!F2</f>
        <v>76067890.525739312</v>
      </c>
      <c r="D3" s="71">
        <f>'Chi phí hằng tháng'!$C$11</f>
        <v>58900000</v>
      </c>
      <c r="E3" s="71">
        <f t="shared" ref="E3:E26" si="0">B3-C3-D3</f>
        <v>26799609.474260688</v>
      </c>
    </row>
    <row r="4" spans="1:11" x14ac:dyDescent="0.35">
      <c r="A4" s="75">
        <v>1</v>
      </c>
      <c r="B4" s="71">
        <f>'Dự đoán doanh thu'!E3</f>
        <v>205221000</v>
      </c>
      <c r="C4" s="71">
        <f>'Dự đoán doanh thu'!F3</f>
        <v>95143768.740416199</v>
      </c>
      <c r="D4" s="71">
        <f>'Chi phí hằng tháng'!$C$11</f>
        <v>58900000</v>
      </c>
      <c r="E4" s="71">
        <f t="shared" si="0"/>
        <v>51177231.259583801</v>
      </c>
    </row>
    <row r="5" spans="1:11" x14ac:dyDescent="0.35">
      <c r="A5" s="75">
        <v>2</v>
      </c>
      <c r="B5" s="71">
        <f>'Dự đoán doanh thu'!E4</f>
        <v>367635000</v>
      </c>
      <c r="C5" s="71">
        <f>'Dự đoán doanh thu'!F4</f>
        <v>171447281.59912375</v>
      </c>
      <c r="D5" s="71">
        <f>'Chi phí hằng tháng'!$C$11</f>
        <v>58900000</v>
      </c>
      <c r="E5" s="71">
        <f t="shared" si="0"/>
        <v>137287718.40087625</v>
      </c>
    </row>
    <row r="6" spans="1:11" x14ac:dyDescent="0.35">
      <c r="A6" s="75">
        <v>3</v>
      </c>
      <c r="B6" s="71">
        <f>'Dự đoán doanh thu'!E5</f>
        <v>379958500.00000006</v>
      </c>
      <c r="C6" s="71">
        <f>'Dự đoán doanh thu'!F5</f>
        <v>190523159.81380066</v>
      </c>
      <c r="D6" s="71">
        <f>'Chi phí hằng tháng'!$C$11</f>
        <v>58900000</v>
      </c>
      <c r="E6" s="71">
        <f t="shared" si="0"/>
        <v>130535340.1861994</v>
      </c>
    </row>
    <row r="7" spans="1:11" x14ac:dyDescent="0.35">
      <c r="A7" s="75">
        <v>4</v>
      </c>
      <c r="B7" s="71">
        <f>'Dự đoán doanh thu'!E6</f>
        <v>380610000</v>
      </c>
      <c r="C7" s="71">
        <f>'Dự đoán doanh thu'!F6</f>
        <v>171447281.59912375</v>
      </c>
      <c r="D7" s="71">
        <f>'Chi phí hằng tháng'!$C$11</f>
        <v>58900000</v>
      </c>
      <c r="E7" s="71">
        <f t="shared" si="0"/>
        <v>150262718.40087625</v>
      </c>
    </row>
    <row r="8" spans="1:11" x14ac:dyDescent="0.35">
      <c r="A8" s="75">
        <v>5</v>
      </c>
      <c r="B8" s="71">
        <f>'Dự đoán doanh thu'!E7</f>
        <v>418378500.00000006</v>
      </c>
      <c r="C8" s="71">
        <f>'Dự đoán doanh thu'!F7</f>
        <v>190523159.81380066</v>
      </c>
      <c r="D8" s="71">
        <f>'Chi phí hằng tháng'!$C$11</f>
        <v>58900000</v>
      </c>
      <c r="E8" s="71">
        <f t="shared" si="0"/>
        <v>168955340.1861994</v>
      </c>
    </row>
    <row r="9" spans="1:11" x14ac:dyDescent="0.35">
      <c r="A9" s="75">
        <v>6</v>
      </c>
      <c r="B9" s="71">
        <f>'Dự đoán doanh thu'!E8</f>
        <v>397988500.00000006</v>
      </c>
      <c r="C9" s="71">
        <f>'Dự đoán doanh thu'!F8</f>
        <v>190523159.81380066</v>
      </c>
      <c r="D9" s="71">
        <f>'Chi phí hằng tháng'!$C$11</f>
        <v>58900000</v>
      </c>
      <c r="E9" s="71">
        <f t="shared" si="0"/>
        <v>148565340.1861994</v>
      </c>
    </row>
    <row r="10" spans="1:11" x14ac:dyDescent="0.35">
      <c r="A10" s="75">
        <v>7</v>
      </c>
      <c r="B10" s="71">
        <f>'Dự đoán doanh thu'!E9</f>
        <v>359635000</v>
      </c>
      <c r="C10" s="71">
        <f>'Dự đoán doanh thu'!F9</f>
        <v>171447281.59912375</v>
      </c>
      <c r="D10" s="71">
        <f>'Chi phí hằng tháng'!$C$11</f>
        <v>58900000</v>
      </c>
      <c r="E10" s="71">
        <f t="shared" si="0"/>
        <v>129287718.40087625</v>
      </c>
      <c r="K10" s="40"/>
    </row>
    <row r="11" spans="1:11" x14ac:dyDescent="0.35">
      <c r="A11" s="75">
        <v>8</v>
      </c>
      <c r="B11" s="71">
        <f>'Dự đoán doanh thu'!E10</f>
        <v>357635000</v>
      </c>
      <c r="C11" s="71">
        <f>'Dự đoán doanh thu'!F10</f>
        <v>171447281.59912375</v>
      </c>
      <c r="D11" s="71">
        <f>'Chi phí hằng tháng'!$C$11</f>
        <v>58900000</v>
      </c>
      <c r="E11" s="71">
        <f t="shared" si="0"/>
        <v>127287718.40087625</v>
      </c>
    </row>
    <row r="12" spans="1:11" x14ac:dyDescent="0.35">
      <c r="A12" s="75">
        <v>9</v>
      </c>
      <c r="B12" s="71">
        <f>'Dự đoán doanh thu'!E11</f>
        <v>334605000</v>
      </c>
      <c r="C12" s="71">
        <f>'Dự đoán doanh thu'!F11</f>
        <v>171447281.59912375</v>
      </c>
      <c r="D12" s="71">
        <f>'Chi phí hằng tháng'!$C$11</f>
        <v>58900000</v>
      </c>
      <c r="E12" s="71">
        <f t="shared" si="0"/>
        <v>104257718.40087625</v>
      </c>
    </row>
    <row r="13" spans="1:11" x14ac:dyDescent="0.35">
      <c r="A13" s="75">
        <v>10</v>
      </c>
      <c r="B13" s="71">
        <f>'Dự đoán doanh thu'!E12</f>
        <v>368835000</v>
      </c>
      <c r="C13" s="71">
        <f>'Dự đoán doanh thu'!F12</f>
        <v>171447281.59912375</v>
      </c>
      <c r="D13" s="71">
        <f>'Chi phí hằng tháng'!$C$11</f>
        <v>58900000</v>
      </c>
      <c r="E13" s="71">
        <f t="shared" si="0"/>
        <v>138487718.40087625</v>
      </c>
    </row>
    <row r="14" spans="1:11" x14ac:dyDescent="0.35">
      <c r="A14" s="75">
        <v>11</v>
      </c>
      <c r="B14" s="71">
        <f>'Dự đoán doanh thu'!E13</f>
        <v>377305000</v>
      </c>
      <c r="C14" s="71">
        <f>'Dự đoán doanh thu'!F13</f>
        <v>171447281.59912375</v>
      </c>
      <c r="D14" s="71">
        <f>'Chi phí hằng tháng'!$C$11</f>
        <v>58900000</v>
      </c>
      <c r="E14" s="71">
        <f t="shared" si="0"/>
        <v>146957718.40087625</v>
      </c>
    </row>
    <row r="15" spans="1:11" x14ac:dyDescent="0.35">
      <c r="A15" s="75">
        <v>12</v>
      </c>
      <c r="B15" s="71">
        <f>'Dự đoán doanh thu'!E16</f>
        <v>421888500.00000006</v>
      </c>
      <c r="C15" s="71">
        <f>'Dự đoán doanh thu'!F16</f>
        <v>209834660.36144578</v>
      </c>
      <c r="D15" s="71">
        <f>'Chi phí hằng tháng'!$C$11</f>
        <v>58900000</v>
      </c>
      <c r="E15" s="71">
        <f t="shared" si="0"/>
        <v>153153839.63855428</v>
      </c>
    </row>
    <row r="16" spans="1:11" x14ac:dyDescent="0.35">
      <c r="A16" s="76">
        <v>1</v>
      </c>
      <c r="B16" s="77">
        <f>'Dự đoán doanh thu'!E17</f>
        <v>306828000</v>
      </c>
      <c r="C16" s="77">
        <f>'Dự đoán doanh thu'!F17</f>
        <v>152607025.71741509</v>
      </c>
      <c r="D16" s="77">
        <f>'Chi phí hằng tháng'!$C$11</f>
        <v>58900000</v>
      </c>
      <c r="E16" s="77">
        <f t="shared" si="0"/>
        <v>95320974.282584906</v>
      </c>
    </row>
    <row r="17" spans="1:5" x14ac:dyDescent="0.35">
      <c r="A17" s="75">
        <v>2</v>
      </c>
      <c r="B17" s="71">
        <f>'Dự đoán doanh thu'!E18</f>
        <v>421888500.00000006</v>
      </c>
      <c r="C17" s="71">
        <f>'Dự đoán doanh thu'!F18</f>
        <v>209834660.36144578</v>
      </c>
      <c r="D17" s="71">
        <f>'Chi phí hằng tháng'!$C$11</f>
        <v>58900000</v>
      </c>
      <c r="E17" s="71">
        <f t="shared" si="0"/>
        <v>153153839.63855428</v>
      </c>
    </row>
    <row r="18" spans="1:5" x14ac:dyDescent="0.35">
      <c r="A18" s="75">
        <v>3</v>
      </c>
      <c r="B18" s="71">
        <f>'Dự đoán doanh thu'!E19</f>
        <v>306828000</v>
      </c>
      <c r="C18" s="71">
        <f>'Dự đoán doanh thu'!F19</f>
        <v>152607025.71741509</v>
      </c>
      <c r="D18" s="71">
        <f>'Chi phí hằng tháng'!$C$11</f>
        <v>58900000</v>
      </c>
      <c r="E18" s="71">
        <f t="shared" si="0"/>
        <v>95320974.282584906</v>
      </c>
    </row>
    <row r="19" spans="1:5" x14ac:dyDescent="0.35">
      <c r="A19" s="75">
        <v>4</v>
      </c>
      <c r="B19" s="71">
        <f>'Dự đoán doanh thu'!E20</f>
        <v>460242000</v>
      </c>
      <c r="C19" s="71">
        <f>'Dự đoán doanh thu'!F20</f>
        <v>228910538.57612264</v>
      </c>
      <c r="D19" s="71">
        <f>'Chi phí hằng tháng'!$C$11</f>
        <v>58900000</v>
      </c>
      <c r="E19" s="71">
        <f t="shared" si="0"/>
        <v>172431461.42387736</v>
      </c>
    </row>
    <row r="20" spans="1:5" x14ac:dyDescent="0.35">
      <c r="A20" s="75">
        <v>5</v>
      </c>
      <c r="B20" s="71">
        <f>'Dự đoán doanh thu'!E21</f>
        <v>421888500.00000006</v>
      </c>
      <c r="C20" s="71">
        <f>'Dự đoán doanh thu'!F21</f>
        <v>209834660.36144578</v>
      </c>
      <c r="D20" s="71">
        <f>'Chi phí hằng tháng'!$C$11</f>
        <v>58900000</v>
      </c>
      <c r="E20" s="71">
        <f t="shared" si="0"/>
        <v>153153839.63855428</v>
      </c>
    </row>
    <row r="21" spans="1:5" x14ac:dyDescent="0.35">
      <c r="A21" s="75">
        <v>6</v>
      </c>
      <c r="B21" s="71">
        <f>'Dự đoán doanh thu'!E22</f>
        <v>421888500.00000006</v>
      </c>
      <c r="C21" s="71">
        <f>'Dự đoán doanh thu'!F22</f>
        <v>209834660.36144578</v>
      </c>
      <c r="D21" s="71">
        <f>'Chi phí hằng tháng'!$C$11</f>
        <v>58900000</v>
      </c>
      <c r="E21" s="71">
        <f t="shared" si="0"/>
        <v>153153839.63855428</v>
      </c>
    </row>
    <row r="22" spans="1:5" x14ac:dyDescent="0.35">
      <c r="A22" s="75">
        <v>7</v>
      </c>
      <c r="B22" s="71">
        <f>'Dự đoán doanh thu'!E23</f>
        <v>383535000</v>
      </c>
      <c r="C22" s="71">
        <f>'Dự đoán doanh thu'!F23</f>
        <v>190758782.14676887</v>
      </c>
      <c r="D22" s="71">
        <f>'Chi phí hằng tháng'!$C$11</f>
        <v>58900000</v>
      </c>
      <c r="E22" s="71">
        <f t="shared" si="0"/>
        <v>133876217.85323113</v>
      </c>
    </row>
    <row r="23" spans="1:5" x14ac:dyDescent="0.35">
      <c r="A23" s="75">
        <v>8</v>
      </c>
      <c r="B23" s="71">
        <f>'Dự đoán doanh thu'!E24</f>
        <v>383535000</v>
      </c>
      <c r="C23" s="71">
        <f>'Dự đoán doanh thu'!F24</f>
        <v>190758782.14676887</v>
      </c>
      <c r="D23" s="71">
        <f>'Chi phí hằng tháng'!$C$11</f>
        <v>58900000</v>
      </c>
      <c r="E23" s="71">
        <f t="shared" si="0"/>
        <v>133876217.85323113</v>
      </c>
    </row>
    <row r="24" spans="1:5" x14ac:dyDescent="0.35">
      <c r="A24" s="75">
        <v>9</v>
      </c>
      <c r="B24" s="71">
        <f>'Dự đoán doanh thu'!E25</f>
        <v>383535000</v>
      </c>
      <c r="C24" s="71">
        <f>'Dự đoán doanh thu'!F25</f>
        <v>190758782.14676887</v>
      </c>
      <c r="D24" s="71">
        <f>'Chi phí hằng tháng'!$C$11</f>
        <v>58900000</v>
      </c>
      <c r="E24" s="71">
        <f t="shared" si="0"/>
        <v>133876217.85323113</v>
      </c>
    </row>
    <row r="25" spans="1:5" x14ac:dyDescent="0.35">
      <c r="A25" s="75">
        <v>10</v>
      </c>
      <c r="B25" s="71">
        <f>'Dự đoán doanh thu'!E26</f>
        <v>383535000</v>
      </c>
      <c r="C25" s="71">
        <f>'Dự đoán doanh thu'!F26</f>
        <v>190758782.14676887</v>
      </c>
      <c r="D25" s="71">
        <f>'Chi phí hằng tháng'!$C$11</f>
        <v>58900000</v>
      </c>
      <c r="E25" s="71">
        <f t="shared" si="0"/>
        <v>133876217.85323113</v>
      </c>
    </row>
    <row r="26" spans="1:5" x14ac:dyDescent="0.35">
      <c r="A26" s="75">
        <v>11</v>
      </c>
      <c r="B26" s="71">
        <f>'Dự đoán doanh thu'!E27</f>
        <v>383535000</v>
      </c>
      <c r="C26" s="71">
        <f>'Dự đoán doanh thu'!F27</f>
        <v>190758782.14676887</v>
      </c>
      <c r="D26" s="71">
        <f>'Chi phí hằng tháng'!$C$11</f>
        <v>58900000</v>
      </c>
      <c r="E26" s="71">
        <f t="shared" si="0"/>
        <v>133876217.85323113</v>
      </c>
    </row>
    <row r="27" spans="1:5" x14ac:dyDescent="0.35">
      <c r="A27" s="78" t="s">
        <v>148</v>
      </c>
      <c r="B27" s="79">
        <f>SUM(B3:B26)</f>
        <v>8788701000</v>
      </c>
      <c r="C27" s="79">
        <f t="shared" ref="C27" si="1">B27*(1-48.73%)</f>
        <v>4505967002.7000008</v>
      </c>
      <c r="D27" s="79">
        <f t="shared" ref="D27:E27" si="2">SUM(D3:D26)</f>
        <v>1413600000</v>
      </c>
      <c r="E27" s="79">
        <f t="shared" si="2"/>
        <v>3104931747.9079952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Chi phí ban đầu</vt:lpstr>
      <vt:lpstr>Chi phí hằng tháng</vt:lpstr>
      <vt:lpstr>Nhân sự</vt:lpstr>
      <vt:lpstr>Sản phẩm</vt:lpstr>
      <vt:lpstr>Doanh thu, chi TB hàng tháng</vt:lpstr>
      <vt:lpstr>EOQ</vt:lpstr>
      <vt:lpstr>ELS</vt:lpstr>
      <vt:lpstr>Dự đoán doanh thu</vt:lpstr>
      <vt:lpstr>Dự đoán lỗ-lãi</vt:lpstr>
      <vt:lpstr>Điểm hòa vốn</vt:lpstr>
      <vt:lpstr>Hiệu quả nội bộ</vt:lpstr>
      <vt:lpstr>Dịch vụ khách hàng</vt:lpstr>
      <vt:lpstr>Linh hoạt đáp ứng nhu cầu</vt:lpstr>
      <vt:lpstr>Phát triển sản phẩm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Trần Giáp Minh</cp:lastModifiedBy>
  <dcterms:created xsi:type="dcterms:W3CDTF">2015-06-05T18:17:20Z</dcterms:created>
  <dcterms:modified xsi:type="dcterms:W3CDTF">2025-05-30T17:34:56Z</dcterms:modified>
</cp:coreProperties>
</file>